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814" documentId="11_0E6E9F8346D5AB75913D3AD8FF9DA2665F0C81AA" xr6:coauthVersionLast="47" xr6:coauthVersionMax="47" xr10:uidLastSave="{B837E144-D0CD-4B0B-BA79-7E7463517098}"/>
  <bookViews>
    <workbookView xWindow="0" yWindow="0" windowWidth="23040" windowHeight="9252" firstSheet="2" activeTab="1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9" i="2" l="1"/>
  <c r="D159" i="2"/>
  <c r="C159" i="2"/>
  <c r="B159" i="2"/>
  <c r="E50" i="3"/>
  <c r="D50" i="3"/>
  <c r="C50" i="3"/>
  <c r="E51" i="3"/>
  <c r="D51" i="3"/>
  <c r="C51" i="3"/>
  <c r="C51" i="2"/>
  <c r="E8" i="3"/>
  <c r="D8" i="2"/>
  <c r="C8" i="2"/>
  <c r="D8" i="3"/>
  <c r="C8" i="3"/>
  <c r="D11" i="3"/>
  <c r="E43" i="3"/>
  <c r="D43" i="3"/>
  <c r="C43" i="3"/>
  <c r="E42" i="3"/>
  <c r="D42" i="3"/>
  <c r="C42" i="3"/>
  <c r="E40" i="3"/>
  <c r="D40" i="3"/>
  <c r="C40" i="3"/>
  <c r="C22" i="3"/>
  <c r="C20" i="3"/>
  <c r="C18" i="3"/>
  <c r="C19" i="3"/>
  <c r="C21" i="3"/>
  <c r="C17" i="3"/>
  <c r="C49" i="3"/>
  <c r="C37" i="3"/>
  <c r="C48" i="3"/>
  <c r="C47" i="3"/>
  <c r="E13" i="3"/>
  <c r="D13" i="3"/>
  <c r="C13" i="3"/>
  <c r="C12" i="3"/>
  <c r="Q9" i="3"/>
  <c r="P9" i="3"/>
  <c r="O9" i="3"/>
  <c r="E36" i="3"/>
  <c r="D36" i="3"/>
  <c r="C36" i="3"/>
  <c r="E35" i="3"/>
  <c r="D35" i="3"/>
  <c r="C35" i="3"/>
  <c r="E34" i="3"/>
  <c r="D34" i="3"/>
  <c r="C34" i="3"/>
  <c r="E30" i="3"/>
  <c r="D30" i="3"/>
  <c r="D31" i="3"/>
  <c r="C30" i="3"/>
  <c r="E31" i="3"/>
  <c r="B164" i="2"/>
  <c r="C31" i="3"/>
  <c r="D164" i="2"/>
  <c r="C164" i="2"/>
  <c r="C29" i="3"/>
  <c r="C28" i="3"/>
  <c r="E27" i="3"/>
  <c r="D27" i="3"/>
  <c r="C27" i="3"/>
  <c r="E26" i="3"/>
  <c r="D26" i="3"/>
  <c r="C26" i="3"/>
  <c r="E25" i="3"/>
  <c r="D25" i="3"/>
  <c r="C25" i="3"/>
  <c r="E11" i="3"/>
  <c r="E12" i="3" s="1"/>
  <c r="D12" i="3"/>
  <c r="C11" i="3"/>
  <c r="E10" i="3"/>
  <c r="D10" i="3"/>
  <c r="C10" i="3"/>
  <c r="E9" i="3"/>
  <c r="D9" i="3"/>
  <c r="C9" i="3"/>
  <c r="E7" i="3"/>
  <c r="D7" i="3"/>
  <c r="C7" i="3"/>
  <c r="E6" i="3"/>
  <c r="D6" i="3"/>
  <c r="C6" i="3"/>
  <c r="E5" i="3"/>
  <c r="D5" i="3"/>
  <c r="C5" i="3"/>
  <c r="D152" i="2"/>
  <c r="C152" i="2"/>
  <c r="B152" i="2"/>
  <c r="D151" i="2"/>
  <c r="B151" i="2"/>
  <c r="D149" i="2"/>
  <c r="C149" i="2"/>
  <c r="B149" i="2"/>
  <c r="D143" i="2"/>
  <c r="C143" i="2"/>
  <c r="B143" i="2"/>
  <c r="D136" i="2"/>
  <c r="C136" i="2"/>
  <c r="C151" i="2" s="1"/>
  <c r="B136" i="2"/>
  <c r="A158" i="2"/>
  <c r="D94" i="2"/>
  <c r="C94" i="2"/>
  <c r="B94" i="2"/>
  <c r="C85" i="2"/>
  <c r="B85" i="2"/>
  <c r="B80" i="2"/>
  <c r="B86" i="2" s="1"/>
  <c r="B95" i="2" s="1"/>
  <c r="C80" i="2"/>
  <c r="C86" i="2" s="1"/>
  <c r="C95" i="2" s="1"/>
  <c r="D85" i="2"/>
  <c r="D80" i="2"/>
  <c r="D86" i="2" s="1"/>
  <c r="D95" i="2" s="1"/>
  <c r="D73" i="2"/>
  <c r="D67" i="2"/>
  <c r="D74" i="2" s="1"/>
  <c r="C73" i="2"/>
  <c r="C67" i="2"/>
  <c r="C74" i="2" s="1"/>
  <c r="B67" i="2"/>
  <c r="B73" i="2"/>
  <c r="A108" i="2"/>
  <c r="A106" i="2"/>
  <c r="A104" i="2"/>
  <c r="A103" i="2"/>
  <c r="A102" i="2"/>
  <c r="A100" i="2"/>
  <c r="A99" i="2"/>
  <c r="C22" i="2"/>
  <c r="B22" i="2"/>
  <c r="C17" i="2"/>
  <c r="B17" i="2"/>
  <c r="C10" i="2"/>
  <c r="D17" i="3" s="1"/>
  <c r="B8" i="2"/>
  <c r="B10" i="2" s="1"/>
  <c r="D22" i="2"/>
  <c r="D17" i="2"/>
  <c r="D10" i="2"/>
  <c r="E17" i="3" s="1"/>
  <c r="A52" i="2"/>
  <c r="A51" i="2"/>
  <c r="A46" i="2"/>
  <c r="A45" i="2"/>
  <c r="A39" i="2"/>
  <c r="A38" i="2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B74" i="2" l="1"/>
  <c r="D18" i="2"/>
  <c r="D36" i="2"/>
  <c r="B36" i="2"/>
  <c r="B18" i="2"/>
  <c r="C36" i="2"/>
  <c r="C18" i="2"/>
  <c r="B23" i="2"/>
  <c r="C23" i="2"/>
  <c r="A33" i="3"/>
  <c r="A25" i="3"/>
  <c r="A26" i="3" s="1"/>
  <c r="A27" i="3" s="1"/>
  <c r="A28" i="3" s="1"/>
  <c r="A29" i="3" s="1"/>
  <c r="A30" i="3" s="1"/>
  <c r="A17" i="3"/>
  <c r="A18" i="3" s="1"/>
  <c r="A20" i="3" s="1"/>
  <c r="A22" i="3" s="1"/>
  <c r="D23" i="2" l="1"/>
  <c r="E21" i="3"/>
  <c r="E48" i="3"/>
  <c r="E29" i="3"/>
  <c r="E28" i="3"/>
  <c r="D21" i="3"/>
  <c r="D48" i="3"/>
  <c r="D29" i="3"/>
  <c r="D28" i="3"/>
  <c r="C26" i="2"/>
  <c r="B26" i="2"/>
  <c r="D26" i="2"/>
  <c r="A34" i="3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  <c r="E22" i="3" l="1"/>
  <c r="E37" i="3"/>
  <c r="E49" i="3" s="1"/>
  <c r="E47" i="3"/>
  <c r="E20" i="3"/>
  <c r="E19" i="3"/>
  <c r="E18" i="3" s="1"/>
  <c r="D22" i="3"/>
  <c r="D37" i="3"/>
  <c r="D49" i="3" s="1"/>
  <c r="D47" i="3"/>
  <c r="D20" i="3"/>
  <c r="D19" i="3"/>
  <c r="D18" i="3" s="1"/>
</calcChain>
</file>

<file path=xl/sharedStrings.xml><?xml version="1.0" encoding="utf-8"?>
<sst xmlns="http://schemas.openxmlformats.org/spreadsheetml/2006/main" count="190" uniqueCount="169">
  <si>
    <t>Instructions</t>
  </si>
  <si>
    <t>Perform a management report, analyzing the financial health of Amazon Inc. based on its recent two annual reports (2022 &amp; 2021).</t>
  </si>
  <si>
    <t>Please refer to the below website in order to download the company financial statements:</t>
  </si>
  <si>
    <t>https://ir.aboutamazon.com/annual-reports-proxies-and-shareholder-letters/default.aspx</t>
  </si>
  <si>
    <t>Please input the three financial statements in the format from previous task, attached here in the second tab</t>
  </si>
  <si>
    <t>Perform the calculations on tab three similar to previous task.</t>
  </si>
  <si>
    <t>You are required write up a 1-2 page report commenting on the financial health of Amazon Inc. based on the ratios you have calculated, addressing the five key topics mentioned in the ratios tab.</t>
  </si>
  <si>
    <t>You are free to use any additional publicly available information/ news articles whilst mentioning the sources at the end page</t>
  </si>
  <si>
    <t>However make sure you have covered the five key topics in the ratio analysis</t>
  </si>
  <si>
    <t>Formats:</t>
  </si>
  <si>
    <t>The report should be submitted as a word document</t>
  </si>
  <si>
    <t>The supporting calculations should be submitted in excel document as same as the previous task.</t>
  </si>
  <si>
    <t>Company name</t>
  </si>
  <si>
    <t>(In millions, except number of shares which are reflected in thousands and per share amounts)</t>
  </si>
  <si>
    <t>CONSOLIDATED STATEMENTS OF OPERATIONS</t>
  </si>
  <si>
    <t xml:space="preserve">Years ended </t>
  </si>
  <si>
    <t>Net sales:</t>
  </si>
  <si>
    <t>Products</t>
  </si>
  <si>
    <t>Services</t>
  </si>
  <si>
    <t>Total net sales</t>
  </si>
  <si>
    <t>Total cost of sales</t>
  </si>
  <si>
    <t>Gross margin (gross profit)</t>
  </si>
  <si>
    <t>Operating expenses:</t>
  </si>
  <si>
    <t>Fulfillment</t>
  </si>
  <si>
    <t>Selling, general and administrative</t>
  </si>
  <si>
    <t xml:space="preserve">   Technology and content</t>
  </si>
  <si>
    <t xml:space="preserve">  Other income/(expense), net</t>
  </si>
  <si>
    <t xml:space="preserve">   Marketing</t>
  </si>
  <si>
    <t>Total operating expenses</t>
  </si>
  <si>
    <t>Operating income (EBIT)</t>
  </si>
  <si>
    <t>Interest expense</t>
  </si>
  <si>
    <t>Interest income</t>
  </si>
  <si>
    <t>Other income/(expense), net</t>
  </si>
  <si>
    <t>Total non-operating income (expenses)</t>
  </si>
  <si>
    <t>Income before provision for income taxes</t>
  </si>
  <si>
    <t>Provision for income taxes</t>
  </si>
  <si>
    <t>Equity-method investment activity, net of tax</t>
  </si>
  <si>
    <t>Net income</t>
  </si>
  <si>
    <t>Earnings per share:</t>
  </si>
  <si>
    <t>Basic</t>
  </si>
  <si>
    <t>Diluted</t>
  </si>
  <si>
    <t>Shares used in computing earnings per share:</t>
  </si>
  <si>
    <t>Margins</t>
  </si>
  <si>
    <t>Gross profits</t>
  </si>
  <si>
    <t>Operating expenses</t>
  </si>
  <si>
    <t>Operating income</t>
  </si>
  <si>
    <t>Net profit</t>
  </si>
  <si>
    <t>Growth rates</t>
  </si>
  <si>
    <t xml:space="preserve">Sales </t>
  </si>
  <si>
    <t>Tax rates</t>
  </si>
  <si>
    <t>Income tax rate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</si>
  <si>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</si>
  <si>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</si>
  <si>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</si>
  <si>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</si>
  <si>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</si>
  <si>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</si>
  <si>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Total current assets</t>
  </si>
  <si>
    <t>Non current assets:</t>
  </si>
  <si>
    <t>Goodwill</t>
  </si>
  <si>
    <t>Operating leases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</si>
  <si>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</si>
  <si>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</si>
  <si>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</si>
  <si>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</si>
  <si>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</si>
  <si>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</si>
  <si>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</si>
  <si>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</si>
  <si>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Total current liabilities</t>
  </si>
  <si>
    <t>Non current liabilities:</t>
  </si>
  <si>
    <t>Term debt</t>
  </si>
  <si>
    <t xml:space="preserve">Long term lease liabilities </t>
  </si>
  <si>
    <t>Other non current liabilities</t>
  </si>
  <si>
    <t>Total non current liabilities</t>
  </si>
  <si>
    <t>Total liabilities</t>
  </si>
  <si>
    <t>Shareholders’ equity:</t>
  </si>
  <si>
    <t xml:space="preserve">Common stock </t>
  </si>
  <si>
    <t>Treasury stock at cost</t>
  </si>
  <si>
    <t xml:space="preserve">Retained earnings </t>
  </si>
  <si>
    <t>Additional paid in capital</t>
  </si>
  <si>
    <t>Accumulated other comprehensive income/(loss)</t>
  </si>
  <si>
    <t>Total shareholders’ equity</t>
  </si>
  <si>
    <t>Total liabilities and shareholders’ equity</t>
  </si>
  <si>
    <t xml:space="preserve">Total Assets 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</si>
  <si>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</si>
  <si>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</si>
  <si>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</si>
  <si>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</si>
  <si>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</si>
  <si>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</si>
  <si>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</si>
  <si>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</si>
  <si>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</si>
  <si>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 xml:space="preserve">Accrued expenses and other </t>
  </si>
  <si>
    <t>Cash generated by operating activities</t>
  </si>
  <si>
    <t>Investing activities:</t>
  </si>
  <si>
    <t>Purchases of marketable securities</t>
  </si>
  <si>
    <t>Proceeds from sale of Property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</si>
  <si>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</si>
  <si>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</si>
  <si>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</si>
  <si>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</si>
  <si>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</si>
  <si>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Principal Repayments of financial obligations</t>
  </si>
  <si>
    <t>Principal Payments for Finance leases</t>
  </si>
  <si>
    <t>Proceeds from issuance of term debt, net</t>
  </si>
  <si>
    <t>Repayments of term debt</t>
  </si>
  <si>
    <t>Cash used in financing activities</t>
  </si>
  <si>
    <t xml:space="preserve">Foreign currency effect on cash, cash equivalents 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</si>
  <si>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</si>
  <si>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</si>
  <si>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</si>
  <si>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</si>
  <si>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</si>
  <si>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 xml:space="preserve">CAPEX as  % of sales </t>
  </si>
  <si>
    <t xml:space="preserve">CAPEX as  % of fixed assets </t>
  </si>
  <si>
    <t>FCFE</t>
  </si>
  <si>
    <t>Company Name</t>
  </si>
  <si>
    <t>Years ended ,</t>
  </si>
  <si>
    <t>Liquidity</t>
  </si>
  <si>
    <t>Current ratio</t>
  </si>
  <si>
    <t>Quick Ratio</t>
  </si>
  <si>
    <t>working capital</t>
  </si>
  <si>
    <t>Cash Ratio</t>
  </si>
  <si>
    <t>current assets</t>
  </si>
  <si>
    <t>Defensive Interval</t>
  </si>
  <si>
    <t>current liability</t>
  </si>
  <si>
    <t>Inventory Days</t>
  </si>
  <si>
    <t>wc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</si>
  <si>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</si>
  <si>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</si>
  <si>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</si>
  <si>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</si>
  <si>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</si>
  <si>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</si>
  <si>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Gross margin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</si>
  <si>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</si>
  <si>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</si>
  <si>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</si>
  <si>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</si>
  <si>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</si>
  <si>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</si>
  <si>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</si>
  <si>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</si>
  <si>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</si>
  <si>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</si>
  <si>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</si>
  <si>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</si>
  <si>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</si>
  <si>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</si>
  <si>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</si>
  <si>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</si>
  <si>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</si>
  <si>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</si>
  <si>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</si>
  <si>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</si>
  <si>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</si>
  <si>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</si>
  <si>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</si>
  <si>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NIL</t>
  </si>
  <si>
    <t>Dividend per share</t>
  </si>
  <si>
    <t>Dividend yield</t>
  </si>
  <si>
    <t>N IL</t>
  </si>
  <si>
    <t>Return on equity (ROE)</t>
  </si>
  <si>
    <t>Return on capital employed (ROCE)</t>
  </si>
  <si>
    <t>Enterprise value to EBITDA (EV/EBITDA)</t>
  </si>
  <si>
    <t>Enterprise value (EV)</t>
  </si>
  <si>
    <t>AMAZON SHARE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</si>
</sst>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b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5" borderId="0" xfId="0" applyFont="1" applyFill="1" applyAlignment="1">
      <alignment horizontal="left" indent="1"/>
    </xf>
    <xf numFmtId="0" fontId="8" fillId="0" borderId="0" xfId="0" applyFont="1" applyAlignment="1">
      <alignment horizontal="left" indent="3"/>
    </xf>
    <xf numFmtId="3" fontId="2" fillId="0" borderId="0" xfId="0" applyNumberFormat="1" applyFont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left"/>
    </xf>
    <xf numFmtId="0" fontId="8" fillId="0" borderId="0" xfId="0" applyFont="1" applyAlignment="1">
      <alignment horizontal="left" indent="2"/>
    </xf>
    <xf numFmtId="165" fontId="0" fillId="0" borderId="1" xfId="1" applyNumberFormat="1" applyFont="1" applyBorder="1"/>
    <xf numFmtId="165" fontId="2" fillId="0" borderId="0" xfId="0" applyNumberFormat="1" applyFont="1"/>
    <xf numFmtId="0" fontId="0" fillId="6" borderId="0" xfId="0" applyFill="1" applyAlignment="1">
      <alignment horizontal="left" indent="1"/>
    </xf>
    <xf numFmtId="0" fontId="2" fillId="5" borderId="0" xfId="0" applyFont="1" applyFill="1"/>
    <xf numFmtId="0" fontId="2" fillId="6" borderId="0" xfId="0" applyFont="1" applyFill="1"/>
    <xf numFmtId="0" fontId="9" fillId="0" borderId="0" xfId="0" applyFont="1"/>
    <xf numFmtId="0" fontId="0" fillId="0" borderId="0" xfId="0" applyAlignment="1">
      <alignment horizontal="center"/>
    </xf>
    <xf numFmtId="0" fontId="10" fillId="0" borderId="0" xfId="0" applyFont="1"/>
    <xf numFmtId="165" fontId="0" fillId="0" borderId="0" xfId="0" applyNumberFormat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topLeftCell="A2" workbookViewId="0">
      <selection activeCell="A35" sqref="A35:A36"/>
    </sheetView>
  </sheetViews>
  <sheetFormatPr defaultRowHeight="14.45"/>
  <cols>
    <col min="1" max="1" width="157.85546875" style="2" customWidth="1"/>
  </cols>
  <sheetData>
    <row r="1" spans="1:1" ht="23.45">
      <c r="A1" s="3" t="s">
        <v>0</v>
      </c>
    </row>
    <row r="3" spans="1:1">
      <c r="A3" s="2" t="s">
        <v>1</v>
      </c>
    </row>
    <row r="4" spans="1:1">
      <c r="A4" s="5" t="s">
        <v>2</v>
      </c>
    </row>
    <row r="5" spans="1:1">
      <c r="A5" s="6" t="s">
        <v>3</v>
      </c>
    </row>
    <row r="7" spans="1:1">
      <c r="A7" s="2" t="s">
        <v>4</v>
      </c>
    </row>
    <row r="8" spans="1:1">
      <c r="A8" s="2" t="s">
        <v>5</v>
      </c>
    </row>
    <row r="9" spans="1:1" ht="28.9">
      <c r="A9" s="2" t="s">
        <v>6</v>
      </c>
    </row>
    <row r="10" spans="1:1">
      <c r="A10" s="2" t="s">
        <v>7</v>
      </c>
    </row>
    <row r="11" spans="1:1">
      <c r="A11" s="2" t="s">
        <v>8</v>
      </c>
    </row>
    <row r="13" spans="1:1">
      <c r="A13" s="4" t="s">
        <v>9</v>
      </c>
    </row>
    <row r="14" spans="1:1">
      <c r="A14" s="2" t="s">
        <v>10</v>
      </c>
    </row>
    <row r="15" spans="1:1">
      <c r="A15" s="2" t="s">
        <v>11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8"/>
  <sheetViews>
    <sheetView tabSelected="1" topLeftCell="A81" workbookViewId="0">
      <selection activeCell="D7" sqref="D7"/>
    </sheetView>
  </sheetViews>
  <sheetFormatPr defaultRowHeight="14.45"/>
  <cols>
    <col min="1" max="1" width="59" customWidth="1"/>
    <col min="2" max="3" width="11.5703125" bestFit="1" customWidth="1"/>
    <col min="4" max="4" width="12.28515625" bestFit="1" customWidth="1"/>
  </cols>
  <sheetData>
    <row r="1" spans="1:10" ht="60" customHeight="1">
      <c r="A1" s="7" t="s">
        <v>12</v>
      </c>
      <c r="B1" s="8" t="s">
        <v>13</v>
      </c>
      <c r="C1" s="8"/>
      <c r="D1" s="8"/>
      <c r="E1" s="8"/>
      <c r="F1" s="8"/>
      <c r="G1" s="8"/>
      <c r="H1" s="8"/>
      <c r="I1" s="8"/>
      <c r="J1" s="8"/>
    </row>
    <row r="2" spans="1:10">
      <c r="A2" s="42" t="s">
        <v>14</v>
      </c>
      <c r="B2" s="42"/>
      <c r="C2" s="42"/>
      <c r="D2" s="42"/>
    </row>
    <row r="3" spans="1:10">
      <c r="B3" s="43" t="s">
        <v>15</v>
      </c>
      <c r="C3" s="43"/>
      <c r="D3" s="43"/>
    </row>
    <row r="4" spans="1:10" ht="15">
      <c r="B4" s="9">
        <v>2019</v>
      </c>
      <c r="C4" s="9">
        <v>2018</v>
      </c>
      <c r="D4" s="9">
        <v>2017</v>
      </c>
    </row>
    <row r="5" spans="1:10" ht="15">
      <c r="A5" t="s">
        <v>16</v>
      </c>
    </row>
    <row r="6" spans="1:10" ht="14.45" customHeight="1">
      <c r="A6" s="1" t="s">
        <v>17</v>
      </c>
      <c r="B6" s="10">
        <v>160408</v>
      </c>
      <c r="C6" s="16">
        <v>141915</v>
      </c>
      <c r="D6" s="16">
        <v>118573</v>
      </c>
    </row>
    <row r="7" spans="1:10" ht="15">
      <c r="A7" s="1" t="s">
        <v>18</v>
      </c>
      <c r="B7" s="16">
        <v>120114</v>
      </c>
      <c r="C7" s="16">
        <v>90972</v>
      </c>
      <c r="D7" s="16">
        <v>59293</v>
      </c>
    </row>
    <row r="8" spans="1:10" ht="15">
      <c r="A8" s="11" t="s">
        <v>19</v>
      </c>
      <c r="B8" s="12">
        <f>B6+B7</f>
        <v>280522</v>
      </c>
      <c r="C8" s="12">
        <f>C6+C7</f>
        <v>232887</v>
      </c>
      <c r="D8" s="28">
        <f>D6+D7</f>
        <v>177866</v>
      </c>
    </row>
    <row r="9" spans="1:10" ht="14.45" customHeight="1">
      <c r="A9" s="11" t="s">
        <v>20</v>
      </c>
      <c r="B9" s="12">
        <v>165536</v>
      </c>
      <c r="C9" s="12">
        <v>139156</v>
      </c>
      <c r="D9" s="28">
        <v>111934</v>
      </c>
    </row>
    <row r="10" spans="1:10" ht="14.45" customHeight="1">
      <c r="A10" s="11" t="s">
        <v>21</v>
      </c>
      <c r="B10" s="12">
        <f>B8-B9</f>
        <v>114986</v>
      </c>
      <c r="C10" s="12">
        <f>C8-C9</f>
        <v>93731</v>
      </c>
      <c r="D10" s="12">
        <f>D8-D9</f>
        <v>65932</v>
      </c>
    </row>
    <row r="11" spans="1:10" ht="14.45" customHeight="1">
      <c r="A11" t="s">
        <v>22</v>
      </c>
      <c r="B11" s="10"/>
      <c r="C11" s="10"/>
      <c r="D11" s="10"/>
    </row>
    <row r="12" spans="1:10" ht="14.45" customHeight="1">
      <c r="A12" s="1" t="s">
        <v>23</v>
      </c>
      <c r="B12" s="10">
        <v>40232</v>
      </c>
      <c r="C12" s="16">
        <v>34027</v>
      </c>
      <c r="D12" s="16">
        <v>25249</v>
      </c>
    </row>
    <row r="13" spans="1:10" ht="14.45" customHeight="1">
      <c r="A13" s="1" t="s">
        <v>24</v>
      </c>
      <c r="B13" s="10">
        <v>5203</v>
      </c>
      <c r="C13" s="10">
        <v>4336</v>
      </c>
      <c r="D13" s="16">
        <v>3674</v>
      </c>
    </row>
    <row r="14" spans="1:10" ht="14.45" customHeight="1">
      <c r="A14" t="s">
        <v>25</v>
      </c>
      <c r="B14" s="10">
        <v>35931</v>
      </c>
      <c r="C14" s="10">
        <v>28837</v>
      </c>
      <c r="D14" s="16">
        <v>22620</v>
      </c>
    </row>
    <row r="15" spans="1:10" ht="14.45" customHeight="1">
      <c r="A15" t="s">
        <v>26</v>
      </c>
      <c r="B15" s="10">
        <v>201</v>
      </c>
      <c r="C15">
        <v>296</v>
      </c>
      <c r="D15">
        <v>214</v>
      </c>
    </row>
    <row r="16" spans="1:10" ht="14.45" customHeight="1">
      <c r="A16" t="s">
        <v>27</v>
      </c>
      <c r="B16" s="10">
        <v>18878</v>
      </c>
      <c r="C16" s="10">
        <v>13814</v>
      </c>
      <c r="D16" s="16">
        <v>10069</v>
      </c>
    </row>
    <row r="17" spans="1:4" ht="14.45" customHeight="1">
      <c r="A17" s="11" t="s">
        <v>28</v>
      </c>
      <c r="B17" s="12">
        <f>SUM(B12:B16)</f>
        <v>100445</v>
      </c>
      <c r="C17" s="12">
        <f>SUM(C12:C16)</f>
        <v>81310</v>
      </c>
      <c r="D17" s="12">
        <f>D12+D13+D14+D16+D15</f>
        <v>61826</v>
      </c>
    </row>
    <row r="18" spans="1:4" s="11" customFormat="1" ht="14.45" customHeight="1">
      <c r="A18" s="11" t="s">
        <v>29</v>
      </c>
      <c r="B18" s="12">
        <f>B10-B17</f>
        <v>14541</v>
      </c>
      <c r="C18" s="12">
        <f>C10-C17</f>
        <v>12421</v>
      </c>
      <c r="D18" s="12">
        <f>D10-D17</f>
        <v>4106</v>
      </c>
    </row>
    <row r="19" spans="1:4" s="9" customFormat="1" ht="14.45" customHeight="1">
      <c r="A19" t="s">
        <v>30</v>
      </c>
      <c r="B19" s="29">
        <v>-1600</v>
      </c>
      <c r="C19" s="29">
        <v>-1417</v>
      </c>
      <c r="D19">
        <v>-848</v>
      </c>
    </row>
    <row r="20" spans="1:4" s="9" customFormat="1" ht="14.45" customHeight="1">
      <c r="A20" t="s">
        <v>31</v>
      </c>
      <c r="B20" s="29">
        <v>832</v>
      </c>
      <c r="C20" s="29">
        <v>440</v>
      </c>
      <c r="D20">
        <v>202</v>
      </c>
    </row>
    <row r="21" spans="1:4" ht="14.45" customHeight="1">
      <c r="A21" t="s">
        <v>32</v>
      </c>
      <c r="B21" s="10">
        <v>203</v>
      </c>
      <c r="C21" s="10">
        <v>-183</v>
      </c>
      <c r="D21">
        <v>346</v>
      </c>
    </row>
    <row r="22" spans="1:4" ht="14.45" customHeight="1">
      <c r="A22" s="9" t="s">
        <v>33</v>
      </c>
      <c r="B22" s="10">
        <f>B19+B20+B21</f>
        <v>-565</v>
      </c>
      <c r="C22" s="10">
        <f>C19+C20+C21</f>
        <v>-1160</v>
      </c>
      <c r="D22">
        <f>D19+D20+D21</f>
        <v>-300</v>
      </c>
    </row>
    <row r="23" spans="1:4" ht="14.45" customHeight="1">
      <c r="A23" s="11" t="s">
        <v>34</v>
      </c>
      <c r="B23" s="12">
        <f>B18+B22</f>
        <v>13976</v>
      </c>
      <c r="C23" s="12">
        <f>C18+C22</f>
        <v>11261</v>
      </c>
      <c r="D23" s="12">
        <f>D18+D22</f>
        <v>3806</v>
      </c>
    </row>
    <row r="24" spans="1:4" ht="14.45" customHeight="1">
      <c r="A24" t="s">
        <v>35</v>
      </c>
      <c r="B24" s="10">
        <v>-2374</v>
      </c>
      <c r="C24" s="10">
        <v>-1197</v>
      </c>
      <c r="D24" s="10">
        <v>-769</v>
      </c>
    </row>
    <row r="25" spans="1:4" ht="14.45" customHeight="1">
      <c r="A25" t="s">
        <v>36</v>
      </c>
      <c r="B25" s="10">
        <v>-14</v>
      </c>
      <c r="C25" s="10">
        <v>9</v>
      </c>
      <c r="D25">
        <v>-4</v>
      </c>
    </row>
    <row r="26" spans="1:4" ht="15">
      <c r="A26" s="13" t="s">
        <v>37</v>
      </c>
      <c r="B26" s="14">
        <f>B23+B24+B25</f>
        <v>11588</v>
      </c>
      <c r="C26" s="14">
        <f>C23+C24+C25</f>
        <v>10073</v>
      </c>
      <c r="D26" s="14">
        <f>D23+D24+D25</f>
        <v>3033</v>
      </c>
    </row>
    <row r="27" spans="1:4" ht="15">
      <c r="A27" t="s">
        <v>38</v>
      </c>
    </row>
    <row r="28" spans="1:4" ht="14.45" customHeight="1">
      <c r="A28" s="1" t="s">
        <v>39</v>
      </c>
      <c r="B28" s="15">
        <v>23.46</v>
      </c>
      <c r="C28" s="15">
        <v>20.68</v>
      </c>
      <c r="D28">
        <v>6.32</v>
      </c>
    </row>
    <row r="29" spans="1:4" ht="14.45" customHeight="1">
      <c r="A29" s="1" t="s">
        <v>40</v>
      </c>
      <c r="B29" s="15">
        <v>23.01</v>
      </c>
      <c r="C29" s="15">
        <v>20.14</v>
      </c>
      <c r="D29">
        <v>6.15</v>
      </c>
    </row>
    <row r="30" spans="1:4" ht="14.45" customHeight="1">
      <c r="A30" t="s">
        <v>41</v>
      </c>
    </row>
    <row r="31" spans="1:4" ht="14.45" customHeight="1">
      <c r="A31" s="1" t="s">
        <v>39</v>
      </c>
      <c r="B31" s="16">
        <v>494</v>
      </c>
      <c r="C31" s="16">
        <v>487</v>
      </c>
      <c r="D31">
        <v>480</v>
      </c>
    </row>
    <row r="32" spans="1:4" ht="14.45" customHeight="1">
      <c r="A32" s="1" t="s">
        <v>40</v>
      </c>
      <c r="B32" s="16">
        <v>504</v>
      </c>
      <c r="C32" s="16">
        <v>500</v>
      </c>
      <c r="D32">
        <v>493</v>
      </c>
    </row>
    <row r="33" spans="1:4" ht="14.45" customHeight="1"/>
    <row r="34" spans="1:4" ht="14.45" customHeight="1">
      <c r="A34" s="26"/>
    </row>
    <row r="35" spans="1:4" ht="14.45" customHeight="1">
      <c r="A35" s="26" t="s">
        <v>42</v>
      </c>
      <c r="B35" s="25"/>
      <c r="C35" s="25"/>
      <c r="D35" s="25"/>
    </row>
    <row r="36" spans="1:4" ht="14.45" customHeight="1">
      <c r="A36" s="1" t="s">
        <v>43</v>
      </c>
      <c r="B36" s="24">
        <f>B10/B8%</f>
        <v>40.990011478600614</v>
      </c>
      <c r="C36" s="24">
        <f>C10/C8%</f>
        <v>40.247416128852194</v>
      </c>
      <c r="D36" s="30">
        <f>D10/D8%</f>
        <v>37.068354828916149</v>
      </c>
    </row>
    <row r="37" spans="1:4" ht="14.45" customHeight="1">
      <c r="A37" s="1" t="s">
        <v>44</v>
      </c>
      <c r="B37" s="9"/>
      <c r="C37" s="9"/>
      <c r="D37" s="9"/>
    </row>
    <row r="38" spans="1:4" ht="14.45" customHeight="1">
      <c r="A38" s="27" t="str">
        <f>A12</f>
        <v>Fulfillment</v>
      </c>
    </row>
    <row r="39" spans="1:4" ht="14.45" customHeight="1">
      <c r="A39" s="27" t="str">
        <f t="shared" ref="A39" si="0">A13</f>
        <v>Selling, general and administrative</v>
      </c>
    </row>
    <row r="40" spans="1:4" ht="14.45" customHeight="1">
      <c r="A40" s="1" t="s">
        <v>45</v>
      </c>
      <c r="B40" s="10"/>
      <c r="C40" s="10"/>
      <c r="D40" s="10"/>
    </row>
    <row r="41" spans="1:4" ht="14.45" customHeight="1">
      <c r="A41" s="1" t="s">
        <v>46</v>
      </c>
      <c r="B41" s="10"/>
      <c r="C41" s="10"/>
      <c r="D41" s="10"/>
    </row>
    <row r="42" spans="1:4" ht="14.45" customHeight="1">
      <c r="A42" s="1"/>
      <c r="B42" s="10"/>
      <c r="C42" s="10"/>
      <c r="D42" s="10"/>
    </row>
    <row r="43" spans="1:4" ht="14.45" customHeight="1">
      <c r="A43" s="26" t="s">
        <v>47</v>
      </c>
      <c r="B43" s="10"/>
      <c r="C43" s="10"/>
      <c r="D43" s="10"/>
    </row>
    <row r="44" spans="1:4" ht="14.45" customHeight="1">
      <c r="A44" s="1" t="s">
        <v>48</v>
      </c>
      <c r="B44" s="10"/>
      <c r="C44" s="10"/>
      <c r="D44" s="10"/>
    </row>
    <row r="45" spans="1:4" ht="14.45" customHeight="1">
      <c r="A45" s="27" t="e">
        <f>#REF!</f>
        <v>#REF!</v>
      </c>
      <c r="B45" s="10"/>
      <c r="C45" s="10"/>
      <c r="D45" s="10"/>
    </row>
    <row r="46" spans="1:4" ht="14.45" customHeight="1">
      <c r="A46" s="27" t="e">
        <f>#REF!</f>
        <v>#REF!</v>
      </c>
      <c r="B46" s="12"/>
      <c r="C46" s="12"/>
      <c r="D46" s="12"/>
    </row>
    <row r="47" spans="1:4" ht="14.45" customHeight="1">
      <c r="A47" s="27"/>
      <c r="B47" s="10"/>
      <c r="C47" s="10"/>
      <c r="D47" s="10"/>
    </row>
    <row r="48" spans="1:4" ht="14.45" customHeight="1">
      <c r="A48" s="1" t="s">
        <v>43</v>
      </c>
      <c r="B48" s="10"/>
      <c r="C48" s="10"/>
      <c r="D48" s="10"/>
    </row>
    <row r="49" spans="1:4" ht="14.45" customHeight="1">
      <c r="A49" s="18"/>
      <c r="B49" s="10"/>
      <c r="C49" s="10"/>
      <c r="D49" s="10"/>
    </row>
    <row r="50" spans="1:4" ht="14.45" customHeight="1">
      <c r="A50" s="1" t="s">
        <v>44</v>
      </c>
      <c r="B50" s="10"/>
      <c r="C50" s="10"/>
      <c r="D50" s="10"/>
    </row>
    <row r="51" spans="1:4" ht="14.45" customHeight="1">
      <c r="A51" s="27" t="str">
        <f>A12</f>
        <v>Fulfillment</v>
      </c>
      <c r="B51" s="12"/>
      <c r="C51" s="12">
        <f>C55*'Financial Statements'!B31+('Financial Statements'!B82)-'Financial Statements'!D63</f>
        <v>2892</v>
      </c>
      <c r="D51" s="12"/>
    </row>
    <row r="52" spans="1:4" ht="15">
      <c r="A52" s="27" t="str">
        <f t="shared" ref="A52" si="1">A13</f>
        <v>Selling, general and administrative</v>
      </c>
      <c r="B52" s="14"/>
      <c r="C52" s="14"/>
      <c r="D52" s="14"/>
    </row>
    <row r="53" spans="1:4" ht="15">
      <c r="A53" s="1"/>
    </row>
    <row r="54" spans="1:4" ht="14.45" customHeight="1">
      <c r="A54" s="26" t="s">
        <v>49</v>
      </c>
    </row>
    <row r="55" spans="1:4" ht="14.45" customHeight="1">
      <c r="A55" s="1" t="s">
        <v>50</v>
      </c>
      <c r="B55" s="10"/>
      <c r="C55" s="10"/>
      <c r="D55" s="10"/>
    </row>
    <row r="56" spans="1:4" ht="14.45" customHeight="1">
      <c r="A56" s="1"/>
      <c r="B56" s="10"/>
      <c r="C56" s="10"/>
      <c r="D56" s="10"/>
    </row>
    <row r="57" spans="1:4" ht="15">
      <c r="A57" s="1"/>
      <c r="B57" s="10"/>
      <c r="C57" s="10"/>
      <c r="D57" s="10"/>
    </row>
    <row r="58" spans="1:4">
      <c r="A58" s="1"/>
      <c r="B58" s="10"/>
      <c r="C58" s="10"/>
      <c r="D58" s="10"/>
    </row>
    <row r="59" spans="1:4" ht="15">
      <c r="A59" s="42" t="s">
        <v>51</v>
      </c>
      <c r="B59" s="42"/>
      <c r="C59" s="42"/>
      <c r="D59" s="42"/>
    </row>
    <row r="60" spans="1:4" ht="15">
      <c r="A60" s="25"/>
      <c r="B60" s="43" t="s">
        <v>15</v>
      </c>
      <c r="C60" s="43"/>
      <c r="D60" s="43"/>
    </row>
    <row r="61" spans="1:4" ht="15">
      <c r="A61" s="11"/>
      <c r="B61" s="9">
        <v>2019</v>
      </c>
      <c r="C61" s="9">
        <v>2018</v>
      </c>
      <c r="D61" s="9">
        <v>2017</v>
      </c>
    </row>
    <row r="62" spans="1:4" ht="14.45" customHeight="1">
      <c r="A62" t="s">
        <v>52</v>
      </c>
      <c r="B62" s="10"/>
      <c r="C62" s="10"/>
      <c r="D62" s="10"/>
    </row>
    <row r="63" spans="1:4" ht="14.45" customHeight="1">
      <c r="A63" s="1" t="s">
        <v>53</v>
      </c>
      <c r="B63" s="16">
        <v>36092</v>
      </c>
      <c r="C63" s="10">
        <v>31750</v>
      </c>
      <c r="D63" s="10">
        <v>20522</v>
      </c>
    </row>
    <row r="64" spans="1:4" ht="14.45" customHeight="1">
      <c r="A64" s="1" t="s">
        <v>54</v>
      </c>
      <c r="B64" s="10">
        <v>18929</v>
      </c>
      <c r="C64" s="10">
        <v>9500</v>
      </c>
      <c r="D64" s="10">
        <v>10464</v>
      </c>
    </row>
    <row r="65" spans="1:4" ht="14.45" customHeight="1">
      <c r="A65" s="1" t="s">
        <v>55</v>
      </c>
      <c r="B65" s="10">
        <v>20497</v>
      </c>
      <c r="C65" s="10">
        <v>17174</v>
      </c>
      <c r="D65" s="10">
        <v>13164</v>
      </c>
    </row>
    <row r="66" spans="1:4" ht="14.45" customHeight="1">
      <c r="A66" s="1" t="s">
        <v>56</v>
      </c>
      <c r="B66" s="10">
        <v>20816</v>
      </c>
      <c r="C66" s="10">
        <v>16677</v>
      </c>
      <c r="D66" s="10">
        <v>16047</v>
      </c>
    </row>
    <row r="67" spans="1:4" ht="14.45" customHeight="1">
      <c r="A67" s="11" t="s">
        <v>57</v>
      </c>
      <c r="B67" s="17">
        <f>SUM(B63:B66)</f>
        <v>96334</v>
      </c>
      <c r="C67" s="17">
        <f>SUM(C63:C66)</f>
        <v>75101</v>
      </c>
      <c r="D67" s="17">
        <f>SUM(D63:D66)</f>
        <v>60197</v>
      </c>
    </row>
    <row r="68" spans="1:4" ht="14.45" customHeight="1">
      <c r="A68" t="s">
        <v>58</v>
      </c>
      <c r="B68" s="10"/>
      <c r="C68" s="10"/>
      <c r="D68" s="10"/>
    </row>
    <row r="69" spans="1:4" ht="14.45" customHeight="1">
      <c r="A69" t="s">
        <v>59</v>
      </c>
      <c r="B69" s="10">
        <v>14754</v>
      </c>
      <c r="C69" s="10">
        <v>14548</v>
      </c>
      <c r="D69" s="16">
        <v>13350</v>
      </c>
    </row>
    <row r="70" spans="1:4" ht="14.45" customHeight="1">
      <c r="A70" s="1" t="s">
        <v>60</v>
      </c>
      <c r="B70" s="10">
        <v>25141</v>
      </c>
      <c r="C70" s="10"/>
      <c r="D70" s="16"/>
    </row>
    <row r="71" spans="1:4" ht="14.45" customHeight="1">
      <c r="A71" s="1" t="s">
        <v>61</v>
      </c>
      <c r="B71" s="10">
        <v>72705</v>
      </c>
      <c r="C71" s="10">
        <v>61797</v>
      </c>
      <c r="D71" s="16">
        <v>48866</v>
      </c>
    </row>
    <row r="72" spans="1:4" ht="14.45" customHeight="1">
      <c r="A72" s="1" t="s">
        <v>62</v>
      </c>
      <c r="B72" s="33">
        <v>16314</v>
      </c>
      <c r="C72" s="33">
        <v>11202</v>
      </c>
      <c r="D72" s="16">
        <v>8897</v>
      </c>
    </row>
    <row r="73" spans="1:4" ht="15">
      <c r="A73" s="11" t="s">
        <v>63</v>
      </c>
      <c r="B73" s="14">
        <f>SUM(B69:B72)</f>
        <v>128914</v>
      </c>
      <c r="C73" s="14">
        <f>SUM(C69:C72)</f>
        <v>87547</v>
      </c>
      <c r="D73" s="14">
        <f>SUM(D69:D72)</f>
        <v>71113</v>
      </c>
    </row>
    <row r="74" spans="1:4" ht="15">
      <c r="A74" s="13" t="s">
        <v>64</v>
      </c>
      <c r="B74" s="34">
        <f>B67+B73</f>
        <v>225248</v>
      </c>
      <c r="C74" s="34">
        <f>C67+C73</f>
        <v>162648</v>
      </c>
      <c r="D74" s="34">
        <f>D67+D73</f>
        <v>131310</v>
      </c>
    </row>
    <row r="75" spans="1:4" ht="14.45" customHeight="1">
      <c r="B75" s="25"/>
      <c r="C75" s="25"/>
      <c r="D75" s="25"/>
    </row>
    <row r="76" spans="1:4" ht="14.45" customHeight="1">
      <c r="A76" t="s">
        <v>65</v>
      </c>
      <c r="B76" s="24"/>
      <c r="C76" s="24"/>
      <c r="D76" s="24"/>
    </row>
    <row r="77" spans="1:4" ht="14.45" customHeight="1">
      <c r="A77" s="1" t="s">
        <v>66</v>
      </c>
      <c r="B77" s="16">
        <v>47183</v>
      </c>
      <c r="C77" s="16">
        <v>38192</v>
      </c>
      <c r="D77" s="16">
        <v>34616</v>
      </c>
    </row>
    <row r="78" spans="1:4" ht="14.45" customHeight="1">
      <c r="A78" s="1" t="s">
        <v>67</v>
      </c>
      <c r="B78" s="16">
        <v>32439</v>
      </c>
      <c r="C78" s="16">
        <v>23663</v>
      </c>
      <c r="D78" s="16">
        <v>18170</v>
      </c>
    </row>
    <row r="79" spans="1:4" ht="14.45" customHeight="1">
      <c r="A79" s="1" t="s">
        <v>68</v>
      </c>
      <c r="B79" s="10">
        <v>8190</v>
      </c>
      <c r="C79" s="10">
        <v>6536</v>
      </c>
      <c r="D79" s="16">
        <v>5097</v>
      </c>
    </row>
    <row r="80" spans="1:4" ht="14.45" customHeight="1">
      <c r="A80" s="11" t="s">
        <v>69</v>
      </c>
      <c r="B80" s="17">
        <f>SUM(B77:B79)</f>
        <v>87812</v>
      </c>
      <c r="C80" s="17">
        <f>SUM(C77:C79)</f>
        <v>68391</v>
      </c>
      <c r="D80" s="17">
        <f>SUM(D77:D79)</f>
        <v>57883</v>
      </c>
    </row>
    <row r="81" spans="1:4" ht="14.45" customHeight="1">
      <c r="A81" t="s">
        <v>70</v>
      </c>
      <c r="B81" s="10"/>
      <c r="C81" s="10"/>
      <c r="D81" s="10"/>
    </row>
    <row r="82" spans="1:4" ht="14.45" customHeight="1">
      <c r="A82" s="1" t="s">
        <v>71</v>
      </c>
      <c r="B82">
        <v>23414</v>
      </c>
      <c r="C82" s="10">
        <v>23495</v>
      </c>
      <c r="D82" s="16">
        <v>24743</v>
      </c>
    </row>
    <row r="83" spans="1:4" ht="14.45" customHeight="1">
      <c r="A83" s="1" t="s">
        <v>72</v>
      </c>
      <c r="B83">
        <v>39791</v>
      </c>
      <c r="C83">
        <v>9650</v>
      </c>
      <c r="D83" s="16">
        <v>0</v>
      </c>
    </row>
    <row r="84" spans="1:4" ht="14.45" customHeight="1">
      <c r="A84" s="1" t="s">
        <v>73</v>
      </c>
      <c r="B84" s="10">
        <v>12171</v>
      </c>
      <c r="C84" s="10">
        <v>17563</v>
      </c>
      <c r="D84" s="16">
        <v>20975</v>
      </c>
    </row>
    <row r="85" spans="1:4" ht="14.45" customHeight="1">
      <c r="A85" s="31" t="s">
        <v>74</v>
      </c>
      <c r="B85" s="9">
        <f>SUM(B82:B84)</f>
        <v>75376</v>
      </c>
      <c r="C85" s="17">
        <f>SUM(C82:C84)</f>
        <v>50708</v>
      </c>
      <c r="D85" s="17">
        <f>SUM(D82:D84)</f>
        <v>45718</v>
      </c>
    </row>
    <row r="86" spans="1:4" ht="14.45" customHeight="1">
      <c r="A86" s="11" t="s">
        <v>75</v>
      </c>
      <c r="B86" s="17">
        <f>B80+B85</f>
        <v>163188</v>
      </c>
      <c r="C86" s="17">
        <f>C80+C85</f>
        <v>119099</v>
      </c>
      <c r="D86" s="17">
        <f>D80+D85</f>
        <v>103601</v>
      </c>
    </row>
    <row r="87" spans="1:4" ht="14.45" customHeight="1">
      <c r="B87" s="10"/>
      <c r="C87" s="10"/>
      <c r="D87" s="10"/>
    </row>
    <row r="88" spans="1:4" ht="14.45" customHeight="1">
      <c r="A88" t="s">
        <v>76</v>
      </c>
      <c r="B88" s="10"/>
      <c r="C88" s="10"/>
      <c r="D88" s="10"/>
    </row>
    <row r="89" spans="1:4" ht="14.45" customHeight="1">
      <c r="A89" s="1" t="s">
        <v>77</v>
      </c>
      <c r="B89" s="10">
        <v>5</v>
      </c>
      <c r="C89" s="10">
        <v>5</v>
      </c>
      <c r="D89" s="10">
        <v>5</v>
      </c>
    </row>
    <row r="90" spans="1:4" ht="14.45" customHeight="1">
      <c r="A90" s="1" t="s">
        <v>78</v>
      </c>
      <c r="B90" s="10">
        <v>-1837</v>
      </c>
      <c r="C90" s="10">
        <v>-1837</v>
      </c>
      <c r="D90" s="10">
        <v>-1837</v>
      </c>
    </row>
    <row r="91" spans="1:4" ht="14.45" customHeight="1">
      <c r="A91" s="1" t="s">
        <v>79</v>
      </c>
      <c r="B91" s="10">
        <v>31220</v>
      </c>
      <c r="C91" s="10">
        <v>19625</v>
      </c>
      <c r="D91" s="10">
        <v>21389</v>
      </c>
    </row>
    <row r="92" spans="1:4" ht="14.45" customHeight="1">
      <c r="A92" s="1" t="s">
        <v>80</v>
      </c>
      <c r="B92" s="10">
        <v>33658</v>
      </c>
      <c r="C92" s="10">
        <v>26791</v>
      </c>
      <c r="D92" s="10">
        <v>8636</v>
      </c>
    </row>
    <row r="93" spans="1:4" ht="14.45" customHeight="1">
      <c r="A93" s="1" t="s">
        <v>81</v>
      </c>
      <c r="B93" s="10">
        <v>-986</v>
      </c>
      <c r="C93" s="10">
        <v>-1035</v>
      </c>
      <c r="D93" s="10">
        <v>-484</v>
      </c>
    </row>
    <row r="94" spans="1:4" ht="14.45" customHeight="1">
      <c r="A94" s="11" t="s">
        <v>82</v>
      </c>
      <c r="B94" s="17">
        <f>SUM(B89:B93)</f>
        <v>62060</v>
      </c>
      <c r="C94" s="17">
        <f>SUM(C89:C93)</f>
        <v>43549</v>
      </c>
      <c r="D94" s="17">
        <f>SUM(D89:D93)</f>
        <v>27709</v>
      </c>
    </row>
    <row r="95" spans="1:4" ht="14.45" customHeight="1">
      <c r="A95" s="13" t="s">
        <v>83</v>
      </c>
      <c r="B95" s="12">
        <f>B86+B94</f>
        <v>225248</v>
      </c>
      <c r="C95" s="12">
        <f>C86+C94</f>
        <v>162648</v>
      </c>
      <c r="D95" s="12">
        <f>D86+D94</f>
        <v>131310</v>
      </c>
    </row>
    <row r="96" spans="1:4" ht="14.45" customHeight="1">
      <c r="A96" s="9"/>
      <c r="B96" s="10"/>
      <c r="C96" s="10"/>
      <c r="D96" s="10"/>
    </row>
    <row r="97" spans="1:4" ht="14.45" customHeight="1">
      <c r="A97" s="26" t="s">
        <v>47</v>
      </c>
      <c r="B97" s="10"/>
      <c r="C97" s="10"/>
      <c r="D97" s="10"/>
    </row>
    <row r="98" spans="1:4" ht="14.45" customHeight="1">
      <c r="A98" t="s">
        <v>84</v>
      </c>
      <c r="B98" s="10"/>
      <c r="C98" s="10"/>
      <c r="D98" s="10"/>
    </row>
    <row r="99" spans="1:4" ht="14.45" customHeight="1">
      <c r="A99" s="32" t="str">
        <f>A67</f>
        <v>Total current assets</v>
      </c>
      <c r="B99" s="10"/>
      <c r="C99" s="10">
        <f>(C74-D74)/D74</f>
        <v>0.23865661411925976</v>
      </c>
      <c r="D99" s="10"/>
    </row>
    <row r="100" spans="1:4" ht="14.45" customHeight="1">
      <c r="A100" s="32" t="str">
        <f>A73</f>
        <v>Total non current assets</v>
      </c>
      <c r="B100" s="10"/>
      <c r="C100" s="10"/>
      <c r="D100" s="10"/>
    </row>
    <row r="101" spans="1:4" ht="14.45" customHeight="1">
      <c r="B101" s="10"/>
      <c r="C101" s="10"/>
      <c r="D101" s="10"/>
    </row>
    <row r="102" spans="1:4" ht="14.45" customHeight="1">
      <c r="A102" t="str">
        <f>A86</f>
        <v>Total liabilities</v>
      </c>
      <c r="B102" s="10"/>
      <c r="C102" s="10"/>
      <c r="D102" s="10"/>
    </row>
    <row r="103" spans="1:4" ht="14.45" customHeight="1">
      <c r="A103" s="32" t="str">
        <f>A80</f>
        <v>Total current liabilities</v>
      </c>
      <c r="B103" s="10"/>
      <c r="C103" s="10"/>
      <c r="D103" s="10"/>
    </row>
    <row r="104" spans="1:4" ht="14.45" customHeight="1">
      <c r="A104" s="32" t="str">
        <f>A85</f>
        <v>Total non current liabilities</v>
      </c>
      <c r="B104" s="10"/>
      <c r="C104" s="10"/>
      <c r="D104" s="10"/>
    </row>
    <row r="105" spans="1:4" ht="14.45" customHeight="1">
      <c r="B105" s="12"/>
      <c r="C105" s="12"/>
      <c r="D105" s="12"/>
    </row>
    <row r="106" spans="1:4" ht="14.45" customHeight="1">
      <c r="A106" t="str">
        <f>A94</f>
        <v>Total shareholders’ equity</v>
      </c>
      <c r="B106" s="10"/>
      <c r="C106" s="10"/>
      <c r="D106" s="10"/>
    </row>
    <row r="107" spans="1:4" ht="14.45" customHeight="1">
      <c r="B107" s="10"/>
      <c r="C107" s="10"/>
      <c r="D107" s="10"/>
    </row>
    <row r="108" spans="1:4" ht="14.45" customHeight="1">
      <c r="A108" t="str">
        <f>A95</f>
        <v>Total liabilities and shareholders’ equity</v>
      </c>
      <c r="B108" s="10"/>
      <c r="C108" s="10"/>
      <c r="D108" s="10"/>
    </row>
    <row r="109" spans="1:4" ht="15">
      <c r="A109" s="1"/>
      <c r="B109" s="10"/>
      <c r="C109" s="10"/>
      <c r="D109" s="10"/>
    </row>
    <row r="110" spans="1:4">
      <c r="A110" s="1"/>
      <c r="B110" s="10"/>
      <c r="C110" s="10"/>
      <c r="D110" s="10"/>
    </row>
    <row r="111" spans="1:4">
      <c r="A111" s="1"/>
      <c r="B111" s="10"/>
      <c r="C111" s="10"/>
      <c r="D111" s="10"/>
    </row>
    <row r="112" spans="1:4">
      <c r="A112" s="1"/>
      <c r="B112" s="10"/>
      <c r="C112" s="10"/>
      <c r="D112" s="10"/>
    </row>
    <row r="113" spans="1:4">
      <c r="A113" s="1"/>
      <c r="B113" s="10"/>
      <c r="C113" s="10"/>
      <c r="D113" s="10"/>
    </row>
    <row r="114" spans="1:4">
      <c r="A114" s="1"/>
      <c r="B114" s="10"/>
      <c r="C114" s="10"/>
      <c r="D114" s="10"/>
    </row>
    <row r="115" spans="1:4">
      <c r="A115" s="11"/>
      <c r="B115" s="12"/>
      <c r="C115" s="12"/>
      <c r="D115" s="12"/>
    </row>
    <row r="116" spans="1:4">
      <c r="A116" s="11"/>
      <c r="B116" s="12"/>
      <c r="C116" s="12"/>
      <c r="D116" s="12"/>
    </row>
    <row r="117" spans="1:4" ht="15" thickBot="1">
      <c r="A117" s="13"/>
      <c r="B117" s="14"/>
      <c r="C117" s="14"/>
      <c r="D117" s="14"/>
    </row>
    <row r="118" spans="1:4" ht="15" thickTop="1">
      <c r="B118" s="10"/>
      <c r="C118" s="10"/>
      <c r="D118" s="10"/>
    </row>
    <row r="119" spans="1:4" ht="15">
      <c r="A119" s="42" t="s">
        <v>85</v>
      </c>
      <c r="B119" s="42"/>
      <c r="C119" s="42"/>
      <c r="D119" s="42"/>
    </row>
    <row r="120" spans="1:4" ht="15">
      <c r="A120" s="25"/>
      <c r="B120" s="43" t="s">
        <v>15</v>
      </c>
      <c r="C120" s="43"/>
      <c r="D120" s="43"/>
    </row>
    <row r="121" spans="1:4" ht="15">
      <c r="B121" s="9">
        <v>2019</v>
      </c>
      <c r="C121" s="9">
        <v>2018</v>
      </c>
      <c r="D121" s="9">
        <v>2017</v>
      </c>
    </row>
    <row r="122" spans="1:4" ht="15">
      <c r="A122" s="9" t="s">
        <v>86</v>
      </c>
      <c r="B122" s="16">
        <v>32173</v>
      </c>
      <c r="C122" s="16">
        <v>21856</v>
      </c>
      <c r="D122" s="16">
        <v>19934</v>
      </c>
    </row>
    <row r="123" spans="1:4" ht="15">
      <c r="A123" t="s">
        <v>87</v>
      </c>
      <c r="B123" s="16"/>
      <c r="D123" s="16"/>
    </row>
    <row r="124" spans="1:4" ht="15">
      <c r="A124" s="18" t="s">
        <v>37</v>
      </c>
      <c r="B124" s="16">
        <v>11588</v>
      </c>
      <c r="C124">
        <v>10073</v>
      </c>
      <c r="D124" s="16">
        <v>3033</v>
      </c>
    </row>
    <row r="125" spans="1:4" ht="15">
      <c r="A125" s="1" t="s">
        <v>88</v>
      </c>
    </row>
    <row r="126" spans="1:4" ht="15">
      <c r="A126" s="19" t="s">
        <v>89</v>
      </c>
      <c r="B126" s="16">
        <v>21789</v>
      </c>
      <c r="C126" s="16">
        <v>15341</v>
      </c>
      <c r="D126" s="16">
        <v>11478</v>
      </c>
    </row>
    <row r="127" spans="1:4" ht="15">
      <c r="A127" s="19" t="s">
        <v>90</v>
      </c>
      <c r="B127" s="16">
        <v>6864</v>
      </c>
      <c r="C127" s="16">
        <v>5418</v>
      </c>
      <c r="D127" s="16">
        <v>4215</v>
      </c>
    </row>
    <row r="128" spans="1:4" ht="15">
      <c r="A128" s="19" t="s">
        <v>91</v>
      </c>
      <c r="B128">
        <v>796</v>
      </c>
      <c r="C128">
        <v>441</v>
      </c>
      <c r="D128" s="38">
        <v>-29</v>
      </c>
    </row>
    <row r="129" spans="1:4" ht="15">
      <c r="A129" s="19" t="s">
        <v>92</v>
      </c>
      <c r="B129">
        <v>-85</v>
      </c>
      <c r="C129">
        <v>493</v>
      </c>
      <c r="D129">
        <v>-90</v>
      </c>
    </row>
    <row r="130" spans="1:4" ht="15">
      <c r="A130" t="s">
        <v>93</v>
      </c>
    </row>
    <row r="131" spans="1:4" ht="15">
      <c r="A131" s="1" t="s">
        <v>55</v>
      </c>
      <c r="B131" s="16">
        <v>-7681</v>
      </c>
      <c r="C131">
        <v>-4615</v>
      </c>
      <c r="D131">
        <v>-4780</v>
      </c>
    </row>
    <row r="132" spans="1:4" ht="15">
      <c r="A132" s="1" t="s">
        <v>56</v>
      </c>
      <c r="B132" s="16">
        <v>-3278</v>
      </c>
      <c r="C132">
        <v>-1314</v>
      </c>
      <c r="D132">
        <v>-3583</v>
      </c>
    </row>
    <row r="133" spans="1:4" ht="15">
      <c r="A133" s="1" t="s">
        <v>94</v>
      </c>
      <c r="B133">
        <v>-1383</v>
      </c>
      <c r="C133">
        <v>472</v>
      </c>
      <c r="D133">
        <v>283</v>
      </c>
    </row>
    <row r="134" spans="1:4" ht="15">
      <c r="A134" s="1" t="s">
        <v>66</v>
      </c>
      <c r="B134" s="16">
        <v>8193</v>
      </c>
      <c r="C134" s="16">
        <v>3263</v>
      </c>
      <c r="D134" s="16">
        <v>7100</v>
      </c>
    </row>
    <row r="135" spans="1:4" ht="15">
      <c r="A135" s="1" t="s">
        <v>68</v>
      </c>
      <c r="B135" s="16">
        <v>1711</v>
      </c>
      <c r="C135" s="16">
        <v>1151</v>
      </c>
      <c r="D135">
        <v>738</v>
      </c>
    </row>
    <row r="136" spans="1:4" ht="15">
      <c r="A136" s="11" t="s">
        <v>95</v>
      </c>
      <c r="B136" s="28">
        <f>SUM(B124:B135)</f>
        <v>38514</v>
      </c>
      <c r="C136" s="9">
        <f>SUM(C124:C135)</f>
        <v>30723</v>
      </c>
      <c r="D136" s="28">
        <f>SUM(D124:D135)</f>
        <v>18365</v>
      </c>
    </row>
    <row r="137" spans="1:4" ht="15">
      <c r="A137" s="9" t="s">
        <v>96</v>
      </c>
    </row>
    <row r="138" spans="1:4" ht="15">
      <c r="A138" s="1" t="s">
        <v>97</v>
      </c>
      <c r="B138">
        <v>-31812</v>
      </c>
      <c r="C138">
        <v>-7100</v>
      </c>
      <c r="D138" s="16">
        <v>-12731</v>
      </c>
    </row>
    <row r="139" spans="1:4" ht="15">
      <c r="A139" s="1" t="s">
        <v>98</v>
      </c>
      <c r="B139">
        <v>4172</v>
      </c>
      <c r="C139">
        <v>2104</v>
      </c>
      <c r="D139">
        <v>1897</v>
      </c>
    </row>
    <row r="140" spans="1:4" ht="15">
      <c r="A140" s="1" t="s">
        <v>99</v>
      </c>
      <c r="B140">
        <v>22681</v>
      </c>
      <c r="C140">
        <v>8240</v>
      </c>
      <c r="D140">
        <v>9677</v>
      </c>
    </row>
    <row r="141" spans="1:4" ht="15">
      <c r="A141" s="35" t="s">
        <v>100</v>
      </c>
      <c r="B141">
        <v>-16861</v>
      </c>
      <c r="C141">
        <v>-13427</v>
      </c>
      <c r="D141">
        <v>-11955</v>
      </c>
    </row>
    <row r="142" spans="1:4" ht="15">
      <c r="A142" s="1" t="s">
        <v>101</v>
      </c>
      <c r="B142">
        <v>-2461</v>
      </c>
      <c r="C142">
        <v>-2186</v>
      </c>
      <c r="D142">
        <v>-13972</v>
      </c>
    </row>
    <row r="143" spans="1:4" ht="15">
      <c r="A143" s="11" t="s">
        <v>102</v>
      </c>
      <c r="B143" s="9">
        <f>SUM(B138:B142)</f>
        <v>-24281</v>
      </c>
      <c r="C143" s="9">
        <f>SUM(C138:C142)</f>
        <v>-12369</v>
      </c>
      <c r="D143" s="28">
        <f>SUM(D138:D142)</f>
        <v>-27084</v>
      </c>
    </row>
    <row r="144" spans="1:4" ht="15">
      <c r="A144" s="9" t="s">
        <v>103</v>
      </c>
    </row>
    <row r="145" spans="1:4" ht="15">
      <c r="A145" s="1" t="s">
        <v>104</v>
      </c>
      <c r="B145">
        <v>-27</v>
      </c>
      <c r="C145">
        <v>-337</v>
      </c>
      <c r="D145">
        <v>-200</v>
      </c>
    </row>
    <row r="146" spans="1:4" ht="15">
      <c r="A146" s="1" t="s">
        <v>105</v>
      </c>
      <c r="B146">
        <v>-9628</v>
      </c>
      <c r="C146">
        <v>-7449</v>
      </c>
      <c r="D146">
        <v>-4799</v>
      </c>
    </row>
    <row r="147" spans="1:4" ht="15">
      <c r="A147" s="1" t="s">
        <v>106</v>
      </c>
      <c r="B147">
        <v>2273</v>
      </c>
      <c r="C147">
        <v>768</v>
      </c>
      <c r="D147">
        <v>16228</v>
      </c>
    </row>
    <row r="148" spans="1:4" ht="15">
      <c r="A148" s="1" t="s">
        <v>107</v>
      </c>
      <c r="B148">
        <v>-2684</v>
      </c>
      <c r="C148">
        <v>-668</v>
      </c>
      <c r="D148">
        <v>-1301</v>
      </c>
    </row>
    <row r="149" spans="1:4" ht="15">
      <c r="A149" s="11" t="s">
        <v>108</v>
      </c>
      <c r="B149" s="9">
        <f>SUM(B145:B148)</f>
        <v>-10066</v>
      </c>
      <c r="C149" s="9">
        <f>SUM(C145:C148)</f>
        <v>-7686</v>
      </c>
      <c r="D149" s="9">
        <f>SUM(D145:D148)</f>
        <v>9928</v>
      </c>
    </row>
    <row r="150" spans="1:4" ht="15">
      <c r="A150" t="s">
        <v>109</v>
      </c>
      <c r="B150">
        <v>70</v>
      </c>
      <c r="C150">
        <v>-351</v>
      </c>
      <c r="D150">
        <v>713</v>
      </c>
    </row>
    <row r="151" spans="1:4" ht="15">
      <c r="A151" s="11" t="s">
        <v>110</v>
      </c>
      <c r="B151" s="16">
        <f>B136+B143+B149+B150</f>
        <v>4237</v>
      </c>
      <c r="C151">
        <f>C136+C143+C149+C150</f>
        <v>10317</v>
      </c>
      <c r="D151" s="16">
        <f>D136+D143+D149+D150</f>
        <v>1922</v>
      </c>
    </row>
    <row r="152" spans="1:4" ht="15">
      <c r="A152" s="13" t="s">
        <v>111</v>
      </c>
      <c r="B152" s="16">
        <f>B122+B151</f>
        <v>36410</v>
      </c>
      <c r="C152" s="16">
        <f>C122+C151</f>
        <v>32173</v>
      </c>
      <c r="D152" s="16">
        <f>D122+D151</f>
        <v>21856</v>
      </c>
    </row>
    <row r="153" spans="1:4" ht="15"/>
    <row r="154" spans="1:4" ht="15">
      <c r="A154" t="s">
        <v>112</v>
      </c>
    </row>
    <row r="155" spans="1:4" ht="15">
      <c r="A155" t="s">
        <v>113</v>
      </c>
      <c r="B155">
        <v>881</v>
      </c>
      <c r="C155">
        <v>1184</v>
      </c>
      <c r="D155">
        <v>957</v>
      </c>
    </row>
    <row r="156" spans="1:4" ht="15">
      <c r="A156" t="s">
        <v>114</v>
      </c>
      <c r="B156">
        <v>875</v>
      </c>
      <c r="C156">
        <v>854</v>
      </c>
      <c r="D156">
        <v>328</v>
      </c>
    </row>
    <row r="157" spans="1:4" ht="15"/>
    <row r="158" spans="1:4" ht="15">
      <c r="A158" s="36" t="str">
        <f>A41</f>
        <v>Net profit</v>
      </c>
    </row>
    <row r="159" spans="1:4" ht="15">
      <c r="A159" t="s">
        <v>115</v>
      </c>
      <c r="B159">
        <f>-B141/'Financial Statements'!B8</f>
        <v>6.0105802753438235E-2</v>
      </c>
      <c r="C159">
        <f>-C141/'Financial Statements'!C8</f>
        <v>5.7654570671613274E-2</v>
      </c>
      <c r="D159">
        <f>-D141/'Financial Statements'!D8</f>
        <v>6.7213520290555814E-2</v>
      </c>
    </row>
    <row r="160" spans="1:4" ht="15">
      <c r="A160" t="s">
        <v>116</v>
      </c>
      <c r="B160" s="41"/>
    </row>
    <row r="161" spans="1:4" ht="15"/>
    <row r="162" spans="1:4" ht="15"/>
    <row r="163" spans="1:4" ht="15"/>
    <row r="164" spans="1:4" ht="15">
      <c r="A164" s="37" t="s">
        <v>117</v>
      </c>
      <c r="B164" s="16">
        <f>B136+B141+B147</f>
        <v>23926</v>
      </c>
      <c r="C164">
        <f>C136+C141+C147</f>
        <v>18064</v>
      </c>
      <c r="D164" s="16">
        <f>D136+D141+D147</f>
        <v>22638</v>
      </c>
    </row>
    <row r="165" spans="1:4" ht="15"/>
    <row r="168" spans="1:4" ht="15"/>
  </sheetData>
  <mergeCells count="6">
    <mergeCell ref="A119:D119"/>
    <mergeCell ref="B120:D120"/>
    <mergeCell ref="A2:D2"/>
    <mergeCell ref="B3:D3"/>
    <mergeCell ref="A59:D59"/>
    <mergeCell ref="B60:D6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5"/>
  <sheetViews>
    <sheetView topLeftCell="A30" workbookViewId="0">
      <selection activeCell="E51" sqref="E51"/>
    </sheetView>
  </sheetViews>
  <sheetFormatPr defaultRowHeight="14.45"/>
  <cols>
    <col min="1" max="1" width="4.7109375" customWidth="1"/>
    <col min="2" max="2" width="44.85546875" customWidth="1"/>
  </cols>
  <sheetData>
    <row r="1" spans="1:17" ht="60" customHeight="1">
      <c r="A1" s="7"/>
      <c r="B1" s="20" t="s">
        <v>118</v>
      </c>
      <c r="C1" s="21"/>
      <c r="D1" s="21"/>
      <c r="E1" s="21"/>
      <c r="F1" s="21"/>
      <c r="G1" s="21"/>
      <c r="H1" s="21"/>
      <c r="I1" s="21"/>
      <c r="J1" s="21"/>
    </row>
    <row r="2" spans="1:17">
      <c r="C2" s="43" t="s">
        <v>119</v>
      </c>
      <c r="D2" s="43"/>
      <c r="E2" s="43"/>
    </row>
    <row r="3" spans="1:17">
      <c r="C3" s="9">
        <v>2019</v>
      </c>
      <c r="D3" s="9">
        <v>2018</v>
      </c>
      <c r="E3" s="9">
        <v>2017</v>
      </c>
    </row>
    <row r="4" spans="1:17">
      <c r="A4" s="22">
        <v>1</v>
      </c>
      <c r="B4" s="9" t="s">
        <v>120</v>
      </c>
    </row>
    <row r="5" spans="1:17">
      <c r="A5" s="22">
        <f>+A4+0.1</f>
        <v>1.1000000000000001</v>
      </c>
      <c r="B5" s="1" t="s">
        <v>121</v>
      </c>
      <c r="C5">
        <f>'Financial Statements'!B67/'Financial Statements'!B80</f>
        <v>1.0970482394205803</v>
      </c>
      <c r="D5">
        <f>'Financial Statements'!C67/'Financial Statements'!C80</f>
        <v>1.0981123247210891</v>
      </c>
      <c r="E5">
        <f>'Financial Statements'!D67/'Financial Statements'!D80</f>
        <v>1.039977195376881</v>
      </c>
    </row>
    <row r="6" spans="1:17" ht="15">
      <c r="A6" s="22">
        <f t="shared" ref="A6:A13" si="0">+A5+0.1</f>
        <v>1.2000000000000002</v>
      </c>
      <c r="B6" s="1" t="s">
        <v>122</v>
      </c>
      <c r="C6">
        <f>('Financial Statements'!B67-'Financial Statements'!B66)/'Financial Statements'!B80</f>
        <v>0.85999635585113654</v>
      </c>
      <c r="D6">
        <f>('Financial Statements'!C67-'Financial Statements'!C66)/'Financial Statements'!C80</f>
        <v>0.85426445000073103</v>
      </c>
      <c r="E6">
        <f>('Financial Statements'!D67-'Financial Statements'!D66)/'Financial Statements'!D80</f>
        <v>0.76274553841369663</v>
      </c>
      <c r="M6" s="40" t="s">
        <v>123</v>
      </c>
    </row>
    <row r="7" spans="1:17" ht="15">
      <c r="A7" s="22">
        <f t="shared" si="0"/>
        <v>1.3000000000000003</v>
      </c>
      <c r="B7" s="1" t="s">
        <v>124</v>
      </c>
      <c r="C7">
        <f>'Financial Statements'!B63/'Financial Statements'!B80</f>
        <v>0.41101443993987152</v>
      </c>
      <c r="D7">
        <f>'Financial Statements'!C63/'Financial Statements'!C80</f>
        <v>0.46424237107221711</v>
      </c>
      <c r="E7">
        <f>'Financial Statements'!D77/'Financial Statements'!D80</f>
        <v>0.59803396506746365</v>
      </c>
      <c r="M7" t="s">
        <v>125</v>
      </c>
      <c r="O7" s="17">
        <v>96334</v>
      </c>
      <c r="P7">
        <v>75101</v>
      </c>
      <c r="Q7">
        <v>60197</v>
      </c>
    </row>
    <row r="8" spans="1:17">
      <c r="A8" s="22">
        <f t="shared" si="0"/>
        <v>1.4000000000000004</v>
      </c>
      <c r="B8" s="1" t="s">
        <v>126</v>
      </c>
      <c r="C8">
        <f>'Financial Statements'!B67/('Financial Statements'!B17-'Financial Statements'!B126)*365</f>
        <v>447.03404698942228</v>
      </c>
      <c r="D8">
        <f>'Financial Statements'!C67/('Financial Statements'!C17-'Financial Statements'!C126)*365</f>
        <v>415.52645939759583</v>
      </c>
      <c r="E8">
        <f>'Financial Statements'!D67/('Financial Statements'!D17-'Financial Statements'!D126)*365</f>
        <v>436.4007507746087</v>
      </c>
      <c r="M8" t="s">
        <v>127</v>
      </c>
      <c r="O8">
        <v>87812</v>
      </c>
      <c r="P8">
        <v>68391</v>
      </c>
      <c r="Q8">
        <v>57883</v>
      </c>
    </row>
    <row r="9" spans="1:17">
      <c r="A9" s="22">
        <f t="shared" si="0"/>
        <v>1.5000000000000004</v>
      </c>
      <c r="B9" s="1" t="s">
        <v>128</v>
      </c>
      <c r="C9">
        <f>'Financial Statements'!B66/'Financial Statements'!B9*365</f>
        <v>45.898414846317422</v>
      </c>
      <c r="D9">
        <f>'Financial Statements'!C66/'Financial Statements'!C9*365</f>
        <v>43.743029405846677</v>
      </c>
      <c r="E9">
        <f>'Financial Statements'!D66/'Financial Statements'!D9*365</f>
        <v>52.326862258116392</v>
      </c>
      <c r="M9" t="s">
        <v>129</v>
      </c>
      <c r="O9" s="41">
        <f>O7-O8</f>
        <v>8522</v>
      </c>
      <c r="P9">
        <f>P7-P8</f>
        <v>6710</v>
      </c>
      <c r="Q9">
        <f>Q7-Q8</f>
        <v>2314</v>
      </c>
    </row>
    <row r="10" spans="1:17">
      <c r="A10" s="22">
        <f t="shared" si="0"/>
        <v>1.6000000000000005</v>
      </c>
      <c r="B10" s="1" t="s">
        <v>130</v>
      </c>
      <c r="C10">
        <f>'Financial Statements'!B77/'Financial Statements'!B9*365</f>
        <v>104.03655398221535</v>
      </c>
      <c r="D10">
        <f>'Financial Statements'!C77/'Financial Statements'!C9*365</f>
        <v>100.1759176751272</v>
      </c>
      <c r="E10">
        <f>'Financial Statements'!D77/'Financial Statements'!D9*365</f>
        <v>112.87758857898403</v>
      </c>
    </row>
    <row r="11" spans="1:17">
      <c r="A11" s="22">
        <f t="shared" si="0"/>
        <v>1.7000000000000006</v>
      </c>
      <c r="B11" s="1" t="s">
        <v>131</v>
      </c>
      <c r="C11">
        <f>'Financial Statements'!B65/'Financial Statements'!B8*365</f>
        <v>26.669583847256188</v>
      </c>
      <c r="D11">
        <f>'Financial Statements'!C66/'Financial Statements'!C8*365</f>
        <v>26.137590333509387</v>
      </c>
      <c r="E11" s="39">
        <f>'Financial Statements'!D65/'Financial Statements'!D8*365</f>
        <v>27.013931836326226</v>
      </c>
    </row>
    <row r="12" spans="1:17">
      <c r="A12" s="22">
        <f t="shared" si="0"/>
        <v>1.8000000000000007</v>
      </c>
      <c r="B12" s="1" t="s">
        <v>132</v>
      </c>
      <c r="C12">
        <f>C11+C9-C10</f>
        <v>-31.468555288641738</v>
      </c>
      <c r="D12">
        <f>D11+D9-D10</f>
        <v>-30.295297935771131</v>
      </c>
      <c r="E12">
        <f>E11+E9-E10</f>
        <v>-33.536794484541417</v>
      </c>
    </row>
    <row r="13" spans="1:17">
      <c r="A13" s="22">
        <f t="shared" si="0"/>
        <v>1.9000000000000008</v>
      </c>
      <c r="B13" s="1" t="s">
        <v>133</v>
      </c>
      <c r="C13">
        <f>C14/'Financial Statements'!B8*100</f>
        <v>3.0379079002716365</v>
      </c>
      <c r="D13">
        <f>P9/'Financial Statements'!C8*100</f>
        <v>2.8812256587958966</v>
      </c>
      <c r="E13">
        <f>E14/'Financial Statements'!D8*100</f>
        <v>1.3009793889782195</v>
      </c>
    </row>
    <row r="14" spans="1:17">
      <c r="A14" s="22"/>
      <c r="B14" s="19" t="s">
        <v>134</v>
      </c>
      <c r="C14">
        <v>8522</v>
      </c>
      <c r="D14">
        <v>6710</v>
      </c>
      <c r="E14">
        <v>2314</v>
      </c>
    </row>
    <row r="15" spans="1:17">
      <c r="A15" s="22"/>
    </row>
    <row r="16" spans="1:17">
      <c r="A16" s="22">
        <f>+A4+1</f>
        <v>2</v>
      </c>
      <c r="B16" s="23" t="s">
        <v>135</v>
      </c>
    </row>
    <row r="17" spans="1:5">
      <c r="A17" s="22">
        <f>+A16+0.1</f>
        <v>2.1</v>
      </c>
      <c r="B17" s="1" t="s">
        <v>136</v>
      </c>
      <c r="C17">
        <f>'Financial Statements'!B10/'Financial Statements'!B8*100</f>
        <v>40.990011478600607</v>
      </c>
      <c r="D17">
        <f>'Financial Statements'!C10/'Financial Statements'!C8*100</f>
        <v>40.247416128852194</v>
      </c>
      <c r="E17">
        <f>'Financial Statements'!D10/'Financial Statements'!D8*100</f>
        <v>37.068354828916149</v>
      </c>
    </row>
    <row r="18" spans="1:5">
      <c r="A18" s="22">
        <f>+A17+0.1</f>
        <v>2.2000000000000002</v>
      </c>
      <c r="B18" s="1" t="s">
        <v>137</v>
      </c>
      <c r="C18">
        <f>C19/'Financial Statements'!B8</f>
        <v>0.12950855904349748</v>
      </c>
      <c r="D18">
        <f>D19/'Financial Statements'!C8</f>
        <v>0.11920802792770743</v>
      </c>
      <c r="E18">
        <f>E19/'Financial Statements'!D8</f>
        <v>8.7616520301800227E-2</v>
      </c>
    </row>
    <row r="19" spans="1:5">
      <c r="A19" s="22"/>
      <c r="B19" s="19" t="s">
        <v>138</v>
      </c>
      <c r="C19" s="16">
        <f>C21+'Financial Statements'!B126</f>
        <v>36330</v>
      </c>
      <c r="D19" s="16">
        <f>D21+'Financial Statements'!C126</f>
        <v>27762</v>
      </c>
      <c r="E19" s="16">
        <f>'Financial Statements'!D126+'List of Ratios'!E21</f>
        <v>15584</v>
      </c>
    </row>
    <row r="20" spans="1:5">
      <c r="A20" s="22">
        <f>+A18+0.1</f>
        <v>2.3000000000000003</v>
      </c>
      <c r="B20" s="1" t="s">
        <v>139</v>
      </c>
      <c r="C20">
        <f>C21/'Financial Statements'!B8</f>
        <v>5.1835506662579051E-2</v>
      </c>
      <c r="D20">
        <f>'List of Ratios'!D21/'Financial Statements'!C8</f>
        <v>5.3334879147397665E-2</v>
      </c>
      <c r="E20">
        <f>E21/'Financial Statements'!D8</f>
        <v>2.3084794170892695E-2</v>
      </c>
    </row>
    <row r="21" spans="1:5">
      <c r="A21" s="22"/>
      <c r="B21" s="19" t="s">
        <v>140</v>
      </c>
      <c r="C21">
        <f>'Financial Statements'!B18</f>
        <v>14541</v>
      </c>
      <c r="D21">
        <f>'Financial Statements'!C18</f>
        <v>12421</v>
      </c>
      <c r="E21">
        <f>'Financial Statements'!D18</f>
        <v>4106</v>
      </c>
    </row>
    <row r="22" spans="1:5">
      <c r="A22" s="22">
        <f>+A20+0.1</f>
        <v>2.4000000000000004</v>
      </c>
      <c r="B22" s="1" t="s">
        <v>141</v>
      </c>
      <c r="C22">
        <f>'Financial Statements'!B26/'Financial Statements'!B8</f>
        <v>4.1308703060722513E-2</v>
      </c>
      <c r="D22">
        <f>'Financial Statements'!C26/'Financial Statements'!C8</f>
        <v>4.3252736305590261E-2</v>
      </c>
      <c r="E22">
        <f>'Financial Statements'!D26/'Financial Statements'!D8</f>
        <v>1.7052162864178651E-2</v>
      </c>
    </row>
    <row r="23" spans="1:5">
      <c r="A23" s="22"/>
    </row>
    <row r="24" spans="1:5">
      <c r="A24" s="22">
        <f>+A16+1</f>
        <v>3</v>
      </c>
      <c r="B24" s="9" t="s">
        <v>142</v>
      </c>
    </row>
    <row r="25" spans="1:5">
      <c r="A25" s="22">
        <f>+A24+0.1</f>
        <v>3.1</v>
      </c>
      <c r="B25" s="1" t="s">
        <v>143</v>
      </c>
      <c r="C25">
        <f>'Financial Statements'!B82/'Financial Statements'!B94</f>
        <v>0.37728005156300354</v>
      </c>
      <c r="D25">
        <f>'Financial Statements'!C82/'Financial Statements'!C94</f>
        <v>0.53950722175021237</v>
      </c>
      <c r="E25">
        <f>'Financial Statements'!D82/'Financial Statements'!D94</f>
        <v>0.89295896640080841</v>
      </c>
    </row>
    <row r="26" spans="1:5">
      <c r="A26" s="22">
        <f t="shared" ref="A26:A30" si="1">+A25+0.1</f>
        <v>3.2</v>
      </c>
      <c r="B26" s="1" t="s">
        <v>144</v>
      </c>
      <c r="C26">
        <f>'Financial Statements'!B82/'Financial Statements'!B74</f>
        <v>0.10394764881375196</v>
      </c>
      <c r="D26">
        <f>'Financial Statements'!C82/'Financial Statements'!C74</f>
        <v>0.14445305198957256</v>
      </c>
      <c r="E26">
        <f>'Financial Statements'!D82/'Financial Statements'!D74</f>
        <v>0.18843195491584799</v>
      </c>
    </row>
    <row r="27" spans="1:5">
      <c r="A27" s="22">
        <f t="shared" si="1"/>
        <v>3.3000000000000003</v>
      </c>
      <c r="B27" s="1" t="s">
        <v>145</v>
      </c>
      <c r="C27">
        <f>'Financial Statements'!B82/('Financial Statements'!B82+'Financial Statements'!B94)</f>
        <v>0.27393125394856915</v>
      </c>
      <c r="D27">
        <f>'Financial Statements'!C82/('Financial Statements'!C82+'Financial Statements'!C94)</f>
        <v>0.35044150110375277</v>
      </c>
      <c r="E27">
        <f>'Financial Statements'!D82/('Financial Statements'!D82+'Financial Statements'!D94)</f>
        <v>0.47172653092351102</v>
      </c>
    </row>
    <row r="28" spans="1:5">
      <c r="A28" s="22">
        <f t="shared" si="1"/>
        <v>3.4000000000000004</v>
      </c>
      <c r="B28" s="1" t="s">
        <v>146</v>
      </c>
      <c r="C28">
        <f>'Financial Statements'!B18/'Financial Statements'!B156</f>
        <v>16.618285714285715</v>
      </c>
      <c r="D28">
        <f>'Financial Statements'!C18/'Financial Statements'!C156</f>
        <v>14.544496487119439</v>
      </c>
      <c r="E28">
        <f>'Financial Statements'!D18/'Financial Statements'!D156</f>
        <v>12.518292682926829</v>
      </c>
    </row>
    <row r="29" spans="1:5">
      <c r="A29" s="22">
        <f t="shared" si="1"/>
        <v>3.5000000000000004</v>
      </c>
      <c r="B29" s="1" t="s">
        <v>147</v>
      </c>
      <c r="C29">
        <f>'Financial Statements'!B18/('Financial Statements'!B156+'Financial Statements'!B82)</f>
        <v>0.59866606282679402</v>
      </c>
      <c r="D29">
        <f>'Financial Statements'!C18/('Financial Statements'!C156+'Financial Statements'!C82)</f>
        <v>0.51012361903979631</v>
      </c>
      <c r="E29">
        <f>'Financial Statements'!D18/('Financial Statements'!D82+'Financial Statements'!D156)</f>
        <v>0.16377487934266682</v>
      </c>
    </row>
    <row r="30" spans="1:5">
      <c r="A30" s="22">
        <f t="shared" si="1"/>
        <v>3.6000000000000005</v>
      </c>
      <c r="B30" s="1" t="s">
        <v>148</v>
      </c>
      <c r="C30">
        <f>C31/'Financial Statements'!B32</f>
        <v>47.472222222222221</v>
      </c>
      <c r="D30">
        <f>D31/'Financial Statements'!C32</f>
        <v>36.128</v>
      </c>
      <c r="E30">
        <f>E31/'Financial Statements'!D32</f>
        <v>45.918864097363084</v>
      </c>
    </row>
    <row r="31" spans="1:5" ht="15">
      <c r="A31" s="22"/>
      <c r="B31" s="37" t="s">
        <v>117</v>
      </c>
      <c r="C31" s="16">
        <f>'Financial Statements'!B136+'Financial Statements'!B141+'Financial Statements'!B147</f>
        <v>23926</v>
      </c>
      <c r="D31">
        <f>'Financial Statements'!C136+'Financial Statements'!C141+'Financial Statements'!C147</f>
        <v>18064</v>
      </c>
      <c r="E31" s="16">
        <f>'Financial Statements'!D136+'Financial Statements'!D141+'Financial Statements'!D147</f>
        <v>22638</v>
      </c>
    </row>
    <row r="32" spans="1:5">
      <c r="A32" s="22"/>
    </row>
    <row r="33" spans="1:5">
      <c r="A33" s="22">
        <f>+A24+1</f>
        <v>4</v>
      </c>
      <c r="B33" s="23" t="s">
        <v>149</v>
      </c>
    </row>
    <row r="34" spans="1:5">
      <c r="A34" s="22">
        <f>+A33+0.1</f>
        <v>4.0999999999999996</v>
      </c>
      <c r="B34" s="1" t="s">
        <v>150</v>
      </c>
      <c r="C34">
        <f>'Financial Statements'!B8/'Financial Statements'!B74</f>
        <v>1.2453917459866459</v>
      </c>
      <c r="D34">
        <f>'Financial Statements'!C8/'Financial Statements'!C74</f>
        <v>1.431846687324775</v>
      </c>
      <c r="E34">
        <f>'Financial Statements'!D8/'Financial Statements'!D74</f>
        <v>1.3545503008148656</v>
      </c>
    </row>
    <row r="35" spans="1:5">
      <c r="A35" s="22">
        <f t="shared" ref="A35:A37" si="2">+A34+0.1</f>
        <v>4.1999999999999993</v>
      </c>
      <c r="B35" s="1" t="s">
        <v>151</v>
      </c>
      <c r="C35">
        <f>'Financial Statements'!B8/'Financial Statements'!B73</f>
        <v>2.1760398405138308</v>
      </c>
      <c r="D35">
        <f>'Financial Statements'!C8/'Financial Statements'!C73</f>
        <v>2.6601368407826653</v>
      </c>
      <c r="E35">
        <f>'Financial Statements'!D8/'Financial Statements'!D73</f>
        <v>2.5011741875606428</v>
      </c>
    </row>
    <row r="36" spans="1:5">
      <c r="A36" s="22">
        <f t="shared" si="2"/>
        <v>4.2999999999999989</v>
      </c>
      <c r="B36" s="1" t="s">
        <v>152</v>
      </c>
      <c r="C36">
        <f>'Financial Statements'!B9/'Financial Statements'!B66</f>
        <v>7.9523443504996161</v>
      </c>
      <c r="D36">
        <f>'Financial Statements'!C9/'Financial Statements'!C66</f>
        <v>8.3441866043053299</v>
      </c>
      <c r="E36">
        <f>'Financial Statements'!D9/'Financial Statements'!D66</f>
        <v>6.9753848071290587</v>
      </c>
    </row>
    <row r="37" spans="1:5">
      <c r="A37" s="22">
        <f t="shared" si="2"/>
        <v>4.3999999999999986</v>
      </c>
      <c r="B37" s="1" t="s">
        <v>153</v>
      </c>
      <c r="C37">
        <f>'Financial Statements'!B26/'Financial Statements'!B74*100</f>
        <v>5.1445517829237106</v>
      </c>
      <c r="D37">
        <f>'Financial Statements'!C26/'Financial Statements'!C74*100</f>
        <v>6.1931287196891454</v>
      </c>
      <c r="E37">
        <f>'Financial Statements'!D26/'Financial Statements'!D74*100</f>
        <v>2.3098012337217271</v>
      </c>
    </row>
    <row r="38" spans="1:5">
      <c r="A38" s="22"/>
    </row>
    <row r="39" spans="1:5">
      <c r="A39" s="22">
        <f>+A33+1</f>
        <v>5</v>
      </c>
      <c r="B39" s="23" t="s">
        <v>154</v>
      </c>
    </row>
    <row r="40" spans="1:5">
      <c r="A40" s="22">
        <f>+A39+0.1</f>
        <v>5.0999999999999996</v>
      </c>
      <c r="B40" s="1" t="s">
        <v>155</v>
      </c>
      <c r="C40">
        <f>C55/'Financial Statements'!B28</f>
        <v>3.9850809889173058</v>
      </c>
      <c r="D40">
        <f>C55/'Financial Statements'!C28</f>
        <v>4.5207930367504829</v>
      </c>
      <c r="E40">
        <f>'List of Ratios'!C55/'Financial Statements'!D28</f>
        <v>14.79272151898734</v>
      </c>
    </row>
    <row r="41" spans="1:5">
      <c r="A41" s="22">
        <f t="shared" ref="A41:A44" si="3">+A40+0.1</f>
        <v>5.1999999999999993</v>
      </c>
      <c r="B41" s="19" t="s">
        <v>156</v>
      </c>
      <c r="C41" s="15">
        <v>23.46</v>
      </c>
      <c r="D41" s="15">
        <v>20.68</v>
      </c>
      <c r="E41">
        <v>42.64</v>
      </c>
    </row>
    <row r="42" spans="1:5">
      <c r="A42" s="22">
        <f t="shared" si="3"/>
        <v>5.2999999999999989</v>
      </c>
      <c r="B42" s="1" t="s">
        <v>157</v>
      </c>
      <c r="C42">
        <f>'List of Ratios'!C55/'Financial Statements'!B74</f>
        <v>4.1505362977695696E-4</v>
      </c>
      <c r="D42">
        <f>'List of Ratios'!C55/'Financial Statements'!C74</f>
        <v>5.7479956716344498E-4</v>
      </c>
      <c r="E42">
        <f>'List of Ratios'!C55/'Financial Statements'!D74</f>
        <v>7.1197928565988882E-4</v>
      </c>
    </row>
    <row r="43" spans="1:5">
      <c r="A43" s="22">
        <f t="shared" si="3"/>
        <v>5.3999999999999986</v>
      </c>
      <c r="B43" s="19" t="s">
        <v>158</v>
      </c>
      <c r="C43">
        <f>'Financial Statements'!B74/'Financial Statements'!B32</f>
        <v>446.92063492063494</v>
      </c>
      <c r="D43">
        <f>'Financial Statements'!C74/'Financial Statements'!C32</f>
        <v>325.29599999999999</v>
      </c>
      <c r="E43">
        <f>'Financial Statements'!D74/'Financial Statements'!D32</f>
        <v>266.34888438133873</v>
      </c>
    </row>
    <row r="44" spans="1:5">
      <c r="A44" s="22">
        <f t="shared" si="3"/>
        <v>5.4999999999999982</v>
      </c>
      <c r="B44" s="1" t="s">
        <v>159</v>
      </c>
      <c r="C44" t="s">
        <v>160</v>
      </c>
      <c r="D44" t="s">
        <v>160</v>
      </c>
      <c r="E44" t="s">
        <v>160</v>
      </c>
    </row>
    <row r="45" spans="1:5">
      <c r="A45" s="22"/>
      <c r="B45" s="19" t="s">
        <v>161</v>
      </c>
      <c r="C45" t="s">
        <v>160</v>
      </c>
      <c r="D45" t="s">
        <v>160</v>
      </c>
      <c r="E45" t="s">
        <v>160</v>
      </c>
    </row>
    <row r="46" spans="1:5">
      <c r="A46" s="22">
        <f>+A44+0.1</f>
        <v>5.5999999999999979</v>
      </c>
      <c r="B46" s="1" t="s">
        <v>162</v>
      </c>
      <c r="C46" t="s">
        <v>160</v>
      </c>
      <c r="D46" t="s">
        <v>160</v>
      </c>
      <c r="E46" t="s">
        <v>163</v>
      </c>
    </row>
    <row r="47" spans="1:5">
      <c r="A47" s="22">
        <f t="shared" ref="A47:A50" si="4">+A45+0.1</f>
        <v>0.1</v>
      </c>
      <c r="B47" s="1" t="s">
        <v>164</v>
      </c>
      <c r="C47">
        <f>'Financial Statements'!B26/'Financial Statements'!B94</f>
        <v>0.1867225265871737</v>
      </c>
      <c r="D47">
        <f>'Financial Statements'!C26/'Financial Statements'!C94</f>
        <v>0.231302670555007</v>
      </c>
      <c r="E47">
        <f>'Financial Statements'!D26/'Financial Statements'!D94</f>
        <v>0.10945902053484427</v>
      </c>
    </row>
    <row r="48" spans="1:5">
      <c r="A48" s="22">
        <f t="shared" si="4"/>
        <v>5.6999999999999975</v>
      </c>
      <c r="B48" s="1" t="s">
        <v>165</v>
      </c>
      <c r="C48">
        <f>'Financial Statements'!B18/'Financial Statements'!B95*100</f>
        <v>6.4555512146611731</v>
      </c>
      <c r="D48">
        <f>'Financial Statements'!C18/'Financial Statements'!C95*100</f>
        <v>7.6367370026068571</v>
      </c>
      <c r="E48">
        <f>'Financial Statements'!D18/'Financial Statements'!D95*100</f>
        <v>3.1269514888431957</v>
      </c>
    </row>
    <row r="49" spans="1:5">
      <c r="A49" s="22">
        <f t="shared" si="4"/>
        <v>0.2</v>
      </c>
      <c r="B49" s="1" t="s">
        <v>153</v>
      </c>
      <c r="C49" s="16">
        <f>C37</f>
        <v>5.1445517829237106</v>
      </c>
      <c r="D49">
        <f>D37</f>
        <v>6.1931287196891454</v>
      </c>
      <c r="E49">
        <f>E37</f>
        <v>2.3098012337217271</v>
      </c>
    </row>
    <row r="50" spans="1:5">
      <c r="A50" s="22">
        <f t="shared" si="4"/>
        <v>5.7999999999999972</v>
      </c>
      <c r="B50" s="1" t="s">
        <v>166</v>
      </c>
      <c r="C50">
        <f>C51/C19</f>
        <v>0.92226974951830432</v>
      </c>
      <c r="D50">
        <f>D51/D19</f>
        <v>1.3426493048051296</v>
      </c>
      <c r="E50">
        <f>E51/E19</f>
        <v>3.1504235112936345</v>
      </c>
    </row>
    <row r="51" spans="1:5">
      <c r="A51" s="22"/>
      <c r="B51" s="19" t="s">
        <v>167</v>
      </c>
      <c r="C51">
        <f>C55*'Financial Statements'!B31+('Financial Statements'!B82)-'Financial Statements'!B63</f>
        <v>33506.06</v>
      </c>
      <c r="D51">
        <f>C55*'Financial Statements'!C31+('Financial Statements'!C82)-'Financial Statements'!C63</f>
        <v>37274.630000000005</v>
      </c>
      <c r="E51">
        <f>C55*'Financial Statements'!D31+('Financial Statements'!D82)-'Financial Statements'!D63</f>
        <v>49096.2</v>
      </c>
    </row>
    <row r="55" spans="1:5">
      <c r="B55" t="s">
        <v>168</v>
      </c>
      <c r="C55">
        <v>93.49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Guest User</cp:lastModifiedBy>
  <cp:revision/>
  <dcterms:created xsi:type="dcterms:W3CDTF">2023-06-15T06:51:02Z</dcterms:created>
  <dcterms:modified xsi:type="dcterms:W3CDTF">2023-06-15T17:50:48Z</dcterms:modified>
  <cp:category/>
  <cp:contentStatus/>
</cp:coreProperties>
</file>