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xcell Practice\"/>
    </mc:Choice>
  </mc:AlternateContent>
  <xr:revisionPtr revIDLastSave="0" documentId="8_{6155F853-DB2A-4058-8095-EA2CE9B0FA7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3" l="1"/>
  <c r="E37" i="3"/>
  <c r="C37" i="3"/>
  <c r="D47" i="3"/>
  <c r="E47" i="3"/>
  <c r="C47" i="3"/>
  <c r="D8" i="3"/>
  <c r="E8" i="3"/>
  <c r="C8" i="3"/>
  <c r="D13" i="3"/>
  <c r="E13" i="3"/>
  <c r="C13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30" i="3"/>
  <c r="E30" i="3"/>
  <c r="C30" i="3"/>
  <c r="D31" i="3"/>
  <c r="E31" i="3"/>
  <c r="C31" i="3"/>
  <c r="D50" i="3"/>
  <c r="E50" i="3"/>
  <c r="C50" i="3"/>
  <c r="E51" i="3"/>
  <c r="D51" i="3"/>
  <c r="C51" i="3"/>
  <c r="E46" i="3"/>
  <c r="D46" i="3"/>
  <c r="C46" i="3"/>
  <c r="D44" i="3"/>
  <c r="E44" i="3"/>
  <c r="C44" i="3"/>
  <c r="D45" i="3"/>
  <c r="E45" i="3"/>
  <c r="C45" i="3"/>
  <c r="C43" i="3"/>
  <c r="E42" i="3"/>
  <c r="D42" i="3"/>
  <c r="C42" i="3"/>
  <c r="D43" i="3"/>
  <c r="E43" i="3"/>
  <c r="E40" i="3"/>
  <c r="D40" i="3"/>
  <c r="C40" i="3"/>
  <c r="D41" i="3"/>
  <c r="E41" i="3"/>
  <c r="C41" i="3"/>
  <c r="K42" i="3"/>
  <c r="L42" i="3"/>
  <c r="J42" i="3"/>
  <c r="K41" i="3"/>
  <c r="L41" i="3"/>
  <c r="J41" i="3"/>
  <c r="K40" i="3"/>
  <c r="L40" i="3"/>
  <c r="J40" i="3"/>
  <c r="K37" i="3"/>
  <c r="L37" i="3"/>
  <c r="J37" i="3"/>
  <c r="K36" i="3"/>
  <c r="L36" i="3"/>
  <c r="J36" i="3"/>
  <c r="K35" i="3"/>
  <c r="L35" i="3"/>
  <c r="J35" i="3"/>
  <c r="K34" i="3"/>
  <c r="L34" i="3"/>
  <c r="J34" i="3"/>
  <c r="K32" i="3"/>
  <c r="L32" i="3"/>
  <c r="J32" i="3"/>
  <c r="L31" i="3"/>
  <c r="K31" i="3"/>
  <c r="J31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6" i="3"/>
  <c r="K15" i="3"/>
  <c r="K13" i="3"/>
  <c r="K12" i="3"/>
  <c r="K11" i="3"/>
  <c r="K10" i="3"/>
  <c r="K8" i="3"/>
  <c r="K7" i="3"/>
  <c r="J8" i="3"/>
  <c r="J10" i="3"/>
  <c r="J11" i="3"/>
  <c r="J12" i="3"/>
  <c r="J13" i="3"/>
  <c r="J15" i="3"/>
  <c r="J16" i="3"/>
  <c r="J7" i="3"/>
  <c r="K6" i="3"/>
  <c r="J6" i="3"/>
  <c r="K3" i="3"/>
  <c r="L3" i="3"/>
  <c r="J3" i="3"/>
  <c r="D49" i="3"/>
  <c r="E49" i="3"/>
  <c r="C49" i="3"/>
  <c r="D48" i="3"/>
  <c r="E48" i="3"/>
  <c r="C48" i="3"/>
  <c r="D35" i="3"/>
  <c r="E35" i="3"/>
  <c r="C35" i="3"/>
  <c r="D34" i="3"/>
  <c r="E34" i="3"/>
  <c r="C34" i="3"/>
  <c r="D36" i="3"/>
  <c r="E36" i="3"/>
  <c r="C36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21" i="3"/>
  <c r="E21" i="3"/>
  <c r="C21" i="3"/>
  <c r="D18" i="3"/>
  <c r="E18" i="3"/>
  <c r="C18" i="3"/>
  <c r="D19" i="3"/>
  <c r="E19" i="3"/>
  <c r="C19" i="3"/>
  <c r="D17" i="3"/>
  <c r="E17" i="3"/>
  <c r="C17" i="3"/>
  <c r="D14" i="3"/>
  <c r="E14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<sst xmlns="http://schemas.openxmlformats.org/spreadsheetml/2006/main" count="208" uniqueCount="155">
  <si>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</si>
  <si>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</si>
  <si>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</si>
  <si>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</si>
  <si>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</si>
  <si>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</si>
  <si>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</si>
  <si>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</si>
  <si>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</si>
  <si>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</si>
  <si>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</si>
  <si>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</si>
  <si>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</si>
  <si>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</si>
  <si>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</si>
  <si>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</si>
  <si>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</si>
  <si>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</si>
  <si>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</si>
  <si>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</si>
  <si>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</si>
  <si>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</si>
  <si>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</si>
  <si>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</si>
  <si>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</si>
  <si>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</si>
  <si>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</si>
  <si>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</si>
  <si>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</si>
  <si>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</si>
  <si>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</si>
  <si>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</si>
  <si>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</si>
  <si>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</si>
  <si>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</si>
  <si>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</si>
  <si>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</si>
  <si>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</si>
  <si>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</si>
  <si>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</si>
  <si>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</si>
  <si>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</si>
  <si>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</si>
  <si>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</si>
  <si>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</si>
  <si>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</si>
  <si>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</si>
  <si>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</si>
  <si>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</si>
  <si>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</si>
  <si>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</si>
  <si>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</si>
  <si>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</si>
  <si>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</si>
  <si>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</si>
  <si>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</si>
  <si>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</si>
  <si>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</si>
  <si>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</si>
  <si>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</si>
  <si>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</si>
  <si>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</si>
  <si>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</si>
  <si>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</si>
  <si>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</si>
  <si>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</si>
  <si>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</si>
  <si>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</si>
  <si>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</si>
  <si>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</si>
  <si>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</si>
  <si>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</si>
  <si>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</si>
  <si>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</si>
  <si>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</si>
  <si>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</si>
  <si>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</si>
  <si>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</si>
  <si>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</si>
  <si>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</si>
  <si>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</si>
  <si>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</si>
  <si>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</si>
  <si>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</si>
  <si>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</si>
  <si>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</si>
  <si>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</si>
  <si>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</si>
  <si>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</si>
  <si>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</si>
  <si>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</si>
  <si>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</si>
  <si>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</si>
  <si>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</si>
  <si>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</si>
  <si>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</si>
  <si>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</si>
  <si>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</si>
  <si>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</si>
  <si>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</si>
  <si>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</si>
  <si>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</si>
  <si>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</si>
  <si>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</si>
  <si>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</si>
  <si>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</si>
  <si>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</si>
  <si>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</si>
  <si>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</si>
  <si>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</si>
  <si>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</si>
  <si>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</si>
  <si>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</si>
  <si>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</si>
  <si>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</si>
  <si>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</si>
  <si>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</si>
  <si>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</si>
  <si>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</si>
  <si>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</si>
  <si>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</si>
  <si>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</si>
  <si>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</si>
  <si>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</si>
  <si>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</si>
  <si>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</si>
  <si>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</si>
  <si>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</si>
  <si>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</si>
  <si>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</si>
  <si>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</si>
  <si>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</si>
  <si>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</si>
  <si>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</si>
  <si>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</si>
  <si>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</si>
  <si>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</si>
  <si>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</si>
  <si>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</si>
  <si>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</si>
  <si>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</si>
  <si>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</si>
  <si>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</si>
  <si>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</si>
  <si>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</si>
  <si>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</si>
  <si>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</si>
  <si>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</si>
  <si>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</si>
  <si>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</si>
  <si>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</si>
  <si>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As a % of Net Sales</t>
  </si>
  <si>
    <t>Additional Calculatons</t>
  </si>
  <si>
    <t>Main Line Items on Balance Sheet</t>
  </si>
  <si>
    <t>Closing Share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</si>
</sst>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73" formatCode="_(&quot;$&quot;* #,##0_);_(&quot;$&quot;* \(#,##0\);_(&quot;$&quot;* &quot;-&quot;??_);_(@_)"/>
    <numFmt numFmtId="174" formatCode="&quot;$&quot;#,##0.00"/>
    <numFmt numFmtId="175" formatCode="&quot;$&quot;#,##0.000"/>
    <numFmt numFmtId="177" formatCode="&quot;$&quot;#,##0"/>
    <numFmt numFmtId="183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4" applyNumberFormat="1" applyFont="1"/>
    <xf numFmtId="10" fontId="8" fillId="0" borderId="0" xfId="4" applyNumberFormat="1" applyFont="1"/>
    <xf numFmtId="2" fontId="8" fillId="0" borderId="0" xfId="4" applyNumberFormat="1" applyFont="1"/>
    <xf numFmtId="9" fontId="8" fillId="0" borderId="0" xfId="4" applyFont="1"/>
    <xf numFmtId="173" fontId="8" fillId="0" borderId="0" xfId="3" applyNumberFormat="1" applyFont="1"/>
    <xf numFmtId="164" fontId="0" fillId="0" borderId="0" xfId="0" applyNumberFormat="1"/>
    <xf numFmtId="177" fontId="8" fillId="0" borderId="0" xfId="4" applyNumberFormat="1" applyFont="1"/>
    <xf numFmtId="175" fontId="8" fillId="0" borderId="0" xfId="4" applyNumberFormat="1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4" xfId="0" applyFont="1" applyBorder="1" applyAlignment="1">
      <alignment horizontal="left" indent="1"/>
    </xf>
    <xf numFmtId="10" fontId="8" fillId="0" borderId="4" xfId="4" applyNumberFormat="1" applyFont="1" applyBorder="1"/>
    <xf numFmtId="0" fontId="9" fillId="0" borderId="0" xfId="0" applyFont="1" applyBorder="1"/>
    <xf numFmtId="10" fontId="9" fillId="0" borderId="0" xfId="4" applyNumberFormat="1" applyFont="1"/>
    <xf numFmtId="0" fontId="9" fillId="0" borderId="3" xfId="0" applyFont="1" applyBorder="1"/>
    <xf numFmtId="10" fontId="9" fillId="0" borderId="3" xfId="4" applyNumberFormat="1" applyFont="1" applyBorder="1"/>
    <xf numFmtId="0" fontId="8" fillId="0" borderId="0" xfId="0" applyFont="1" applyBorder="1" applyAlignment="1">
      <alignment horizontal="left" indent="1"/>
    </xf>
    <xf numFmtId="10" fontId="8" fillId="0" borderId="0" xfId="4" applyNumberFormat="1" applyFont="1" applyBorder="1"/>
    <xf numFmtId="0" fontId="8" fillId="0" borderId="0" xfId="0" applyFont="1" applyBorder="1"/>
    <xf numFmtId="164" fontId="8" fillId="0" borderId="0" xfId="1" applyNumberFormat="1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165" fontId="8" fillId="0" borderId="0" xfId="0" applyNumberFormat="1" applyFont="1"/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83" fontId="8" fillId="0" borderId="0" xfId="4" applyNumberFormat="1" applyFont="1"/>
    <xf numFmtId="177" fontId="8" fillId="0" borderId="0" xfId="3" applyNumberFormat="1" applyFont="1"/>
    <xf numFmtId="174" fontId="10" fillId="0" borderId="0" xfId="4" applyNumberFormat="1" applyFont="1"/>
    <xf numFmtId="0" fontId="10" fillId="0" borderId="0" xfId="0" applyFont="1"/>
    <xf numFmtId="15" fontId="10" fillId="0" borderId="0" xfId="0" applyNumberFormat="1" applyFont="1"/>
    <xf numFmtId="174" fontId="10" fillId="0" borderId="0" xfId="0" applyNumberFormat="1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C9" sqref="C9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1" workbookViewId="0">
      <selection activeCell="H22" sqref="H22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3" t="s">
        <v>1</v>
      </c>
      <c r="B2" s="23"/>
      <c r="C2" s="23"/>
      <c r="D2" s="23"/>
    </row>
    <row r="3" spans="1:10" x14ac:dyDescent="0.25">
      <c r="B3" s="22" t="s">
        <v>23</v>
      </c>
      <c r="C3" s="22"/>
      <c r="D3" s="22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7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7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7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G22" s="29"/>
    </row>
    <row r="23" spans="1:7" ht="15.75" thickTop="1" x14ac:dyDescent="0.25">
      <c r="A23" t="s">
        <v>19</v>
      </c>
    </row>
    <row r="24" spans="1:7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5">
      <c r="A26" t="s">
        <v>22</v>
      </c>
    </row>
    <row r="27" spans="1:7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7" x14ac:dyDescent="0.25">
      <c r="A31" s="23" t="s">
        <v>24</v>
      </c>
      <c r="B31" s="23"/>
      <c r="C31" s="23"/>
      <c r="D31" s="23"/>
    </row>
    <row r="32" spans="1:7" x14ac:dyDescent="0.25">
      <c r="B32" s="22" t="s">
        <v>142</v>
      </c>
      <c r="C32" s="22"/>
      <c r="D32" s="22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3" t="s">
        <v>55</v>
      </c>
      <c r="B71" s="23"/>
      <c r="C71" s="23"/>
      <c r="D71" s="23"/>
    </row>
    <row r="72" spans="1:4" x14ac:dyDescent="0.25">
      <c r="B72" s="22" t="s">
        <v>23</v>
      </c>
      <c r="C72" s="22"/>
      <c r="D72" s="22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tabSelected="1" topLeftCell="A41" workbookViewId="0">
      <selection activeCell="H56" sqref="H56"/>
    </sheetView>
  </sheetViews>
  <sheetFormatPr defaultRowHeight="15" x14ac:dyDescent="0.25"/>
  <cols>
    <col min="1" max="1" width="4.7109375" customWidth="1"/>
    <col min="2" max="2" width="44.85546875" customWidth="1"/>
    <col min="3" max="3" width="18.42578125" bestFit="1" customWidth="1"/>
    <col min="4" max="4" width="15.28515625" customWidth="1"/>
    <col min="5" max="5" width="15.42578125" customWidth="1"/>
    <col min="9" max="9" width="27.42578125" customWidth="1"/>
  </cols>
  <sheetData>
    <row r="1" spans="1:12" ht="60" customHeight="1" x14ac:dyDescent="0.4">
      <c r="A1" s="6"/>
      <c r="B1" s="19" t="s">
        <v>0</v>
      </c>
      <c r="C1" s="18"/>
      <c r="D1" s="18"/>
      <c r="E1" s="18"/>
      <c r="F1" s="18"/>
      <c r="G1" s="18"/>
      <c r="H1" s="18"/>
      <c r="I1" s="18"/>
      <c r="J1" s="18"/>
    </row>
    <row r="2" spans="1:12" ht="15.75" x14ac:dyDescent="0.25">
      <c r="A2" s="33"/>
      <c r="B2" s="33"/>
      <c r="C2" s="46" t="s">
        <v>23</v>
      </c>
      <c r="D2" s="46"/>
      <c r="E2" s="46"/>
    </row>
    <row r="3" spans="1:12" ht="15.75" x14ac:dyDescent="0.25">
      <c r="A3" s="33"/>
      <c r="B3" s="33"/>
      <c r="C3" s="32">
        <f>+'Financial Statements'!B4</f>
        <v>2022</v>
      </c>
      <c r="D3" s="32">
        <f>+'Financial Statements'!C4</f>
        <v>2021</v>
      </c>
      <c r="E3" s="32">
        <f>+'Financial Statements'!D4</f>
        <v>2020</v>
      </c>
      <c r="J3" s="32">
        <f>'Financial Statements'!B4</f>
        <v>2022</v>
      </c>
      <c r="K3" s="32">
        <f>'Financial Statements'!C4</f>
        <v>2021</v>
      </c>
      <c r="L3" s="32">
        <f>'Financial Statements'!D4</f>
        <v>2020</v>
      </c>
    </row>
    <row r="4" spans="1:12" ht="15.75" x14ac:dyDescent="0.25">
      <c r="A4" s="47">
        <v>1</v>
      </c>
      <c r="B4" s="32" t="s">
        <v>99</v>
      </c>
      <c r="C4" s="24"/>
      <c r="D4" s="24"/>
      <c r="E4" s="24"/>
      <c r="I4" s="32" t="s">
        <v>150</v>
      </c>
      <c r="J4" s="33"/>
      <c r="K4" s="33"/>
      <c r="L4" s="33"/>
    </row>
    <row r="5" spans="1:12" ht="15.75" x14ac:dyDescent="0.25">
      <c r="A5" s="47">
        <f>+A4+0.1</f>
        <v>1.1000000000000001</v>
      </c>
      <c r="B5" s="34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  <c r="I5" s="32" t="s">
        <v>3</v>
      </c>
      <c r="J5" s="33"/>
      <c r="K5" s="33"/>
      <c r="L5" s="33"/>
    </row>
    <row r="6" spans="1:12" ht="15.75" x14ac:dyDescent="0.25">
      <c r="A6" s="47">
        <f t="shared" ref="A6:A13" si="0">+A5+0.1</f>
        <v>1.2000000000000002</v>
      </c>
      <c r="B6" s="34" t="s">
        <v>101</v>
      </c>
      <c r="C6" s="25">
        <f>('Financial Statements'!B36+'Financial Statements'!B38)/'Financial Statements'!B56</f>
        <v>0.33659778415658975</v>
      </c>
      <c r="D6" s="25">
        <f>('Financial Statements'!C36+'Financial Statements'!C38)/'Financial Statements'!C56</f>
        <v>0.48786668898080188</v>
      </c>
      <c r="E6" s="25">
        <f>('Financial Statements'!D36+'Financial Statements'!D38)/'Financial Statements'!D56</f>
        <v>0.51366327614999241</v>
      </c>
      <c r="I6" s="34" t="s">
        <v>4</v>
      </c>
      <c r="J6" s="25">
        <f>('Financial Statements'!B6-'Financial Statements'!C6)/'Financial Statements'!C6</f>
        <v>6.3239764351428418E-2</v>
      </c>
      <c r="K6" s="25">
        <f>('Financial Statements'!C6-'Financial Statements'!D6)/'Financial Statements'!D6</f>
        <v>0.34720743656765435</v>
      </c>
      <c r="L6" s="25"/>
    </row>
    <row r="7" spans="1:12" ht="15.75" x14ac:dyDescent="0.25">
      <c r="A7" s="47">
        <f t="shared" si="0"/>
        <v>1.3000000000000003</v>
      </c>
      <c r="B7" s="34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  <c r="I7" s="35" t="s">
        <v>5</v>
      </c>
      <c r="J7" s="36">
        <f>('Financial Statements'!B7-'Financial Statements'!C7)/'Financial Statements'!C7</f>
        <v>0.14181951041286078</v>
      </c>
      <c r="K7" s="36">
        <f>('Financial Statements'!C7-'Financial Statements'!D7)/'Financial Statements'!D7</f>
        <v>0.27259708376729652</v>
      </c>
      <c r="L7" s="33"/>
    </row>
    <row r="8" spans="1:12" ht="15.75" x14ac:dyDescent="0.25">
      <c r="A8" s="47">
        <f t="shared" si="0"/>
        <v>1.4000000000000004</v>
      </c>
      <c r="B8" s="34" t="s">
        <v>103</v>
      </c>
      <c r="C8" s="26">
        <f>('Financial Statements'!B36+'Financial Statements'!B37+'Financial Statements'!B38)/(('Financial Statements'!B17-'Financial Statements'!B19)/365)</f>
        <v>540.22175351690248</v>
      </c>
      <c r="D8" s="26">
        <f>('Financial Statements'!C36+'Financial Statements'!C37+'Financial Statements'!C38)/(('Financial Statements'!C17-'Financial Statements'!C19)/365)</f>
        <v>743.87918586261435</v>
      </c>
      <c r="E8" s="26">
        <f>('Financial Statements'!D36+'Financial Statements'!D37+'Financial Statements'!D38)/(('Financial Statements'!D17-'Financial Statements'!D19)/365)</f>
        <v>1032.0347286412255</v>
      </c>
      <c r="I8" s="37" t="s">
        <v>6</v>
      </c>
      <c r="J8" s="38">
        <f>('Financial Statements'!B8-'Financial Statements'!C8)/'Financial Statements'!C8</f>
        <v>7.7937876041846058E-2</v>
      </c>
      <c r="K8" s="38">
        <f>('Financial Statements'!C8-'Financial Statements'!D8)/'Financial Statements'!D8</f>
        <v>0.33259384733074693</v>
      </c>
      <c r="L8" s="33"/>
    </row>
    <row r="9" spans="1:12" ht="15.75" x14ac:dyDescent="0.25">
      <c r="A9" s="47">
        <f t="shared" si="0"/>
        <v>1.5000000000000004</v>
      </c>
      <c r="B9" s="34" t="s">
        <v>104</v>
      </c>
      <c r="C9" s="26">
        <f>(AVERAGE('Financial Statements'!B39:C39)/'Financial Statements'!B12)*365</f>
        <v>9.4096740715557434</v>
      </c>
      <c r="D9" s="26">
        <f>(AVERAGE('Financial Statements'!C39:D39)/'Financial Statements'!C12)*365</f>
        <v>9.1181020842234748</v>
      </c>
      <c r="E9" s="26">
        <f>(AVERAGE('Financial Statements'!D39:E39)/'Financial Statements'!D12)*365</f>
        <v>8.7418833562358831</v>
      </c>
      <c r="I9" s="32" t="s">
        <v>7</v>
      </c>
      <c r="J9" s="25"/>
      <c r="K9" s="33"/>
      <c r="L9" s="33"/>
    </row>
    <row r="10" spans="1:12" ht="15.75" x14ac:dyDescent="0.25">
      <c r="A10" s="47">
        <f t="shared" si="0"/>
        <v>1.6000000000000005</v>
      </c>
      <c r="B10" s="34" t="s">
        <v>105</v>
      </c>
      <c r="C10" s="26">
        <f>(AVERAGE('Financial Statements'!B51:C51)/'Financial Statements'!B12)*365</f>
        <v>97.050428099809452</v>
      </c>
      <c r="D10" s="26">
        <f>(AVERAGE('Financial Statements'!C51:D51)/'Financial Statements'!C12)*365</f>
        <v>83.168299050150011</v>
      </c>
      <c r="E10" s="26">
        <f>(AVERAGE('Financial Statements'!D51:E51)/'Financial Statements'!D12)*365</f>
        <v>91.048189715674198</v>
      </c>
      <c r="I10" s="34" t="s">
        <v>4</v>
      </c>
      <c r="J10" s="25">
        <f>('Financial Statements'!B10-'Financial Statements'!C10)/'Financial Statements'!C10</f>
        <v>4.7876379599097081E-2</v>
      </c>
      <c r="K10" s="25">
        <f>('Financial Statements'!C10-'Financial Statements'!D10)/'Financial Statements'!D10</f>
        <v>0.27087767539626934</v>
      </c>
      <c r="L10" s="33"/>
    </row>
    <row r="11" spans="1:12" ht="15.75" x14ac:dyDescent="0.25">
      <c r="A11" s="47">
        <f t="shared" si="0"/>
        <v>1.7000000000000006</v>
      </c>
      <c r="B11" s="34" t="s">
        <v>106</v>
      </c>
      <c r="C11" s="26">
        <f>(AVERAGE('Financial Statements'!B38:C38)/'Financial Statements'!B8)*365</f>
        <v>25.205704388225033</v>
      </c>
      <c r="D11" s="26">
        <f>(AVERAGE('Financial Statements'!C38:D38)/'Financial Statements'!C8)*365</f>
        <v>21.151655062503931</v>
      </c>
      <c r="E11" s="26">
        <f>(AVERAGE('Financial Statements'!D38:E38)/'Financial Statements'!D8)*365</f>
        <v>21.433437152796749</v>
      </c>
      <c r="I11" s="35" t="s">
        <v>5</v>
      </c>
      <c r="J11" s="36">
        <f>('Financial Statements'!B11-'Financial Statements'!C11)/'Financial Statements'!C11</f>
        <v>6.5652908520395847E-2</v>
      </c>
      <c r="K11" s="36">
        <f>('Financial Statements'!C11-'Financial Statements'!D11)/'Financial Statements'!D11</f>
        <v>0.13363979642094895</v>
      </c>
      <c r="L11" s="33"/>
    </row>
    <row r="12" spans="1:12" ht="15.75" x14ac:dyDescent="0.25">
      <c r="A12" s="47">
        <f t="shared" si="0"/>
        <v>1.8000000000000007</v>
      </c>
      <c r="B12" s="34" t="s">
        <v>107</v>
      </c>
      <c r="C12" s="26">
        <f>ABS(C9+C11-C10)</f>
        <v>62.435049640028673</v>
      </c>
      <c r="D12" s="26">
        <f t="shared" ref="D12:E12" si="1">ABS(D9+D11-D10)</f>
        <v>52.898541903422604</v>
      </c>
      <c r="E12" s="26">
        <f t="shared" si="1"/>
        <v>60.872869206641568</v>
      </c>
      <c r="I12" s="39" t="s">
        <v>8</v>
      </c>
      <c r="J12" s="40">
        <f>('Financial Statements'!B12-'Financial Statements'!C12)/'Financial Statements'!C12</f>
        <v>4.9605363858747961E-2</v>
      </c>
      <c r="K12" s="40">
        <f>('Financial Statements'!C12-'Financial Statements'!D12)/'Financial Statements'!D12</f>
        <v>0.25608785142634716</v>
      </c>
      <c r="L12" s="33"/>
    </row>
    <row r="13" spans="1:12" ht="15.75" x14ac:dyDescent="0.25">
      <c r="A13" s="47">
        <f t="shared" si="0"/>
        <v>1.9000000000000008</v>
      </c>
      <c r="B13" s="34" t="s">
        <v>108</v>
      </c>
      <c r="C13" s="25">
        <f>C14/'Financial Statements'!B8</f>
        <v>-4.711052727678481E-2</v>
      </c>
      <c r="D13" s="25">
        <f>D14/'Financial Statements'!C8</f>
        <v>2.557289573748623E-2</v>
      </c>
      <c r="E13" s="25">
        <f>E14/'Financial Statements'!D8</f>
        <v>0.13959528623208203</v>
      </c>
      <c r="I13" s="37" t="s">
        <v>9</v>
      </c>
      <c r="J13" s="38">
        <f>('Financial Statements'!B13-'Financial Statements'!C13)/'Financial Statements'!C13</f>
        <v>0.11741997958596143</v>
      </c>
      <c r="K13" s="38">
        <f>('Financial Statements'!C13-'Financial Statements'!D13)/'Financial Statements'!D13</f>
        <v>0.45619116582186819</v>
      </c>
      <c r="L13" s="33"/>
    </row>
    <row r="14" spans="1:12" ht="15.75" x14ac:dyDescent="0.25">
      <c r="A14" s="47"/>
      <c r="B14" s="48" t="s">
        <v>109</v>
      </c>
      <c r="C14" s="52">
        <f>'Financial Statements'!B42-'Financial Statements'!B56</f>
        <v>-18577</v>
      </c>
      <c r="D14" s="28">
        <f>'Financial Statements'!C42-'Financial Statements'!C56</f>
        <v>9355</v>
      </c>
      <c r="E14" s="28">
        <f>'Financial Statements'!D42-'Financial Statements'!D56</f>
        <v>38321</v>
      </c>
      <c r="I14" s="32" t="s">
        <v>10</v>
      </c>
      <c r="J14" s="25"/>
      <c r="K14" s="25"/>
      <c r="L14" s="33"/>
    </row>
    <row r="15" spans="1:12" ht="15.75" x14ac:dyDescent="0.25">
      <c r="A15" s="47"/>
      <c r="B15" s="33"/>
      <c r="C15" s="27"/>
      <c r="D15" s="27"/>
      <c r="E15" s="27"/>
      <c r="I15" s="34" t="s">
        <v>11</v>
      </c>
      <c r="J15" s="25">
        <f>('Financial Statements'!B15-'Financial Statements'!C15)/'Financial Statements'!C15</f>
        <v>0.19791001186456147</v>
      </c>
      <c r="K15" s="25">
        <f>('Financial Statements'!C15-'Financial Statements'!D15)/'Financial Statements'!D15</f>
        <v>0.16862201365187712</v>
      </c>
      <c r="L15" s="33"/>
    </row>
    <row r="16" spans="1:12" ht="15.75" x14ac:dyDescent="0.25">
      <c r="A16" s="47">
        <f>+A4+1</f>
        <v>2</v>
      </c>
      <c r="B16" s="49" t="s">
        <v>110</v>
      </c>
      <c r="C16" s="27"/>
      <c r="D16" s="27"/>
      <c r="E16" s="27"/>
      <c r="I16" s="41" t="s">
        <v>12</v>
      </c>
      <c r="J16" s="42">
        <f>('Financial Statements'!B16-'Financial Statements'!C16)/'Financial Statements'!C16</f>
        <v>0.14203795567287125</v>
      </c>
      <c r="K16" s="42">
        <f>('Financial Statements'!C16-'Financial Statements'!D16)/'Financial Statements'!D16</f>
        <v>0.10328379192608958</v>
      </c>
      <c r="L16" s="33"/>
    </row>
    <row r="17" spans="1:12" ht="15.75" x14ac:dyDescent="0.25">
      <c r="A17" s="47">
        <f>+A16+0.1</f>
        <v>2.1</v>
      </c>
      <c r="B17" s="34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  <c r="I17" s="33"/>
      <c r="J17" s="33"/>
      <c r="K17" s="33"/>
      <c r="L17" s="33"/>
    </row>
    <row r="18" spans="1:12" ht="15.75" x14ac:dyDescent="0.25">
      <c r="A18" s="47">
        <f>+A17+0.1</f>
        <v>2.2000000000000002</v>
      </c>
      <c r="B18" s="34" t="s">
        <v>111</v>
      </c>
      <c r="C18" s="25">
        <f>C19/'Financial Statements'!B8</f>
        <v>0.33815757440506383</v>
      </c>
      <c r="D18" s="25">
        <f>D19/'Financial Statements'!C8</f>
        <v>0.36640178012503521</v>
      </c>
      <c r="E18" s="25">
        <f>E19/'Financial Statements'!D8</f>
        <v>0.29495655975083329</v>
      </c>
      <c r="I18" s="33"/>
      <c r="J18" s="33"/>
      <c r="K18" s="33"/>
      <c r="L18" s="33"/>
    </row>
    <row r="19" spans="1:12" ht="15.75" x14ac:dyDescent="0.25">
      <c r="A19" s="47"/>
      <c r="B19" s="48" t="s">
        <v>112</v>
      </c>
      <c r="C19" s="30">
        <f>'Financial Statements'!B22+'Financial Statements'!B79+'Financial Statements'!B113+'Financial Statements'!B114</f>
        <v>133345</v>
      </c>
      <c r="D19" s="30">
        <f>'Financial Statements'!C22+'Financial Statements'!C79+'Financial Statements'!C113+'Financial Statements'!C114</f>
        <v>134036</v>
      </c>
      <c r="E19" s="30">
        <f>'Financial Statements'!D22+'Financial Statements'!D79+'Financial Statements'!D113+'Financial Statements'!D114</f>
        <v>80970</v>
      </c>
      <c r="I19" s="37" t="s">
        <v>153</v>
      </c>
      <c r="J19" s="43"/>
      <c r="K19" s="43"/>
      <c r="L19" s="43"/>
    </row>
    <row r="20" spans="1:12" ht="15.75" x14ac:dyDescent="0.25">
      <c r="A20" s="47">
        <f>+A18+0.1</f>
        <v>2.3000000000000003</v>
      </c>
      <c r="B20" s="34" t="s">
        <v>113</v>
      </c>
      <c r="C20" s="25">
        <f>C21/'Financial Statements'!B8</f>
        <v>0.30999827554726017</v>
      </c>
      <c r="D20" s="25">
        <f>D21/'Financial Statements'!C8</f>
        <v>0.33555575602008653</v>
      </c>
      <c r="E20" s="25">
        <f>E21/'Financial Statements'!D8</f>
        <v>0.25468189352130122</v>
      </c>
      <c r="I20" s="43" t="s">
        <v>31</v>
      </c>
      <c r="J20" s="42">
        <f>('Financial Statements'!B42-'Financial Statements'!C42)/'Financial Statements'!C42</f>
        <v>4.2199412619775131E-3</v>
      </c>
      <c r="K20" s="42">
        <f>('Financial Statements'!C42-'Financial Statements'!D42)/'Financial Statements'!D42</f>
        <v>-6.176894226687913E-2</v>
      </c>
      <c r="L20" s="44"/>
    </row>
    <row r="21" spans="1:12" ht="15.75" x14ac:dyDescent="0.25">
      <c r="A21" s="47"/>
      <c r="B21" s="48" t="s">
        <v>114</v>
      </c>
      <c r="C21" s="30">
        <f>'Financial Statements'!B22+'Financial Statements'!B113+'Financial Statements'!B114</f>
        <v>122241</v>
      </c>
      <c r="D21" s="30">
        <f>'Financial Statements'!C22+'Financial Statements'!C113+'Financial Statements'!C114</f>
        <v>122752</v>
      </c>
      <c r="E21" s="30">
        <f>'Financial Statements'!D22+'Financial Statements'!D113+'Financial Statements'!D114</f>
        <v>69914</v>
      </c>
      <c r="I21" s="43" t="s">
        <v>50</v>
      </c>
      <c r="J21" s="42">
        <f>('Financial Statements'!B47-'Financial Statements'!C47)/'Financial Statements'!C47</f>
        <v>5.4772720964443994E-3</v>
      </c>
      <c r="K21" s="42">
        <f>('Financial Statements'!C47-'Financial Statements'!D47)/'Financial Statements'!D47</f>
        <v>0.19975579297904814</v>
      </c>
      <c r="L21" s="42"/>
    </row>
    <row r="22" spans="1:12" ht="15.75" x14ac:dyDescent="0.25">
      <c r="A22" s="47">
        <f>+A20+0.1</f>
        <v>2.4000000000000004</v>
      </c>
      <c r="B22" s="34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I22" s="43" t="s">
        <v>33</v>
      </c>
      <c r="J22" s="42">
        <f>('Financial Statements'!B48-'Financial Statements'!C48)/'Financial Statements'!C48</f>
        <v>4.9942735369029236E-3</v>
      </c>
      <c r="K22" s="42">
        <f>('Financial Statements'!C48-'Financial Statements'!D48)/'Financial Statements'!D48</f>
        <v>8.3714123400681711E-2</v>
      </c>
      <c r="L22" s="44"/>
    </row>
    <row r="23" spans="1:12" ht="15.75" x14ac:dyDescent="0.25">
      <c r="A23" s="47"/>
      <c r="B23" s="33"/>
      <c r="C23" s="27"/>
      <c r="D23" s="27"/>
      <c r="E23" s="27"/>
      <c r="I23" s="43" t="s">
        <v>40</v>
      </c>
      <c r="J23" s="42">
        <f>('Financial Statements'!B56-'Financial Statements'!C56)/'Financial Statements'!C56</f>
        <v>0.22713398841258836</v>
      </c>
      <c r="K23" s="42">
        <f>('Financial Statements'!C56-'Financial Statements'!D56)/'Financial Statements'!D56</f>
        <v>0.19061219067860938</v>
      </c>
      <c r="L23" s="44"/>
    </row>
    <row r="24" spans="1:12" ht="15.75" x14ac:dyDescent="0.25">
      <c r="A24" s="47">
        <f>+A16+1</f>
        <v>3</v>
      </c>
      <c r="B24" s="32" t="s">
        <v>116</v>
      </c>
      <c r="C24" s="27"/>
      <c r="D24" s="27"/>
      <c r="E24" s="27"/>
      <c r="I24" s="45" t="s">
        <v>53</v>
      </c>
      <c r="J24" s="42">
        <f>('Financial Statements'!B61-'Financial Statements'!C61)/'Financial Statements'!C61</f>
        <v>-8.8222075835277747E-2</v>
      </c>
      <c r="K24" s="42">
        <f>('Financial Statements'!C61-'Financial Statements'!D61)/'Financial Statements'!D61</f>
        <v>6.0552243775994566E-2</v>
      </c>
      <c r="L24" s="44"/>
    </row>
    <row r="25" spans="1:12" ht="15.75" x14ac:dyDescent="0.25">
      <c r="A25" s="47">
        <f>+A24+0.1</f>
        <v>3.1</v>
      </c>
      <c r="B25" s="34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Statements'!D62/'Financial Statements'!D68</f>
        <v>3.9570394404566951</v>
      </c>
      <c r="I25" s="43" t="s">
        <v>41</v>
      </c>
      <c r="J25" s="42">
        <f>('Financial Statements'!B62-'Financial Statements'!C62)/'Financial Statements'!C62</f>
        <v>4.9219900525160468E-2</v>
      </c>
      <c r="K25" s="42">
        <f>('Financial Statements'!C62-'Financial Statements'!D62)/'Financial Statements'!D62</f>
        <v>0.11356841449783213</v>
      </c>
      <c r="L25" s="44"/>
    </row>
    <row r="26" spans="1:12" ht="15.75" x14ac:dyDescent="0.25">
      <c r="A26" s="47">
        <f t="shared" ref="A26:A30" si="2">+A25+0.1</f>
        <v>3.2</v>
      </c>
      <c r="B26" s="34" t="s">
        <v>118</v>
      </c>
      <c r="C26" s="26">
        <f>'Financial Statements'!B62/'Financial Statements'!B48</f>
        <v>0.85635355983614692</v>
      </c>
      <c r="D26" s="26">
        <f>'Financial Statements'!C62/'Financial Statements'!C48</f>
        <v>0.82025743443057308</v>
      </c>
      <c r="E26" s="26">
        <f>'Financial Statements'!D62/'Financial Statements'!D48</f>
        <v>0.79826668477992391</v>
      </c>
      <c r="I26" s="43" t="s">
        <v>45</v>
      </c>
      <c r="J26" s="42">
        <f>('Financial Statements'!B68-'Financial Statements'!C68)/'Financial Statements'!C68</f>
        <v>-0.19682992550324932</v>
      </c>
      <c r="K26" s="42">
        <f>('Financial Statements'!C68-'Financial Statements'!D68)/'Financial Statements'!D68</f>
        <v>-3.4420483937617659E-2</v>
      </c>
      <c r="L26" s="44"/>
    </row>
    <row r="27" spans="1:12" ht="15.75" x14ac:dyDescent="0.25">
      <c r="A27" s="47">
        <f t="shared" si="2"/>
        <v>3.3000000000000003</v>
      </c>
      <c r="B27" s="34" t="s">
        <v>119</v>
      </c>
      <c r="C27" s="26">
        <f>'Financial Statements'!B61/'Financial Statements'!B69</f>
        <v>0.41984096610962285</v>
      </c>
      <c r="D27" s="26">
        <f>'Financial Statements'!C61/'Financial Statements'!C69</f>
        <v>0.46276374493592631</v>
      </c>
      <c r="E27" s="26">
        <f>'Financial Statements'!D61/'Financial Statements'!D69</f>
        <v>0.47287025144494393</v>
      </c>
      <c r="I27" s="43" t="s">
        <v>46</v>
      </c>
      <c r="J27" s="42">
        <f>('Financial Statements'!B69-'Financial Statements'!C69)/'Financial Statements'!C69</f>
        <v>4.9942735369029236E-3</v>
      </c>
      <c r="K27" s="42">
        <f>('Financial Statements'!C69-'Financial Statements'!D69)/'Financial Statements'!D69</f>
        <v>8.3714123400681711E-2</v>
      </c>
      <c r="L27" s="44"/>
    </row>
    <row r="28" spans="1:12" ht="15.75" x14ac:dyDescent="0.25">
      <c r="A28" s="47">
        <f t="shared" si="2"/>
        <v>3.4000000000000004</v>
      </c>
      <c r="B28" s="34" t="s">
        <v>120</v>
      </c>
      <c r="C28" s="26">
        <f>C21/'Financial Statements'!B114</f>
        <v>42.667015706806282</v>
      </c>
      <c r="D28" s="26">
        <f>D21/'Financial Statements'!C114</f>
        <v>45.683662076665428</v>
      </c>
      <c r="E28" s="26">
        <f>E21/'Financial Statements'!D114</f>
        <v>23.289140572951364</v>
      </c>
    </row>
    <row r="29" spans="1:12" ht="15.75" x14ac:dyDescent="0.25">
      <c r="A29" s="47">
        <f t="shared" si="2"/>
        <v>3.5000000000000004</v>
      </c>
      <c r="B29" s="34" t="s">
        <v>121</v>
      </c>
      <c r="C29" s="26">
        <f>'Financial Statements'!B22/ABS('Financial Statements'!B105)</f>
        <v>10.458241643089176</v>
      </c>
      <c r="D29" s="26">
        <f>'Financial Statements'!C22/ABS('Financial Statements'!C105)</f>
        <v>10.820571428571428</v>
      </c>
      <c r="E29" s="26">
        <f>'Financial Statements'!D22/ABS('Financial Statements'!D105)</f>
        <v>4.5459656346504076</v>
      </c>
    </row>
    <row r="30" spans="1:12" ht="15.75" x14ac:dyDescent="0.25">
      <c r="A30" s="47">
        <f t="shared" si="2"/>
        <v>3.6000000000000005</v>
      </c>
      <c r="B30" s="34" t="s">
        <v>122</v>
      </c>
      <c r="C30" s="31">
        <f>C31/'Financial Statements'!B27</f>
        <v>8.0257336551643587E-3</v>
      </c>
      <c r="D30" s="31">
        <f>D31/'Financial Statements'!C27</f>
        <v>7.1871172447224383E-3</v>
      </c>
      <c r="E30" s="31">
        <f>E31/'Financial Statements'!D27</f>
        <v>4.2413840061839136E-3</v>
      </c>
      <c r="I30" s="32" t="s">
        <v>151</v>
      </c>
      <c r="J30" s="33"/>
      <c r="K30" s="33"/>
      <c r="L30" s="33"/>
    </row>
    <row r="31" spans="1:12" ht="15.75" x14ac:dyDescent="0.25">
      <c r="A31" s="47"/>
      <c r="B31" s="48" t="s">
        <v>123</v>
      </c>
      <c r="C31" s="30">
        <f>'Financial Statements'!B18-'Financial Statements'!B96</f>
        <v>130145</v>
      </c>
      <c r="D31" s="30">
        <f>'Financial Statements'!C18-'Financial Statements'!C96</f>
        <v>120034</v>
      </c>
      <c r="E31" s="30">
        <f>'Financial Statements'!D18-'Financial Statements'!D96</f>
        <v>73597</v>
      </c>
      <c r="I31" s="34" t="s">
        <v>146</v>
      </c>
      <c r="J31" s="25">
        <f>'Financial Statements'!B12/'Financial Statements'!B8</f>
        <v>0.56690369438639909</v>
      </c>
      <c r="K31" s="25">
        <f>'Financial Statements'!C12/'Financial Statements'!C8</f>
        <v>0.58220640374832222</v>
      </c>
      <c r="L31" s="25">
        <f>'Financial Statements'!D12/'Financial Statements'!D8</f>
        <v>0.61766752272189129</v>
      </c>
    </row>
    <row r="32" spans="1:12" ht="15.75" x14ac:dyDescent="0.25">
      <c r="A32" s="47"/>
      <c r="B32" s="33"/>
      <c r="C32" s="30"/>
      <c r="D32" s="30"/>
      <c r="E32" s="30"/>
      <c r="I32" s="34" t="s">
        <v>89</v>
      </c>
      <c r="J32" s="25">
        <f>'Financial Statements'!B13/'Financial Statements'!B8</f>
        <v>0.43309630561360085</v>
      </c>
      <c r="K32" s="25">
        <f>'Financial Statements'!C13/'Financial Statements'!C8</f>
        <v>0.41779359625167778</v>
      </c>
      <c r="L32" s="25">
        <f>'Financial Statements'!D13/'Financial Statements'!D8</f>
        <v>0.38233247727810865</v>
      </c>
    </row>
    <row r="33" spans="1:12" ht="15.75" x14ac:dyDescent="0.25">
      <c r="A33" s="47">
        <f>+A24+1</f>
        <v>4</v>
      </c>
      <c r="B33" s="49" t="s">
        <v>124</v>
      </c>
      <c r="C33" s="27"/>
      <c r="D33" s="27"/>
      <c r="E33" s="27"/>
      <c r="I33" s="32" t="s">
        <v>10</v>
      </c>
      <c r="J33" s="25"/>
      <c r="K33" s="25"/>
      <c r="L33" s="25"/>
    </row>
    <row r="34" spans="1:12" ht="15.75" x14ac:dyDescent="0.25">
      <c r="A34" s="47">
        <f>+A33+0.1</f>
        <v>4.0999999999999996</v>
      </c>
      <c r="B34" s="34" t="s">
        <v>125</v>
      </c>
      <c r="C34" s="26">
        <f>'Financial Statements'!B13/'Financial Statements'!B48</f>
        <v>0.48413771597851202</v>
      </c>
      <c r="D34" s="26">
        <f>'Financial Statements'!C13/'Financial Statements'!C48</f>
        <v>0.43542771836057914</v>
      </c>
      <c r="E34" s="26">
        <f>'Financial Statements'!D13/'Financial Statements'!D48</f>
        <v>0.32405028898878624</v>
      </c>
      <c r="I34" s="34" t="s">
        <v>11</v>
      </c>
      <c r="J34" s="25">
        <f>'Financial Statements'!B15/'Financial Statements'!B8</f>
        <v>6.657148363798665E-2</v>
      </c>
      <c r="K34" s="25">
        <f>'Financial Statements'!C15/'Financial Statements'!C8</f>
        <v>5.9904269074427925E-2</v>
      </c>
      <c r="L34" s="25">
        <f>'Financial Statements'!D15/'Financial Statements'!D8</f>
        <v>6.8309564140393061E-2</v>
      </c>
    </row>
    <row r="35" spans="1:12" ht="15.75" x14ac:dyDescent="0.25">
      <c r="A35" s="47">
        <f t="shared" ref="A35:A37" si="3">+A34+0.1</f>
        <v>4.1999999999999993</v>
      </c>
      <c r="B35" s="34" t="s">
        <v>126</v>
      </c>
      <c r="C35" s="26">
        <f>'Financial Statements'!B13/'Financial Statements'!B47</f>
        <v>0.78574649183344836</v>
      </c>
      <c r="D35" s="26">
        <f>'Financial Statements'!C13/'Financial Statements'!C47</f>
        <v>0.70703070788190558</v>
      </c>
      <c r="E35" s="26">
        <f>'Financial Statements'!D13/'Financial Statements'!D47</f>
        <v>0.58252254752324129</v>
      </c>
      <c r="I35" s="41" t="s">
        <v>12</v>
      </c>
      <c r="J35" s="25">
        <f>'Financial Statements'!B16/'Financial Statements'!B8</f>
        <v>6.3637378020328261E-2</v>
      </c>
      <c r="K35" s="25">
        <f>'Financial Statements'!C16/'Financial Statements'!C8</f>
        <v>6.006555190163388E-2</v>
      </c>
      <c r="L35" s="25">
        <f>'Financial Statements'!D16/'Financial Statements'!D8</f>
        <v>7.2549769593646979E-2</v>
      </c>
    </row>
    <row r="36" spans="1:12" ht="15.75" x14ac:dyDescent="0.25">
      <c r="A36" s="47">
        <f t="shared" si="3"/>
        <v>4.2999999999999989</v>
      </c>
      <c r="B36" s="34" t="s">
        <v>127</v>
      </c>
      <c r="C36" s="26">
        <f>'Financial Statements'!B8/AVERAGE('Financial Statements'!B39+'Financial Statements'!C39)</f>
        <v>34.212042339059515</v>
      </c>
      <c r="D36" s="26">
        <f>'Financial Statements'!C8/AVERAGE('Financial Statements'!C39+'Financial Statements'!D39)</f>
        <v>34.378065971243302</v>
      </c>
      <c r="E36" s="26">
        <f>'Financial Statements'!D8/AVERAGE('Financial Statements'!D39+'Financial Statements'!E39)</f>
        <v>67.597882295001227</v>
      </c>
      <c r="I36" s="34" t="s">
        <v>14</v>
      </c>
      <c r="J36" s="25">
        <f>'Financial Statements'!B18/'Financial Statements'!B8</f>
        <v>0.30288744395528594</v>
      </c>
      <c r="K36" s="25">
        <f>'Financial Statements'!C18/'Financial Statements'!C8</f>
        <v>0.29782377527561593</v>
      </c>
      <c r="L36" s="25">
        <f>'Financial Statements'!D18/'Financial Statements'!D8</f>
        <v>0.24147314354406862</v>
      </c>
    </row>
    <row r="37" spans="1:12" ht="15.75" x14ac:dyDescent="0.25">
      <c r="A37" s="47">
        <f t="shared" si="3"/>
        <v>4.3999999999999986</v>
      </c>
      <c r="B37" s="34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  <c r="I37" s="34" t="s">
        <v>93</v>
      </c>
      <c r="J37" s="25">
        <f>'Financial Statements'!B22/'Financial Statements'!B8</f>
        <v>0.25309640705199732</v>
      </c>
      <c r="K37" s="25">
        <f>'Financial Statements'!C22/'Financial Statements'!C8</f>
        <v>0.25881793355694238</v>
      </c>
      <c r="L37" s="25">
        <f>'Financial Statements'!D22/'Financial Statements'!D8</f>
        <v>0.20913611278072236</v>
      </c>
    </row>
    <row r="38" spans="1:12" ht="15.75" x14ac:dyDescent="0.25">
      <c r="A38" s="47"/>
      <c r="B38" s="33"/>
      <c r="C38" s="27"/>
      <c r="D38" s="27"/>
      <c r="E38" s="27"/>
      <c r="I38" s="33"/>
      <c r="J38" s="33"/>
      <c r="K38" s="33"/>
      <c r="L38" s="33"/>
    </row>
    <row r="39" spans="1:12" ht="15.75" x14ac:dyDescent="0.25">
      <c r="A39" s="47">
        <f>+A33+1</f>
        <v>5</v>
      </c>
      <c r="B39" s="49" t="s">
        <v>129</v>
      </c>
      <c r="C39" s="27"/>
      <c r="D39" s="27"/>
      <c r="E39" s="27"/>
      <c r="I39" s="50" t="s">
        <v>152</v>
      </c>
    </row>
    <row r="40" spans="1:12" ht="15.75" x14ac:dyDescent="0.25">
      <c r="A40" s="47">
        <f>+A39+0.1</f>
        <v>5.0999999999999996</v>
      </c>
      <c r="B40" s="34" t="s">
        <v>130</v>
      </c>
      <c r="C40" s="26">
        <f>C56/C41</f>
        <v>22.471544715447152</v>
      </c>
      <c r="D40" s="26">
        <f>C57/D41</f>
        <v>24.955908289241624</v>
      </c>
      <c r="E40" s="26">
        <f>C58/E41</f>
        <v>34.987915407854985</v>
      </c>
      <c r="I40" s="34" t="s">
        <v>94</v>
      </c>
      <c r="J40" s="25">
        <f>'Financial Statements'!B113/'List of Ratios'!C21</f>
        <v>0.16011812730589572</v>
      </c>
      <c r="K40" s="25">
        <f>'Financial Statements'!C113/'List of Ratios'!D21</f>
        <v>0.20679907455683003</v>
      </c>
      <c r="L40" s="25">
        <f>'Financial Statements'!D113/'List of Ratios'!E21</f>
        <v>0.13589552879251651</v>
      </c>
    </row>
    <row r="41" spans="1:12" ht="15.75" x14ac:dyDescent="0.25">
      <c r="A41" s="47">
        <f t="shared" ref="A41:A44" si="4">+A40+0.1</f>
        <v>5.1999999999999993</v>
      </c>
      <c r="B41" s="48" t="s">
        <v>131</v>
      </c>
      <c r="C41" s="53">
        <f>'Financial Statements'!B24</f>
        <v>6.15</v>
      </c>
      <c r="D41" s="53">
        <f>'Financial Statements'!C24</f>
        <v>5.67</v>
      </c>
      <c r="E41" s="53">
        <f>'Financial Statements'!D24</f>
        <v>3.31</v>
      </c>
      <c r="I41" s="34" t="s">
        <v>95</v>
      </c>
      <c r="J41" s="25">
        <f>ABS('Financial Statements'!B96)/'Financial Statements'!B8</f>
        <v>2.7155058732831552E-2</v>
      </c>
      <c r="K41" s="25">
        <f>ABS('Financial Statements'!C96)/'Financial Statements'!C8</f>
        <v>3.0302036264033657E-2</v>
      </c>
      <c r="L41" s="25">
        <f>ABS('Financial Statements'!D96)/'Financial Statements'!D8</f>
        <v>2.6625138881299748E-2</v>
      </c>
    </row>
    <row r="42" spans="1:12" ht="15.75" x14ac:dyDescent="0.25">
      <c r="A42" s="47">
        <f t="shared" si="4"/>
        <v>5.2999999999999989</v>
      </c>
      <c r="B42" s="34" t="s">
        <v>132</v>
      </c>
      <c r="C42" s="30">
        <f>C56/C43</f>
        <v>44226.517338964317</v>
      </c>
      <c r="D42" s="30">
        <f>C57/D43</f>
        <v>37458.075574576003</v>
      </c>
      <c r="E42" s="30">
        <f>C58/E43</f>
        <v>30755.733962717521</v>
      </c>
      <c r="I42" s="34" t="s">
        <v>96</v>
      </c>
      <c r="J42" s="25">
        <f>ABS('Financial Statements'!B96)/'Financial Statements'!B47</f>
        <v>4.9266160570508394E-2</v>
      </c>
      <c r="K42" s="25">
        <f>ABS('Financial Statements'!C96)/'Financial Statements'!C47</f>
        <v>5.1280034788079534E-2</v>
      </c>
      <c r="L42" s="25">
        <f>ABS('Financial Statements'!D96)/'Financial Statements'!D47</f>
        <v>4.0566116275842931E-2</v>
      </c>
    </row>
    <row r="43" spans="1:12" ht="15.75" x14ac:dyDescent="0.25">
      <c r="A43" s="47">
        <f t="shared" si="4"/>
        <v>5.3999999999999986</v>
      </c>
      <c r="B43" s="48" t="s">
        <v>133</v>
      </c>
      <c r="C43" s="31">
        <f>'Financial Statements'!B68/'Financial Statements'!B27</f>
        <v>3.124822127430853E-3</v>
      </c>
      <c r="D43" s="31">
        <f>('Financial Statements'!C48-'Financial Statements'!C62)/'Financial Statements'!C27</f>
        <v>3.7775565837141027E-3</v>
      </c>
      <c r="E43" s="31">
        <f>('Financial Statements'!D48-'Financial Statements'!D62)/'Financial Statements'!D27</f>
        <v>3.7654767120949319E-3</v>
      </c>
    </row>
    <row r="44" spans="1:12" ht="15.75" x14ac:dyDescent="0.25">
      <c r="A44" s="47">
        <f t="shared" si="4"/>
        <v>5.4999999999999982</v>
      </c>
      <c r="B44" s="34" t="s">
        <v>134</v>
      </c>
      <c r="C44" s="26">
        <f>ABS('Financial Statements'!B102)/'Financial Statements'!B22</f>
        <v>0.14870294480125848</v>
      </c>
      <c r="D44" s="26">
        <f>ABS('Financial Statements'!C102)/'Financial Statements'!C22</f>
        <v>0.15279890156316012</v>
      </c>
      <c r="E44" s="26">
        <f>ABS('Financial Statements'!D102)/'Financial Statements'!D22</f>
        <v>0.24526658654264863</v>
      </c>
    </row>
    <row r="45" spans="1:12" ht="15.75" x14ac:dyDescent="0.25">
      <c r="A45" s="47"/>
      <c r="B45" s="48" t="s">
        <v>135</v>
      </c>
      <c r="C45" s="31">
        <f>ABS('Financial Statements'!B102)/'Financial Statements'!B27</f>
        <v>9.1520929099307886E-4</v>
      </c>
      <c r="D45" s="31">
        <f>ABS('Financial Statements'!C102)/'Financial Statements'!C27</f>
        <v>8.6622144708498852E-4</v>
      </c>
      <c r="E45" s="31">
        <f>ABS('Financial Statements'!D102)/'Financial Statements'!D27</f>
        <v>8.1148590555424381E-4</v>
      </c>
    </row>
    <row r="46" spans="1:12" ht="15.75" x14ac:dyDescent="0.25">
      <c r="A46" s="47">
        <f>+A44+0.1</f>
        <v>5.5999999999999979</v>
      </c>
      <c r="B46" s="34" t="s">
        <v>136</v>
      </c>
      <c r="C46" s="51">
        <f>C45/C56</f>
        <v>6.6223537698486176E-6</v>
      </c>
      <c r="D46" s="51">
        <f>D45/C57</f>
        <v>6.1217063398232402E-6</v>
      </c>
      <c r="E46" s="51">
        <f>E45/C58</f>
        <v>7.0070452081361179E-6</v>
      </c>
    </row>
    <row r="47" spans="1:12" ht="15.75" x14ac:dyDescent="0.25">
      <c r="A47" s="47">
        <f t="shared" ref="A47:A50" si="5">+A45+0.1</f>
        <v>0.1</v>
      </c>
      <c r="B47" s="34" t="s">
        <v>137</v>
      </c>
      <c r="C47" s="26">
        <f>'Financial Statements'!B22/AVERAGE('Financial Statements'!B68:C68)</f>
        <v>1.7545929220653644</v>
      </c>
      <c r="D47" s="26">
        <f>'Financial Statements'!C22/AVERAGE('Financial Statements'!C68:D68)</f>
        <v>1.4744333444938449</v>
      </c>
      <c r="E47" s="26">
        <f>'Financial Statements'!D22/AVERAGE('Financial Statements'!D68:E68)</f>
        <v>0.87866358530127486</v>
      </c>
    </row>
    <row r="48" spans="1:12" ht="15.75" x14ac:dyDescent="0.25">
      <c r="A48" s="47">
        <f t="shared" si="5"/>
        <v>5.6999999999999975</v>
      </c>
      <c r="B48" s="34" t="s">
        <v>138</v>
      </c>
      <c r="C48" s="25">
        <f>C21/('Financial Statements'!B48-'Financial Statements'!B56)</f>
        <v>0.61497788935116937</v>
      </c>
      <c r="D48" s="25">
        <f>D21/('Financial Statements'!C48-'Financial Statements'!C56)</f>
        <v>0.54430407811245962</v>
      </c>
      <c r="E48" s="25">
        <f>E21/('Financial Statements'!D48-'Financial Statements'!D56)</f>
        <v>0.31997839777387227</v>
      </c>
    </row>
    <row r="49" spans="1:5" ht="15.75" x14ac:dyDescent="0.25">
      <c r="A49" s="47">
        <f t="shared" si="5"/>
        <v>0.2</v>
      </c>
      <c r="B49" s="34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5" ht="15.75" x14ac:dyDescent="0.25">
      <c r="A50" s="47">
        <f t="shared" si="5"/>
        <v>5.7999999999999972</v>
      </c>
      <c r="B50" s="34" t="s">
        <v>139</v>
      </c>
      <c r="C50" s="26">
        <f>C51/C19</f>
        <v>16920.314325996475</v>
      </c>
      <c r="D50" s="26">
        <f t="shared" ref="D50:E50" si="6">D51/D19</f>
        <v>17804.139570712345</v>
      </c>
      <c r="E50" s="26">
        <f t="shared" si="6"/>
        <v>25070.411712239104</v>
      </c>
    </row>
    <row r="51" spans="1:5" ht="15.75" x14ac:dyDescent="0.25">
      <c r="A51" s="47"/>
      <c r="B51" s="48" t="s">
        <v>140</v>
      </c>
      <c r="C51" s="30">
        <f>(C56*'Financial Statements'!B28)+'Financial Statements'!B55</f>
        <v>2256239313.7999997</v>
      </c>
      <c r="D51" s="30">
        <f>(C57*'Financial Statements'!C28)+'Financial Statements'!C55</f>
        <v>2386395651.5</v>
      </c>
      <c r="E51" s="30">
        <f>(C58*'Financial Statements'!D28)+'Financial Statements'!D55</f>
        <v>2029951236.3400002</v>
      </c>
    </row>
    <row r="52" spans="1:5" ht="15.75" x14ac:dyDescent="0.25">
      <c r="A52" s="33"/>
      <c r="B52" s="33"/>
    </row>
    <row r="55" spans="1:5" ht="15.75" x14ac:dyDescent="0.25">
      <c r="B55" s="54" t="s">
        <v>154</v>
      </c>
      <c r="C55" s="54"/>
    </row>
    <row r="56" spans="1:5" ht="15.75" x14ac:dyDescent="0.25">
      <c r="B56" s="55">
        <v>44834</v>
      </c>
      <c r="C56" s="56">
        <v>138.19999999999999</v>
      </c>
    </row>
    <row r="57" spans="1:5" ht="15.75" x14ac:dyDescent="0.25">
      <c r="B57" s="55">
        <v>44469</v>
      </c>
      <c r="C57" s="56">
        <v>141.5</v>
      </c>
    </row>
    <row r="58" spans="1:5" ht="15.75" x14ac:dyDescent="0.25">
      <c r="B58" s="55">
        <v>44104</v>
      </c>
      <c r="C58" s="56">
        <v>115.81</v>
      </c>
    </row>
    <row r="59" spans="1:5" ht="15.75" x14ac:dyDescent="0.25">
      <c r="B59" s="33"/>
      <c r="C59" s="33"/>
    </row>
    <row r="60" spans="1:5" ht="15.75" x14ac:dyDescent="0.25">
      <c r="B60" s="33"/>
      <c r="C60" s="33"/>
    </row>
  </sheetData>
  <mergeCells count="1">
    <mergeCell ref="C2:E2"/>
  </mergeCells>
  <conditionalFormatting sqref="A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2020-05-18T16:32:37Z</dcterms:created>
  <dcterms:modified xsi:type="dcterms:W3CDTF">2023-07-08T21:53:05Z</dcterms:modified>
</cp:coreProperties>
</file>