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0" windowHeight="0"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0" l="1"/>
  <c r="L19" i="10"/>
  <c r="M19" i="10"/>
  <c r="N19" i="10"/>
  <c r="O19" i="10"/>
  <c r="P19" i="10"/>
  <c r="Q19" i="10"/>
  <c r="R19" i="10"/>
  <c r="S19" i="10"/>
  <c r="T19" i="10"/>
  <c r="K19" i="10"/>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B30" i="10" s="1"/>
  <c r="B31" i="10" s="1"/>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5" i="3"/>
  <c r="N36" i="3" s="1"/>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I15" i="10" l="1"/>
  <c r="I8" i="10"/>
  <c r="E15" i="10"/>
  <c r="F16" i="10" s="1"/>
  <c r="E8" i="10"/>
  <c r="D15" i="10"/>
  <c r="D8" i="10"/>
  <c r="G15" i="10"/>
  <c r="G16" i="10" s="1"/>
  <c r="G8" i="10"/>
  <c r="B15" i="10"/>
  <c r="B16" i="10" s="1"/>
  <c r="B26" i="10"/>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M15" i="10" s="1"/>
  <c r="L13" i="3"/>
  <c r="M11" i="3"/>
  <c r="M12" i="3" s="1"/>
  <c r="M6" i="6"/>
  <c r="M47" i="6"/>
  <c r="K49" i="6"/>
  <c r="M46" i="6"/>
  <c r="N192" i="3"/>
  <c r="N6" i="3"/>
  <c r="N7" i="3"/>
  <c r="N15" i="3"/>
  <c r="N16" i="3"/>
  <c r="N8" i="3"/>
  <c r="N198" i="3"/>
  <c r="M10" i="3"/>
  <c r="M9" i="3"/>
  <c r="M7" i="6" l="1"/>
  <c r="K54" i="6"/>
  <c r="L15" i="10" s="1"/>
  <c r="K56" i="6"/>
  <c r="L56" i="6"/>
  <c r="N11" i="3"/>
  <c r="N12" i="3" s="1"/>
  <c r="N6" i="6"/>
  <c r="N47" i="6"/>
  <c r="M13" i="3"/>
  <c r="N46" i="6"/>
  <c r="N7" i="6"/>
  <c r="M49" i="6"/>
  <c r="M54" i="6" s="1"/>
  <c r="N15" i="10" s="1"/>
  <c r="N9" i="3"/>
  <c r="N10" i="3"/>
  <c r="N13" i="3" l="1"/>
  <c r="M56" i="6"/>
  <c r="N49" i="6"/>
  <c r="N54" i="6" s="1"/>
  <c r="O15" i="10" s="1"/>
  <c r="P15" i="10" s="1"/>
  <c r="Q15" i="10" s="1"/>
  <c r="R15" i="10" s="1"/>
  <c r="S15" i="10" s="1"/>
  <c r="T15" i="10" s="1"/>
  <c r="U15" i="10" s="1"/>
  <c r="J39" i="3"/>
  <c r="K39" i="3"/>
  <c r="J40" i="3"/>
  <c r="J8" i="3"/>
  <c r="M16" i="10" l="1"/>
  <c r="N56" i="6"/>
  <c r="K9" i="3"/>
  <c r="J6" i="6"/>
  <c r="J47" i="6"/>
  <c r="J11" i="3"/>
  <c r="J9" i="3"/>
  <c r="J10" i="3"/>
  <c r="N16" i="10" l="1"/>
  <c r="J26" i="6"/>
  <c r="K26" i="6" s="1"/>
  <c r="L26" i="6" s="1"/>
  <c r="M26" i="6" s="1"/>
  <c r="N26" i="6" s="1"/>
  <c r="J46" i="6"/>
  <c r="J7" i="6"/>
  <c r="J12" i="3"/>
  <c r="K12" i="3"/>
  <c r="J13" i="3"/>
  <c r="O16" i="10" l="1"/>
  <c r="J49" i="6"/>
  <c r="J54" i="6" l="1"/>
  <c r="K15" i="10" s="1"/>
  <c r="J56" i="6"/>
  <c r="K16" i="10" l="1"/>
  <c r="L16" i="10"/>
  <c r="K65" i="6"/>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<sst xmlns="http://schemas.openxmlformats.org/spreadsheetml/2006/main" count="583" uniqueCount="260">
  <si>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</si>
  <si>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</si>
  <si>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</si>
  <si>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</si>
  <si>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</si>
  <si>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</si>
  <si>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</si>
  <si>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</si>
  <si>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</si>
  <si>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</si>
  <si>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</si>
  <si>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</si>
  <si>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</si>
  <si>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</si>
  <si>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</si>
  <si>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</si>
  <si>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</si>
  <si>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</si>
  <si>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</si>
  <si>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</si>
  <si>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</si>
  <si>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</si>
  <si>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</si>
  <si>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</si>
  <si>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</si>
  <si>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</si>
  <si>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</si>
  <si>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</si>
  <si>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</si>
  <si>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</si>
  <si>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</si>
  <si>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</si>
  <si>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</si>
  <si>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</si>
  <si>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</si>
  <si>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</si>
  <si>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</si>
  <si>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</si>
  <si>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</si>
  <si>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</si>
  <si>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</si>
  <si>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</si>
  <si>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</si>
  <si>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</si>
  <si>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</si>
  <si>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</si>
  <si>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</si>
  <si>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</si>
  <si>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</si>
  <si>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</si>
  <si>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</si>
  <si>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</si>
  <si>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</si>
  <si>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</si>
  <si>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</si>
  <si>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</si>
  <si>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</si>
  <si>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</si>
  <si>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</si>
  <si>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</si>
  <si>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</si>
  <si>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</si>
  <si>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</si>
  <si>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</si>
  <si>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</si>
  <si>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</si>
  <si>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</si>
  <si>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</si>
  <si>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</si>
  <si>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</si>
  <si>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</si>
  <si>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</si>
  <si>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</si>
  <si>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</si>
  <si>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</si>
  <si>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</si>
  <si>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</si>
  <si>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</si>
  <si>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</si>
  <si>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</si>
  <si>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</si>
  <si>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</si>
  <si>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</si>
  <si>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</si>
  <si>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</si>
  <si>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</si>
  <si>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</si>
  <si>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</si>
  <si>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</si>
  <si>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</si>
  <si>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</si>
  <si>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</si>
  <si>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</si>
  <si>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</si>
  <si>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</si>
  <si>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</si>
  <si>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</si>
  <si>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</si>
  <si>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</si>
  <si>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</si>
  <si>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</si>
  <si>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</si>
  <si>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</si>
  <si>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</si>
  <si>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</si>
  <si>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</si>
  <si>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</si>
  <si>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</si>
  <si>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</si>
  <si>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</si>
  <si>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</si>
  <si>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</si>
  <si>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</si>
  <si>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</si>
  <si>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</si>
  <si>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</si>
  <si>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</si>
  <si>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</si>
  <si>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</si>
  <si>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</si>
  <si>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</si>
  <si>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</si>
  <si>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</si>
  <si>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</si>
  <si>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</si>
  <si>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</si>
  <si>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</si>
  <si>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</si>
  <si>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</si>
  <si>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</si>
  <si>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</si>
  <si>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</si>
  <si>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</si>
  <si>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</si>
  <si>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</si>
  <si>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</si>
  <si>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</si>
  <si>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</si>
  <si>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</si>
  <si>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</si>
  <si>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</si>
  <si>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</si>
  <si>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</si>
  <si>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</si>
  <si>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</si>
  <si>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</si>
  <si>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</si>
  <si>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</si>
  <si>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</si>
  <si>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</si>
  <si>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</si>
  <si>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</si>
  <si>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</si>
  <si>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</si>
  <si>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</si>
  <si>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</si>
  <si>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</si>
  <si>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</si>
  <si>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</si>
  <si>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</si>
  <si>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</si>
  <si>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</si>
  <si>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</si>
  <si>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</si>
  <si>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</si>
  <si>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</si>
  <si>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</si>
  <si>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</si>
  <si>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</si>
  <si>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</si>
  <si>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</si>
  <si>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</si>
  <si>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</si>
  <si>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</si>
  <si>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</si>
  <si>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</si>
  <si>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</si>
  <si>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</si>
  <si>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</si>
  <si>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</si>
  <si>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</si>
  <si>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</si>
  <si>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</si>
  <si>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</si>
  <si>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</si>
  <si>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</si>
  <si>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</si>
  <si>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</si>
  <si>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</si>
  <si>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</si>
  <si>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</si>
  <si>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</si>
  <si>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</si>
  <si>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</si>
  <si>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</si>
  <si>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</si>
  <si>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</si>
  <si>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</si>
  <si>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</si>
  <si>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</si>
  <si>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</si>
  <si>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</si>
  <si>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</si>
  <si>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</si>
  <si>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</si>
  <si>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</si>
  <si>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</si>
  <si>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</si>
  <si>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</si>
  <si>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</si>
  <si>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</si>
  <si>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</si>
  <si>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</si>
  <si>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</si>
  <si>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</si>
  <si>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</si>
  <si>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</si>
  <si>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</si>
  <si>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</si>
  <si>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</si>
  <si>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</si>
  <si>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</si>
  <si>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</si>
  <si>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</si>
  <si>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</si>
  <si>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</si>
  <si>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</si>
  <si>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</si>
  <si>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</si>
  <si>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</si>
  <si>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</si>
  <si>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</si>
  <si>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</si>
  <si>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</si>
  <si>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</si>
  <si>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</si>
  <si>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</si>
  <si>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</si>
  <si>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</si>
  <si>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</si>
  <si>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</si>
  <si>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</si>
  <si>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</si>
  <si>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</si>
  <si>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</si>
  <si>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</si>
  <si>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</si>
  <si>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</si>
  <si>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</si>
  <si>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</si>
  <si>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</si>
  <si>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</si>
  <si>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</si>
  <si>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</si>
  <si>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</si>
  <si>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</si>
  <si>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</si>
  <si>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Add up all the PVs calculated from 2023 to terminal year in cell B26</t>
  </si>
  <si>
    <t>Now calculate PV for each of the FCFF numbers from 2023 - Terminal year using the WACC calculated in year 2022</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</si>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</sst>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5" xfId="0" applyBorder="1"/>
    <xf numFmtId="0" fontId="0" fillId="0" borderId="6" xfId="0" applyBorder="1"/>
    <xf numFmtId="0" fontId="0" fillId="0" borderId="7" xfId="0" applyBorder="1"/>
    <xf numFmtId="2" fontId="0" fillId="0" borderId="10" xfId="0" applyNumberFormat="1" applyBorder="1"/>
    <xf numFmtId="165" fontId="0" fillId="0" borderId="0" xfId="1" applyNumberFormat="1" applyFont="1" applyBorder="1"/>
    <xf numFmtId="166" fontId="0" fillId="0" borderId="0" xfId="2" applyNumberFormat="1" applyFont="1" applyFill="1" applyBorder="1"/>
    <xf numFmtId="165" fontId="0" fillId="0" borderId="8" xfId="1" applyNumberFormat="1" applyFont="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9" fontId="0" fillId="0" borderId="0" xfId="2" applyFont="1"/>
    <xf numFmtId="165" fontId="0" fillId="14" borderId="0" xfId="1" applyNumberFormat="1" applyFont="1" applyFill="1"/>
    <xf numFmtId="10" fontId="19" fillId="14" borderId="0" xfId="1" applyNumberFormat="1" applyFont="1" applyFill="1" applyBorder="1" applyAlignment="1">
      <alignment horizontal="right"/>
    </xf>
    <xf numFmtId="165" fontId="2" fillId="10" borderId="0" xfId="1" applyNumberFormat="1" applyFont="1" applyFill="1"/>
    <xf numFmtId="0" fontId="0" fillId="10" borderId="0" xfId="0" applyFill="1"/>
    <xf numFmtId="0" fontId="0" fillId="14" borderId="0" xfId="0" applyFill="1" applyAlignment="1">
      <alignment horizontal="left" indent="1"/>
    </xf>
    <xf numFmtId="166" fontId="0" fillId="14" borderId="0" xfId="2" applyNumberFormat="1" applyFont="1" applyFill="1"/>
    <xf numFmtId="0" fontId="0" fillId="14" borderId="0" xfId="0" applyFill="1"/>
    <xf numFmtId="0" fontId="0" fillId="0" borderId="0" xfId="0" applyFill="1"/>
    <xf numFmtId="1" fontId="0" fillId="14" borderId="0" xfId="2" applyNumberFormat="1" applyFont="1" applyFill="1" applyBorder="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118" workbookViewId="0">
      <selection activeCell="O130" sqref="O130"/>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A39" zoomScaleNormal="100" workbookViewId="0">
      <selection activeCell="A54" sqref="A54:XFD54"/>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s="152" customFormat="1">
      <c r="A54" s="118" t="s">
        <v>188</v>
      </c>
      <c r="B54" s="151">
        <f>B49+B52+B53-B47</f>
        <v>5166</v>
      </c>
      <c r="C54" s="151">
        <f t="shared" ref="C54:N54" si="43">C49+C52+C53-C47</f>
        <v>1740</v>
      </c>
      <c r="D54" s="151">
        <f t="shared" si="43"/>
        <v>2436</v>
      </c>
      <c r="E54" s="151">
        <f t="shared" si="43"/>
        <v>1587</v>
      </c>
      <c r="F54" s="151">
        <f t="shared" si="43"/>
        <v>3053</v>
      </c>
      <c r="G54" s="151">
        <f t="shared" si="43"/>
        <v>579</v>
      </c>
      <c r="H54" s="151">
        <f t="shared" si="43"/>
        <v>1402</v>
      </c>
      <c r="I54" s="151">
        <f t="shared" si="43"/>
        <v>3940</v>
      </c>
      <c r="J54" s="151">
        <f t="shared" si="43"/>
        <v>4694.5205999999998</v>
      </c>
      <c r="K54" s="151">
        <f t="shared" si="43"/>
        <v>6539.2295941999973</v>
      </c>
      <c r="L54" s="151">
        <f t="shared" si="43"/>
        <v>6512.4669611694044</v>
      </c>
      <c r="M54" s="151">
        <f t="shared" si="43"/>
        <v>6360.5114078390579</v>
      </c>
      <c r="N54" s="151">
        <f t="shared" si="43"/>
        <v>5997.5554874672707</v>
      </c>
      <c r="O54" s="151"/>
      <c r="P54" s="151"/>
      <c r="Q54" s="151"/>
      <c r="R54" s="151"/>
      <c r="S54" s="151"/>
      <c r="T54" s="151"/>
      <c r="U54" s="151"/>
      <c r="V54" s="151"/>
      <c r="W54" s="151"/>
      <c r="X54" s="151"/>
      <c r="Y54" s="151"/>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F2" workbookViewId="0">
      <selection activeCell="K22" sqref="K22"/>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26.7109375" customWidth="1"/>
    <col min="11" max="11" width="11.5703125" bestFit="1" customWidth="1"/>
    <col min="12" max="15" width="10.5703125" bestFit="1" customWidth="1"/>
    <col min="16" max="18" width="10.140625" bestFit="1" customWidth="1"/>
    <col min="21" max="21" width="9.5703125" bestFit="1" customWidth="1"/>
  </cols>
  <sheetData>
    <row r="1" spans="1:21" ht="45">
      <c r="A1" s="135"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259</v>
      </c>
      <c r="K1" s="127">
        <f>+I1+1</f>
        <v>2023</v>
      </c>
      <c r="L1" s="127">
        <f>+K1+1</f>
        <v>2024</v>
      </c>
      <c r="M1" s="127">
        <f t="shared" si="0"/>
        <v>2025</v>
      </c>
      <c r="N1" s="127">
        <f t="shared" si="0"/>
        <v>2026</v>
      </c>
      <c r="O1" s="127">
        <f t="shared" si="0"/>
        <v>2027</v>
      </c>
      <c r="P1" s="127">
        <f t="shared" si="0"/>
        <v>2028</v>
      </c>
      <c r="Q1" s="127">
        <f t="shared" si="0"/>
        <v>2029</v>
      </c>
      <c r="R1" s="127">
        <f t="shared" si="0"/>
        <v>2030</v>
      </c>
      <c r="S1" s="127">
        <f t="shared" si="0"/>
        <v>2031</v>
      </c>
      <c r="T1" s="127">
        <f t="shared" si="0"/>
        <v>2032</v>
      </c>
      <c r="U1" s="131" t="s">
        <v>226</v>
      </c>
    </row>
    <row r="2" spans="1:21">
      <c r="A2" s="14" t="s">
        <v>227</v>
      </c>
      <c r="B2" s="14"/>
      <c r="C2" s="14"/>
      <c r="D2" s="14"/>
      <c r="E2" s="14"/>
      <c r="F2" s="14"/>
      <c r="G2" s="14"/>
      <c r="H2" s="14"/>
      <c r="I2" s="14"/>
      <c r="J2" s="14"/>
      <c r="K2" s="14"/>
      <c r="L2" s="14"/>
      <c r="M2" s="14"/>
      <c r="N2" s="14"/>
      <c r="O2" s="14"/>
      <c r="P2" s="132"/>
      <c r="Q2" s="132"/>
      <c r="R2" s="132"/>
      <c r="S2" s="132"/>
      <c r="T2" s="132"/>
      <c r="U2" s="132"/>
    </row>
    <row r="3" spans="1:21">
      <c r="A3" t="s">
        <v>228</v>
      </c>
      <c r="B3" s="133">
        <v>50.02</v>
      </c>
      <c r="C3" s="133">
        <v>51.63</v>
      </c>
      <c r="D3" s="133">
        <v>52.6</v>
      </c>
      <c r="E3" s="133">
        <v>70.239999999999995</v>
      </c>
      <c r="F3" s="133">
        <v>83.79</v>
      </c>
      <c r="G3" s="133">
        <v>103.56</v>
      </c>
      <c r="H3" s="133">
        <v>146.88</v>
      </c>
      <c r="I3" s="133">
        <v>113.8</v>
      </c>
      <c r="J3" s="133"/>
      <c r="K3" s="133"/>
      <c r="L3" s="48"/>
      <c r="M3" s="48"/>
      <c r="N3" s="48"/>
      <c r="O3" s="48"/>
    </row>
    <row r="4" spans="1:21">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s="88"/>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s="98"/>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4">
        <f>'The Statements'!B36/'The Statements'!B39</f>
        <v>8.4913827024474697E-2</v>
      </c>
      <c r="C9" s="134">
        <f>'The Statements'!C36/'The Statements'!C39</f>
        <v>0.16397454723445912</v>
      </c>
      <c r="D9" s="134">
        <f>'The Statements'!D36/'The Statements'!D39</f>
        <v>0.27976142500201501</v>
      </c>
      <c r="E9" s="134">
        <f>'The Statements'!E36/'The Statements'!E39</f>
        <v>0.35344476151651039</v>
      </c>
      <c r="F9" s="134">
        <f>'The Statements'!F36/'The Statements'!F39</f>
        <v>0.38318584070796458</v>
      </c>
      <c r="G9" s="134">
        <f>'The Statements'!G36/'The Statements'!G39</f>
        <v>1.1677219118559901</v>
      </c>
      <c r="H9" s="134">
        <f>'The Statements'!H36/'The Statements'!H39</f>
        <v>0.73729145453121325</v>
      </c>
      <c r="I9" s="134">
        <f>('The Statements'!I43-'The Statements'!I39)/'The Statements'!I39</f>
        <v>1.4188861985472154</v>
      </c>
      <c r="J9" s="134"/>
      <c r="K9" t="s">
        <v>254</v>
      </c>
    </row>
    <row r="10" spans="1:21">
      <c r="A10" t="s">
        <v>235</v>
      </c>
      <c r="B10" s="134">
        <f>'The Statements'!B36/('The Statements'!B36+'The Statements'!B39)</f>
        <v>7.826780792107936E-2</v>
      </c>
      <c r="C10" s="134">
        <f>'The Statements'!C36/('The Statements'!C36+'The Statements'!C39)</f>
        <v>0.14087468460891506</v>
      </c>
      <c r="D10" s="134">
        <f>'The Statements'!D36/('The Statements'!D36+'The Statements'!D39)</f>
        <v>0.21860435823151531</v>
      </c>
      <c r="E10" s="134">
        <f>'The Statements'!E36/('The Statements'!E36+'The Statements'!E39)</f>
        <v>0.261144578313253</v>
      </c>
      <c r="F10" s="134">
        <f>'The Statements'!F36/('The Statements'!F36+'The Statements'!F39)</f>
        <v>0.27703134996801021</v>
      </c>
      <c r="G10" s="134">
        <f>'The Statements'!G36/('The Statements'!G36+'The Statements'!G39)</f>
        <v>0.53868621499341385</v>
      </c>
      <c r="H10" s="134">
        <f>'The Statements'!H36/('The Statements'!H36+'The Statements'!H39)</f>
        <v>0.42439134355275021</v>
      </c>
      <c r="I10" s="134">
        <f>'The Statements'!I36/('The Statements'!I36+'The Statements'!I39)</f>
        <v>0.36857981075162183</v>
      </c>
      <c r="J10" s="134"/>
      <c r="K10" t="s">
        <v>255</v>
      </c>
    </row>
    <row r="11" spans="1:21">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c r="J11" s="134"/>
    </row>
    <row r="14" spans="1:21" s="156" customFormat="1">
      <c r="M14" s="156"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41">
        <f>'The Statements'!J54</f>
        <v>4694.5205999999998</v>
      </c>
      <c r="L15" s="3">
        <f>'The Statements'!K54</f>
        <v>6539.2295941999973</v>
      </c>
      <c r="M15" s="149">
        <f>'The Statements'!L54</f>
        <v>6512.4669611694044</v>
      </c>
      <c r="N15" s="149">
        <f>'The Statements'!M54</f>
        <v>6360.5114078390579</v>
      </c>
      <c r="O15" s="149">
        <f>'The Statements'!N54</f>
        <v>5997.5554874672707</v>
      </c>
      <c r="P15" s="145">
        <f>O15*(1+P16)</f>
        <v>6417.3843715899802</v>
      </c>
      <c r="Q15" s="145">
        <f t="shared" ref="Q15:T15" si="1">P15*(1+Q16)</f>
        <v>6866.6012776012794</v>
      </c>
      <c r="R15" s="145">
        <f t="shared" si="1"/>
        <v>7347.2633670333698</v>
      </c>
      <c r="S15" s="145">
        <f t="shared" si="1"/>
        <v>7861.5718027257062</v>
      </c>
      <c r="T15" s="145">
        <f t="shared" si="1"/>
        <v>8411.8818289165065</v>
      </c>
      <c r="U15" s="145">
        <f>(T15*(1+U16))/(I17-U16)</f>
        <v>158783.2310324999</v>
      </c>
    </row>
    <row r="16" spans="1:21" s="128" customFormat="1" ht="12">
      <c r="A16" s="130" t="s">
        <v>129</v>
      </c>
      <c r="B16" s="129" t="str">
        <f>IFERROR(B15/A15-1,"nm")</f>
        <v>nm</v>
      </c>
      <c r="C16" s="129">
        <f t="shared" ref="C16:I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c r="K16" s="129">
        <f>IFERROR(K15/I15-1,"nm")</f>
        <v>0.19150269035532985</v>
      </c>
      <c r="L16" s="129">
        <f>IFERROR(L15/K15-1,"nm")</f>
        <v>0.39294938746248076</v>
      </c>
      <c r="M16" s="150">
        <f t="shared" ref="M16" si="3">IFERROR(M15/L15-1,"nm")</f>
        <v>-4.0926278310109421E-3</v>
      </c>
      <c r="N16" s="150">
        <f t="shared" ref="N16" si="4">IFERROR(N15/M15-1,"nm")</f>
        <v>-2.333302483319788E-2</v>
      </c>
      <c r="O16" s="150">
        <f t="shared" ref="O16" si="5">IFERROR(O15/N15-1,"nm")</f>
        <v>-5.7063952424400877E-2</v>
      </c>
      <c r="P16" s="150">
        <v>7.0000000000000007E-2</v>
      </c>
      <c r="Q16" s="150">
        <v>7.0000000000000007E-2</v>
      </c>
      <c r="R16" s="150">
        <v>7.0000000000000007E-2</v>
      </c>
      <c r="S16" s="150">
        <v>7.0000000000000007E-2</v>
      </c>
      <c r="T16" s="150">
        <v>7.0000000000000007E-2</v>
      </c>
      <c r="U16" s="150">
        <v>0.03</v>
      </c>
    </row>
    <row r="17" spans="1:21">
      <c r="A17" t="s">
        <v>238</v>
      </c>
      <c r="B17" s="136">
        <f>(B19*(1-B23))+(B22*B23)</f>
        <v>-2.6782489482083277E-3</v>
      </c>
      <c r="C17" s="136">
        <f t="shared" ref="C17:I17" si="6">(C19*(1-C23))+(C22*C23)</f>
        <v>5.454256433978133E-2</v>
      </c>
      <c r="D17" s="136">
        <f t="shared" si="6"/>
        <v>8.1586823781332668E-2</v>
      </c>
      <c r="E17" s="136">
        <f t="shared" si="6"/>
        <v>-2.0933215662650596E-2</v>
      </c>
      <c r="F17" s="136">
        <f t="shared" si="6"/>
        <v>0.15082910108765193</v>
      </c>
      <c r="G17" s="136">
        <f t="shared" si="6"/>
        <v>6.7562219804134918E-2</v>
      </c>
      <c r="H17" s="136">
        <f t="shared" si="6"/>
        <v>0.13899891393146976</v>
      </c>
      <c r="I17" s="148">
        <f t="shared" si="6"/>
        <v>8.4566456592702774E-2</v>
      </c>
      <c r="J17" s="148"/>
      <c r="K17" s="146"/>
      <c r="L17" s="88"/>
      <c r="M17" s="92"/>
      <c r="N17" s="92"/>
      <c r="O17" s="92"/>
      <c r="P17" s="92"/>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55" customFormat="1">
      <c r="A19" s="153" t="s">
        <v>240</v>
      </c>
      <c r="B19" s="154">
        <f>B20+B18*(B21-B20)</f>
        <v>-4.62E-3</v>
      </c>
      <c r="C19" s="154">
        <f t="shared" ref="C19:I19" si="7">C20+C18*(C21-C20)</f>
        <v>6.2226000000000004E-2</v>
      </c>
      <c r="D19" s="154">
        <f t="shared" si="7"/>
        <v>0.10028400000000001</v>
      </c>
      <c r="E19" s="154">
        <f t="shared" si="7"/>
        <v>-3.0791999999999993E-2</v>
      </c>
      <c r="F19" s="154">
        <f t="shared" si="7"/>
        <v>0.20407699999999995</v>
      </c>
      <c r="G19" s="154">
        <f t="shared" si="7"/>
        <v>0.13674399999999998</v>
      </c>
      <c r="H19" s="154">
        <f t="shared" si="7"/>
        <v>0.22383299999999995</v>
      </c>
      <c r="I19" s="154">
        <f t="shared" si="7"/>
        <v>0.121736</v>
      </c>
      <c r="J19" s="154" t="s">
        <v>258</v>
      </c>
      <c r="K19" s="157">
        <f>K15/(1+I17)</f>
        <v>4328.4766659190318</v>
      </c>
      <c r="L19" s="157">
        <f t="shared" ref="L19:T19" si="8">L15/(1+J17)</f>
        <v>6539.2295941999973</v>
      </c>
      <c r="M19" s="157">
        <f t="shared" si="8"/>
        <v>6512.4669611694044</v>
      </c>
      <c r="N19" s="157">
        <f t="shared" si="8"/>
        <v>6360.5114078390579</v>
      </c>
      <c r="O19" s="157">
        <f t="shared" si="8"/>
        <v>5997.5554874672707</v>
      </c>
      <c r="P19" s="157">
        <f t="shared" si="8"/>
        <v>6417.3843715899802</v>
      </c>
      <c r="Q19" s="157">
        <f t="shared" si="8"/>
        <v>6866.6012776012794</v>
      </c>
      <c r="R19" s="157">
        <f t="shared" si="8"/>
        <v>7347.2633670333698</v>
      </c>
      <c r="S19" s="157">
        <f t="shared" si="8"/>
        <v>7861.5718027257062</v>
      </c>
      <c r="T19" s="157">
        <f t="shared" si="8"/>
        <v>8411.8818289165065</v>
      </c>
      <c r="U19" s="157">
        <f>U15/(1+S17)</f>
        <v>158783.2310324999</v>
      </c>
    </row>
    <row r="20" spans="1:21">
      <c r="A20" s="2" t="s">
        <v>241</v>
      </c>
      <c r="B20" s="147">
        <v>6.1000000000000004E-3</v>
      </c>
      <c r="C20" s="147">
        <v>8.0999999999999996E-3</v>
      </c>
      <c r="D20" s="147">
        <v>1.7000000000000001E-2</v>
      </c>
      <c r="E20" s="147">
        <v>2.5399999999999999E-2</v>
      </c>
      <c r="F20" s="147">
        <v>1.55E-2</v>
      </c>
      <c r="G20" s="147">
        <v>1E-3</v>
      </c>
      <c r="H20" s="147">
        <v>3.8E-3</v>
      </c>
      <c r="I20" s="134">
        <v>4.5100000000000001E-2</v>
      </c>
      <c r="J20" s="134"/>
      <c r="K20" s="142"/>
      <c r="L20" s="134"/>
      <c r="M20" s="134"/>
      <c r="N20" s="134"/>
      <c r="O20" s="134"/>
      <c r="P20" s="134"/>
      <c r="Q20" s="134"/>
      <c r="R20" s="134"/>
      <c r="S20" s="134"/>
      <c r="T20" s="134"/>
      <c r="U20" s="134"/>
    </row>
    <row r="21" spans="1:21">
      <c r="A21" s="2" t="s">
        <v>242</v>
      </c>
      <c r="B21" s="147">
        <v>-7.3000000000000001E-3</v>
      </c>
      <c r="C21" s="147">
        <v>9.5399999999999999E-2</v>
      </c>
      <c r="D21" s="147">
        <v>0.19420000000000001</v>
      </c>
      <c r="E21" s="147">
        <v>-6.2399999999999997E-2</v>
      </c>
      <c r="F21" s="147">
        <v>0.2888</v>
      </c>
      <c r="G21" s="147">
        <v>0.16259999999999999</v>
      </c>
      <c r="H21" s="147">
        <v>0.26889999999999997</v>
      </c>
      <c r="I21" s="147">
        <v>0.12839999999999999</v>
      </c>
      <c r="J21" s="147"/>
      <c r="K21" s="142"/>
      <c r="L21" s="134"/>
      <c r="M21" s="134"/>
      <c r="N21" s="134"/>
      <c r="O21" s="134"/>
      <c r="P21" s="134"/>
      <c r="Q21" s="134"/>
      <c r="R21" s="134"/>
      <c r="S21" s="134"/>
      <c r="T21" s="134"/>
      <c r="U21" s="134"/>
    </row>
    <row r="22" spans="1:21">
      <c r="A22" s="2" t="s">
        <v>243</v>
      </c>
      <c r="B22" s="134">
        <f>('The Statements'!B10*(1-'The Statements'!B13))/'The Statements'!B36</f>
        <v>2.0189063948100092E-2</v>
      </c>
      <c r="C22" s="134">
        <f>('The Statements'!C10*(1-'The Statements'!C13))/'The Statements'!C36</f>
        <v>7.6850746268656714E-3</v>
      </c>
      <c r="D22" s="134">
        <f>('The Statements'!D10*(1-'The Statements'!D13))/'The Statements'!D36</f>
        <v>1.4754249495822528E-2</v>
      </c>
      <c r="E22" s="134">
        <f>('The Statements'!E10*(1-'The Statements'!E13))/'The Statements'!E36</f>
        <v>6.9602076124567471E-3</v>
      </c>
      <c r="F22" s="134">
        <f>('The Statements'!F10*(1-'The Statements'!F13))/'The Statements'!F36</f>
        <v>1.1868071593533487E-2</v>
      </c>
      <c r="G22" s="134">
        <f>('The Statements'!G10*(1-'The Statements'!G13))/'The Statements'!G36</f>
        <v>8.3171379970231763E-3</v>
      </c>
      <c r="H22" s="134">
        <f>('The Statements'!H10*(1-'The Statements'!H13))/'The Statements'!H36</f>
        <v>2.3937108254541591E-2</v>
      </c>
      <c r="I22" s="134">
        <f>('The Statements'!I10*(1-'The Statements'!I13))/'The Statements'!I36</f>
        <v>2.0890695067264573E-2</v>
      </c>
      <c r="J22" s="134"/>
      <c r="K22" s="142"/>
      <c r="L22" s="134"/>
      <c r="M22" s="134"/>
      <c r="N22" s="134"/>
      <c r="O22" s="134"/>
      <c r="P22" s="134"/>
      <c r="Q22" s="134"/>
      <c r="R22" s="134"/>
      <c r="S22" s="134"/>
      <c r="T22" s="134"/>
      <c r="U22" s="134"/>
    </row>
    <row r="23" spans="1:21">
      <c r="A23" s="2" t="s">
        <v>244</v>
      </c>
      <c r="B23" s="134">
        <f>B10</f>
        <v>7.826780792107936E-2</v>
      </c>
      <c r="C23" s="134">
        <f t="shared" ref="C23:I23" si="9">C10</f>
        <v>0.14087468460891506</v>
      </c>
      <c r="D23" s="134">
        <f t="shared" si="9"/>
        <v>0.21860435823151531</v>
      </c>
      <c r="E23" s="134">
        <f t="shared" si="9"/>
        <v>0.261144578313253</v>
      </c>
      <c r="F23" s="134">
        <f t="shared" si="9"/>
        <v>0.27703134996801021</v>
      </c>
      <c r="G23" s="134">
        <f t="shared" si="9"/>
        <v>0.53868621499341385</v>
      </c>
      <c r="H23" s="134">
        <f t="shared" si="9"/>
        <v>0.42439134355275021</v>
      </c>
      <c r="I23" s="134">
        <f t="shared" si="9"/>
        <v>0.36857981075162183</v>
      </c>
      <c r="J23" s="134"/>
      <c r="K23" s="142"/>
      <c r="L23" s="134"/>
      <c r="M23" s="134"/>
      <c r="N23" s="134"/>
      <c r="O23" s="134"/>
      <c r="P23" s="134"/>
      <c r="Q23" s="134"/>
      <c r="R23" s="134"/>
      <c r="S23" s="134"/>
      <c r="T23" s="134"/>
      <c r="U23" s="134"/>
    </row>
    <row r="24" spans="1:21">
      <c r="A24" t="s">
        <v>245</v>
      </c>
      <c r="K24" s="141"/>
      <c r="L24" s="3"/>
      <c r="M24" s="3"/>
      <c r="N24" s="3"/>
      <c r="O24" s="3"/>
    </row>
    <row r="25" spans="1:21" ht="15.75" thickBot="1">
      <c r="K25" s="141"/>
      <c r="L25" s="3"/>
      <c r="M25" s="3"/>
      <c r="N25" s="3"/>
      <c r="O25" s="3"/>
    </row>
    <row r="26" spans="1:21">
      <c r="A26" s="137" t="s">
        <v>246</v>
      </c>
      <c r="B26" s="143">
        <f>'The Statements'!B54</f>
        <v>5166</v>
      </c>
      <c r="C26" t="s">
        <v>257</v>
      </c>
      <c r="K26" s="141"/>
      <c r="L26" s="3"/>
      <c r="M26" s="3"/>
      <c r="N26" s="3"/>
      <c r="O26" s="3"/>
    </row>
    <row r="27" spans="1:21">
      <c r="A27" s="138" t="s">
        <v>247</v>
      </c>
      <c r="B27" s="144">
        <f>(B26*(1+C16))/(B20-C16)</f>
        <v>2599.7996363050129</v>
      </c>
      <c r="C27" s="100"/>
      <c r="D27" s="100"/>
      <c r="E27" s="100"/>
      <c r="F27" s="100"/>
      <c r="G27" s="100"/>
      <c r="H27" s="100"/>
      <c r="I27" s="100"/>
      <c r="J27" s="100"/>
      <c r="K27" s="141"/>
      <c r="L27" s="3"/>
      <c r="M27" s="3"/>
      <c r="N27" s="3"/>
      <c r="O27" s="3"/>
    </row>
    <row r="28" spans="1:21">
      <c r="A28" s="138" t="s">
        <v>248</v>
      </c>
      <c r="B28" s="144">
        <f>B26+B27</f>
        <v>7765.7996363050133</v>
      </c>
      <c r="C28" s="100"/>
      <c r="D28" s="100"/>
      <c r="E28" s="100"/>
      <c r="F28" s="100"/>
      <c r="G28" s="100"/>
      <c r="H28" s="100"/>
      <c r="I28" s="100"/>
      <c r="J28" s="100"/>
    </row>
    <row r="29" spans="1:21">
      <c r="A29" s="138" t="s">
        <v>249</v>
      </c>
      <c r="B29" s="144">
        <f>'The Statements'!B36-'The Statements'!B6</f>
        <v>473</v>
      </c>
    </row>
    <row r="30" spans="1:21">
      <c r="A30" s="138" t="s">
        <v>250</v>
      </c>
      <c r="B30" s="144">
        <f>'The Statements'!B31-('The Statements'!B43-'The Statements'!B39)</f>
        <v>12707</v>
      </c>
    </row>
    <row r="31" spans="1:21" ht="15.75" thickBot="1">
      <c r="A31" s="139" t="s">
        <v>251</v>
      </c>
      <c r="B31" s="140">
        <f>B30/1769</f>
        <v>7.1831543244771057</v>
      </c>
      <c r="C31" s="136"/>
      <c r="D31" s="136"/>
      <c r="E31" s="136"/>
      <c r="F31" s="136"/>
      <c r="G31" s="136"/>
      <c r="H31" s="136"/>
      <c r="I31" s="136"/>
      <c r="J31"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2023-11-27T17:28:12Z</dcterms:modified>
</cp:coreProperties>
</file>