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0" windowHeight="0" activeTab="4"/>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0" l="1"/>
  <c r="L19" i="10"/>
  <c r="M19" i="10"/>
  <c r="N19" i="10"/>
  <c r="O19" i="10"/>
  <c r="P19" i="10"/>
  <c r="Q19" i="10"/>
  <c r="R19" i="10"/>
  <c r="S19" i="10"/>
  <c r="T19" i="10"/>
  <c r="K19" i="10"/>
  <c r="C19" i="10" l="1"/>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K1" i="10" s="1"/>
  <c r="L1" i="10" s="1"/>
  <c r="M1" i="10" s="1"/>
  <c r="N1" i="10" s="1"/>
  <c r="O1" i="10" s="1"/>
  <c r="P1" i="10" s="1"/>
  <c r="Q1" i="10" s="1"/>
  <c r="R1" i="10" s="1"/>
  <c r="S1" i="10" s="1"/>
  <c r="T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B22" i="10" l="1"/>
  <c r="B18" i="6"/>
  <c r="F32" i="6"/>
  <c r="F4" i="10" s="1"/>
  <c r="I22" i="10"/>
  <c r="J15" i="6"/>
  <c r="K15" i="6" s="1"/>
  <c r="L15" i="6" s="1"/>
  <c r="M15" i="6" s="1"/>
  <c r="N15" i="6" s="1"/>
  <c r="H22" i="10"/>
  <c r="G22" i="10"/>
  <c r="F22" i="10"/>
  <c r="E22" i="10"/>
  <c r="J16" i="6"/>
  <c r="K16" i="6" s="1"/>
  <c r="L16" i="6" s="1"/>
  <c r="M16" i="6" s="1"/>
  <c r="N16" i="6" s="1"/>
  <c r="I5" i="10"/>
  <c r="D22" i="10"/>
  <c r="C22" i="10"/>
  <c r="J36" i="6"/>
  <c r="K36" i="6" s="1"/>
  <c r="L36" i="6" s="1"/>
  <c r="M36" i="6" s="1"/>
  <c r="N36" i="6" s="1"/>
  <c r="H65" i="6"/>
  <c r="H17" i="6"/>
  <c r="H19" i="6" s="1"/>
  <c r="I65" i="6"/>
  <c r="I17" i="6"/>
  <c r="I19" i="6" s="1"/>
  <c r="G65" i="6"/>
  <c r="G17" i="6"/>
  <c r="G19" i="6" s="1"/>
  <c r="F65" i="6"/>
  <c r="F17" i="6"/>
  <c r="F19" i="6" s="1"/>
  <c r="D65" i="6"/>
  <c r="D17" i="6"/>
  <c r="D19" i="6" s="1"/>
  <c r="C65" i="6"/>
  <c r="C17" i="6"/>
  <c r="C19" i="6" s="1"/>
  <c r="B65" i="6"/>
  <c r="B17" i="6"/>
  <c r="E65" i="6"/>
  <c r="E17" i="6"/>
  <c r="E19" i="6"/>
  <c r="B19" i="6"/>
  <c r="E32" i="6"/>
  <c r="E4" i="10" s="1"/>
  <c r="B32" i="6"/>
  <c r="B4" i="10" s="1"/>
  <c r="G32" i="6"/>
  <c r="G4" i="10" s="1"/>
  <c r="H32" i="6"/>
  <c r="H4" i="10" s="1"/>
  <c r="G51" i="6"/>
  <c r="E51" i="6"/>
  <c r="D51" i="6"/>
  <c r="C51" i="6"/>
  <c r="H51" i="6"/>
  <c r="F51"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D4" i="10" s="1"/>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N19" i="6" l="1"/>
  <c r="L19" i="6"/>
  <c r="L17" i="6" s="1"/>
  <c r="L62" i="6" s="1"/>
  <c r="K19" i="6"/>
  <c r="K17" i="6" s="1"/>
  <c r="K62" i="6" s="1"/>
  <c r="D10" i="10"/>
  <c r="D23" i="10" s="1"/>
  <c r="D17" i="10" s="1"/>
  <c r="D9" i="10"/>
  <c r="J18" i="6"/>
  <c r="F9" i="10"/>
  <c r="F10" i="10"/>
  <c r="F23" i="10" s="1"/>
  <c r="C9" i="10"/>
  <c r="C10" i="10"/>
  <c r="C23" i="10" s="1"/>
  <c r="C17" i="10" s="1"/>
  <c r="G9" i="10"/>
  <c r="F17" i="10"/>
  <c r="G10" i="10"/>
  <c r="G23" i="10" s="1"/>
  <c r="G17" i="10" s="1"/>
  <c r="B9" i="10"/>
  <c r="E9" i="10"/>
  <c r="H9"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B30" i="10" s="1"/>
  <c r="B31" i="10" s="1"/>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E184" i="3" l="1"/>
  <c r="H201" i="3"/>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K66" i="3" s="1"/>
  <c r="L66" i="3" s="1"/>
  <c r="M66" i="3" s="1"/>
  <c r="N66" i="3" s="1"/>
  <c r="E161" i="3"/>
  <c r="K116" i="3"/>
  <c r="K114" i="3" s="1"/>
  <c r="J97" i="3"/>
  <c r="J128" i="3"/>
  <c r="K128" i="3" s="1"/>
  <c r="L128" i="3" s="1"/>
  <c r="M128" i="3" s="1"/>
  <c r="N128" i="3" s="1"/>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E114" i="1"/>
  <c r="D114" i="1"/>
  <c r="C114" i="1"/>
  <c r="B114" i="1"/>
  <c r="B86" i="1"/>
  <c r="C86" i="1"/>
  <c r="D86" i="1"/>
  <c r="E86" i="1"/>
  <c r="F86" i="1"/>
  <c r="G86" i="1"/>
  <c r="H86" i="1"/>
  <c r="I86" i="1"/>
  <c r="I7" i="1"/>
  <c r="H7" i="1"/>
  <c r="G7" i="1"/>
  <c r="F7" i="1"/>
  <c r="E7" i="1"/>
  <c r="D7" i="1"/>
  <c r="C7" i="1"/>
  <c r="B7" i="1"/>
  <c r="I4" i="1"/>
  <c r="H4" i="1"/>
  <c r="G4" i="1"/>
  <c r="F4" i="1"/>
  <c r="E4" i="1"/>
  <c r="D4" i="1"/>
  <c r="C4" i="1"/>
  <c r="B4" i="1"/>
  <c r="F147" i="1" l="1"/>
  <c r="C52" i="3"/>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7" i="6" s="1"/>
  <c r="D47" i="6"/>
  <c r="N81" i="3"/>
  <c r="N79" i="3" s="1"/>
  <c r="M79" i="3"/>
  <c r="M80" i="3" s="1"/>
  <c r="N78" i="3"/>
  <c r="N76" i="3" s="1"/>
  <c r="M76" i="3"/>
  <c r="M77" i="3" s="1"/>
  <c r="H199" i="1"/>
  <c r="H200" i="1" s="1"/>
  <c r="H194" i="3"/>
  <c r="I195" i="3" s="1"/>
  <c r="I196" i="3"/>
  <c r="J196" i="3" s="1"/>
  <c r="K196" i="3" s="1"/>
  <c r="L196" i="3" s="1"/>
  <c r="M196" i="3" s="1"/>
  <c r="N196" i="3" s="1"/>
  <c r="H7" i="6"/>
  <c r="B14" i="3"/>
  <c r="F195" i="3"/>
  <c r="F196" i="3"/>
  <c r="I5" i="3"/>
  <c r="I5" i="6" s="1"/>
  <c r="I7" i="10" s="1"/>
  <c r="J35" i="3"/>
  <c r="B6" i="6"/>
  <c r="B29" i="10" s="1"/>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E7" i="6"/>
  <c r="E8" i="6" s="1"/>
  <c r="G7" i="6"/>
  <c r="N139" i="3"/>
  <c r="I6" i="3"/>
  <c r="I11" i="3"/>
  <c r="I192" i="3" s="1"/>
  <c r="I7" i="6"/>
  <c r="I8" i="6" s="1"/>
  <c r="G8" i="6"/>
  <c r="F9" i="6"/>
  <c r="F192" i="3"/>
  <c r="F46" i="6"/>
  <c r="F49" i="6" s="1"/>
  <c r="F54" i="6" s="1"/>
  <c r="B7" i="6"/>
  <c r="H10" i="3"/>
  <c r="H3" i="6"/>
  <c r="D53" i="6"/>
  <c r="D59" i="6" s="1"/>
  <c r="D15" i="3"/>
  <c r="K35" i="3"/>
  <c r="L35" i="3" s="1"/>
  <c r="M35" i="3" s="1"/>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8" i="6" l="1"/>
  <c r="F15" i="10"/>
  <c r="F8" i="10"/>
  <c r="I12" i="3"/>
  <c r="N35" i="3"/>
  <c r="N36" i="3" s="1"/>
  <c r="M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I15" i="10" l="1"/>
  <c r="I8" i="10"/>
  <c r="E15" i="10"/>
  <c r="F16" i="10" s="1"/>
  <c r="E8" i="10"/>
  <c r="D15" i="10"/>
  <c r="D8" i="10"/>
  <c r="G15" i="10"/>
  <c r="G16" i="10" s="1"/>
  <c r="G8" i="10"/>
  <c r="B15" i="10"/>
  <c r="B16" i="10" s="1"/>
  <c r="B26" i="10"/>
  <c r="B8" i="10"/>
  <c r="C15" i="10"/>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C16" i="10" l="1"/>
  <c r="D16" i="10"/>
  <c r="H15" i="10"/>
  <c r="H16" i="10" s="1"/>
  <c r="H8" i="10"/>
  <c r="B27" i="10"/>
  <c r="B28" i="10" s="1"/>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M15" i="10" s="1"/>
  <c r="L13" i="3"/>
  <c r="M11" i="3"/>
  <c r="M12" i="3" s="1"/>
  <c r="M6" i="6"/>
  <c r="M47" i="6"/>
  <c r="K49" i="6"/>
  <c r="M46" i="6"/>
  <c r="N192" i="3"/>
  <c r="N6" i="3"/>
  <c r="N7" i="3"/>
  <c r="N15" i="3"/>
  <c r="N16" i="3"/>
  <c r="N8" i="3"/>
  <c r="N198" i="3"/>
  <c r="M10" i="3"/>
  <c r="M9" i="3"/>
  <c r="M7" i="6" l="1"/>
  <c r="K54" i="6"/>
  <c r="L15" i="10" s="1"/>
  <c r="K56" i="6"/>
  <c r="L56" i="6"/>
  <c r="N11" i="3"/>
  <c r="N12" i="3" s="1"/>
  <c r="N6" i="6"/>
  <c r="N47" i="6"/>
  <c r="M13" i="3"/>
  <c r="N46" i="6"/>
  <c r="N7" i="6"/>
  <c r="M49" i="6"/>
  <c r="M54" i="6" s="1"/>
  <c r="N15" i="10" s="1"/>
  <c r="N9" i="3"/>
  <c r="N10" i="3"/>
  <c r="N13" i="3" l="1"/>
  <c r="M56" i="6"/>
  <c r="N49" i="6"/>
  <c r="N54" i="6" s="1"/>
  <c r="O15" i="10" s="1"/>
  <c r="P15" i="10" s="1"/>
  <c r="Q15" i="10" s="1"/>
  <c r="R15" i="10" s="1"/>
  <c r="S15" i="10" s="1"/>
  <c r="T15" i="10" s="1"/>
  <c r="U15" i="10" s="1"/>
  <c r="J39" i="3"/>
  <c r="K39" i="3"/>
  <c r="J40" i="3"/>
  <c r="J8" i="3"/>
  <c r="M16" i="10" l="1"/>
  <c r="N56" i="6"/>
  <c r="K9" i="3"/>
  <c r="J6" i="6"/>
  <c r="J47" i="6"/>
  <c r="J11" i="3"/>
  <c r="J9" i="3"/>
  <c r="J10" i="3"/>
  <c r="N16" i="10" l="1"/>
  <c r="J26" i="6"/>
  <c r="K26" i="6" s="1"/>
  <c r="L26" i="6" s="1"/>
  <c r="M26" i="6" s="1"/>
  <c r="N26" i="6" s="1"/>
  <c r="J46" i="6"/>
  <c r="J7" i="6"/>
  <c r="J12" i="3"/>
  <c r="K12" i="3"/>
  <c r="J13" i="3"/>
  <c r="O16" i="10" l="1"/>
  <c r="J49" i="6"/>
  <c r="J54" i="6" l="1"/>
  <c r="K15" i="10" s="1"/>
  <c r="J56" i="6"/>
  <c r="K16" i="10" l="1"/>
  <c r="L16" i="10"/>
  <c r="K65" i="6"/>
  <c r="L65" i="6" l="1"/>
  <c r="N65" i="6"/>
  <c r="M65" i="6"/>
  <c r="J50" i="6" l="1"/>
  <c r="J10" i="6" l="1"/>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<sst xmlns="http://schemas.openxmlformats.org/spreadsheetml/2006/main" count="583" uniqueCount="260">
  <si>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</si>
  <si>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</si>
  <si>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</si>
  <si>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</si>
  <si>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</si>
  <si>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</si>
  <si>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</si>
  <si>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</si>
  <si>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</si>
  <si>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</si>
  <si>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</si>
  <si>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</si>
  <si>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</si>
  <si>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</si>
  <si>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</si>
  <si>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</si>
  <si>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</si>
  <si>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</si>
  <si>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</si>
  <si>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</si>
  <si>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</si>
  <si>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</si>
  <si>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</si>
  <si>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</si>
  <si>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</si>
  <si>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</si>
  <si>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</si>
  <si>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</si>
  <si>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</si>
  <si>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</si>
  <si>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</si>
  <si>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</si>
  <si>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</si>
  <si>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</si>
  <si>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</si>
  <si>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</si>
  <si>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</si>
  <si>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</si>
  <si>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</si>
  <si>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</si>
  <si>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</si>
  <si>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</si>
  <si>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</si>
  <si>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</si>
  <si>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</si>
  <si>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</si>
  <si>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</si>
  <si>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</si>
  <si>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</si>
  <si>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</si>
  <si>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</si>
  <si>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</si>
  <si>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</si>
  <si>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</si>
  <si>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</si>
  <si>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</si>
  <si>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</si>
  <si>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</si>
  <si>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</si>
  <si>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</si>
  <si>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</si>
  <si>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</si>
  <si>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</si>
  <si>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</si>
  <si>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</si>
  <si>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</si>
  <si>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</si>
  <si>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</si>
  <si>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</si>
  <si>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</si>
  <si>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</si>
  <si>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</si>
  <si>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</si>
  <si>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</si>
  <si>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</si>
  <si>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</si>
  <si>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</si>
  <si>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</si>
  <si>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</si>
  <si>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</si>
  <si>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</si>
  <si>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</si>
  <si>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</si>
  <si>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</si>
  <si>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</si>
  <si>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</si>
  <si>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</si>
  <si>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</si>
  <si>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</si>
  <si>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</si>
  <si>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</si>
  <si>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</si>
  <si>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</si>
  <si>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</si>
  <si>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</si>
  <si>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</si>
  <si>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</si>
  <si>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</si>
  <si>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</si>
  <si>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</si>
  <si>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</si>
  <si>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</si>
  <si>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</si>
  <si>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</si>
  <si>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</si>
  <si>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</si>
  <si>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</si>
  <si>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</si>
  <si>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</si>
  <si>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</si>
  <si>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</si>
  <si>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</si>
  <si>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</si>
  <si>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</si>
  <si>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</si>
  <si>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</si>
  <si>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</si>
  <si>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</si>
  <si>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</si>
  <si>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</si>
  <si>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</si>
  <si>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</si>
  <si>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</si>
  <si>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</si>
  <si>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</si>
  <si>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</si>
  <si>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</si>
  <si>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</si>
  <si>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</si>
  <si>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</si>
  <si>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</si>
  <si>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</si>
  <si>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</si>
  <si>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</si>
  <si>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</si>
  <si>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</si>
  <si>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</si>
  <si>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</si>
  <si>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</si>
  <si>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</si>
  <si>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</si>
  <si>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</si>
  <si>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</si>
  <si>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</si>
  <si>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</si>
  <si>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</si>
  <si>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</si>
  <si>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</si>
  <si>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</si>
  <si>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</si>
  <si>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</si>
  <si>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</si>
  <si>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</si>
  <si>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</si>
  <si>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</si>
  <si>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</si>
  <si>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</si>
  <si>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</si>
  <si>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</si>
  <si>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</si>
  <si>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</si>
  <si>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</si>
  <si>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</si>
  <si>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</si>
  <si>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</si>
  <si>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</si>
  <si>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</si>
  <si>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</si>
  <si>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</si>
  <si>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</si>
  <si>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</si>
  <si>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</si>
  <si>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</si>
  <si>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</si>
  <si>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</si>
  <si>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</si>
  <si>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</si>
  <si>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</si>
  <si>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</si>
  <si>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</si>
  <si>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</si>
  <si>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</si>
  <si>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</si>
  <si>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</si>
  <si>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</si>
  <si>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</si>
  <si>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</si>
  <si>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</si>
  <si>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</si>
  <si>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</si>
  <si>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</si>
  <si>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</si>
  <si>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</si>
  <si>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</si>
  <si>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</si>
  <si>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</si>
  <si>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</si>
  <si>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</si>
  <si>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</si>
  <si>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</si>
  <si>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</si>
  <si>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</si>
  <si>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</si>
  <si>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</si>
  <si>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</si>
  <si>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</si>
  <si>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</si>
  <si>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</si>
  <si>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</si>
  <si>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</si>
  <si>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</si>
  <si>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</si>
  <si>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</si>
  <si>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</si>
  <si>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</si>
  <si>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</si>
  <si>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</si>
  <si>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</si>
  <si>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</si>
  <si>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</si>
  <si>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</si>
  <si>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</si>
  <si>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</si>
  <si>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</si>
  <si>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</si>
  <si>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</si>
  <si>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</si>
  <si>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</si>
  <si>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</si>
  <si>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</si>
  <si>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</si>
  <si>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</si>
  <si>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</si>
  <si>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</si>
  <si>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</si>
  <si>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</si>
  <si>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</si>
  <si>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</si>
  <si>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</si>
  <si>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</si>
  <si>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</si>
  <si>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</si>
  <si>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</si>
  <si>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</si>
  <si>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</si>
  <si>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</si>
  <si>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</si>
  <si>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</si>
  <si>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</si>
  <si>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</si>
  <si>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</si>
  <si>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</si>
  <si>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</si>
  <si>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</si>
  <si>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</si>
  <si>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</si>
  <si>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Link this to the Three Statements sheet</t>
  </si>
  <si>
    <t>Add up all the PVs calculated from 2023 to terminal year in cell B26</t>
  </si>
  <si>
    <t>Now calculate PV for each of the FCFF numbers from 2023 - Terminal year using the WACC calculated in year 2022</t>
  </si>
  <si>
    <t>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</si>
</sst>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6" fillId="11" borderId="0" xfId="0" applyFont="1" applyFill="1" applyAlignment="1">
      <alignment horizontal="right"/>
    </xf>
    <xf numFmtId="0" fontId="19" fillId="0" borderId="0" xfId="0" applyFont="1"/>
    <xf numFmtId="10" fontId="19" fillId="0" borderId="0" xfId="1" applyNumberFormat="1" applyFont="1" applyBorder="1" applyAlignment="1">
      <alignment horizontal="right"/>
    </xf>
    <xf numFmtId="10" fontId="13" fillId="0" borderId="0" xfId="2" applyNumberFormat="1" applyFont="1" applyBorder="1" applyAlignment="1">
      <alignment horizontal="left"/>
    </xf>
    <xf numFmtId="0" fontId="6" fillId="11" borderId="0" xfId="0" applyFont="1" applyFill="1" applyAlignment="1">
      <alignment horizontal="right" wrapText="1"/>
    </xf>
    <xf numFmtId="0" fontId="0" fillId="12" borderId="0" xfId="0" applyFill="1"/>
    <xf numFmtId="43" fontId="0" fillId="0" borderId="0" xfId="0" applyNumberFormat="1"/>
    <xf numFmtId="166"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5" xfId="0" applyBorder="1"/>
    <xf numFmtId="0" fontId="0" fillId="0" borderId="6" xfId="0" applyBorder="1"/>
    <xf numFmtId="0" fontId="0" fillId="0" borderId="7" xfId="0" applyBorder="1"/>
    <xf numFmtId="2" fontId="0" fillId="0" borderId="10" xfId="0" applyNumberFormat="1" applyBorder="1"/>
    <xf numFmtId="165" fontId="0" fillId="0" borderId="0" xfId="1" applyNumberFormat="1" applyFont="1" applyBorder="1"/>
    <xf numFmtId="166" fontId="0" fillId="0" borderId="0" xfId="2" applyNumberFormat="1" applyFont="1" applyFill="1" applyBorder="1"/>
    <xf numFmtId="165" fontId="0" fillId="0" borderId="8" xfId="1" applyNumberFormat="1" applyFont="1" applyBorder="1"/>
    <xf numFmtId="165" fontId="0" fillId="0" borderId="9" xfId="1" applyNumberFormat="1" applyFont="1" applyBorder="1"/>
    <xf numFmtId="165" fontId="0" fillId="13" borderId="0" xfId="1" applyNumberFormat="1" applyFont="1" applyFill="1"/>
    <xf numFmtId="165" fontId="0" fillId="0" borderId="0" xfId="1" applyNumberFormat="1" applyFont="1" applyFill="1" applyBorder="1"/>
    <xf numFmtId="10" fontId="0" fillId="0" borderId="0" xfId="2" applyNumberFormat="1" applyFont="1" applyFill="1"/>
    <xf numFmtId="9" fontId="0" fillId="0" borderId="0" xfId="2" applyFont="1"/>
    <xf numFmtId="165" fontId="0" fillId="14" borderId="0" xfId="1" applyNumberFormat="1" applyFont="1" applyFill="1"/>
    <xf numFmtId="10" fontId="19" fillId="14" borderId="0" xfId="1" applyNumberFormat="1" applyFont="1" applyFill="1" applyBorder="1" applyAlignment="1">
      <alignment horizontal="right"/>
    </xf>
    <xf numFmtId="165" fontId="2" fillId="10" borderId="0" xfId="1" applyNumberFormat="1" applyFont="1" applyFill="1"/>
    <xf numFmtId="0" fontId="0" fillId="10" borderId="0" xfId="0" applyFill="1"/>
    <xf numFmtId="0" fontId="0" fillId="14" borderId="0" xfId="0" applyFill="1" applyAlignment="1">
      <alignment horizontal="left" indent="1"/>
    </xf>
    <xf numFmtId="166" fontId="0" fillId="14" borderId="0" xfId="2" applyNumberFormat="1" applyFont="1" applyFill="1"/>
    <xf numFmtId="0" fontId="0" fillId="14" borderId="0" xfId="0" applyFill="1"/>
    <xf numFmtId="0" fontId="0" fillId="0" borderId="0" xfId="0" applyFill="1"/>
    <xf numFmtId="1" fontId="0" fillId="14" borderId="0" xfId="2" applyNumberFormat="1" applyFont="1" applyFill="1" applyBorder="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6" customWidth="1"/>
  </cols>
  <sheetData>
    <row r="1" spans="1:1" ht="23.25">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4"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118" workbookViewId="0">
      <selection activeCell="O130" sqref="O130"/>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10578.622235999997</v>
      </c>
      <c r="L5" s="64">
        <f t="shared" si="10"/>
        <v>10970.890338852003</v>
      </c>
      <c r="M5" s="64">
        <f t="shared" si="10"/>
        <v>11405.700328986568</v>
      </c>
      <c r="N5" s="64">
        <f t="shared" si="10"/>
        <v>11887.5763497148</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0.34289454518311513</v>
      </c>
      <c r="L6" s="43">
        <f t="shared" si="12"/>
        <v>3.7081209074380395E-2</v>
      </c>
      <c r="M6" s="43">
        <f t="shared" si="12"/>
        <v>3.963306319768245E-2</v>
      </c>
      <c r="N6" s="43">
        <f t="shared" si="12"/>
        <v>4.2248700810031625E-2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0.19330680144969298</v>
      </c>
      <c r="L7" s="43">
        <f t="shared" si="14"/>
        <v>0.18232632922757899</v>
      </c>
      <c r="M7" s="43">
        <f t="shared" si="14"/>
        <v>0.17150224174404288</v>
      </c>
      <c r="N7" s="43">
        <f t="shared" si="14"/>
        <v>0.16082406432740101</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9799.4204119999977</v>
      </c>
      <c r="L11" s="64">
        <f t="shared" si="20"/>
        <v>10109.301448284003</v>
      </c>
      <c r="M11" s="64">
        <f t="shared" si="20"/>
        <v>10399.432237758192</v>
      </c>
      <c r="N11" s="64">
        <f t="shared" si="20"/>
        <v>10633.984938784506</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0.3720977243393444</v>
      </c>
      <c r="L12" s="43">
        <f t="shared" si="22"/>
        <v>3.1622384105955526E-2</v>
      </c>
      <c r="M12" s="43">
        <f t="shared" si="22"/>
        <v>2.869939045327774E-2</v>
      </c>
      <c r="N12" s="43">
        <f t="shared" si="22"/>
        <v>2.2554375629729284E-2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0.17906817860062135</v>
      </c>
      <c r="L13" s="43">
        <f t="shared" si="24"/>
        <v>0.16800749685677219</v>
      </c>
      <c r="M13" s="43">
        <f t="shared" si="24"/>
        <v>0.15637145376405573</v>
      </c>
      <c r="N13" s="43">
        <f t="shared" si="24"/>
        <v>0.1438645378620616</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 si="99">J35-(0.06*J35)</f>
        <v>4628.2968000000001</v>
      </c>
      <c r="L35" s="44">
        <f>K35+(0.05*K35)</f>
        <v>4859.7116400000004</v>
      </c>
      <c r="M35" s="44">
        <f t="shared" ref="M35:N35" si="100">L35+(0.05*L35)</f>
        <v>5102.6972220000007</v>
      </c>
      <c r="N35" s="44">
        <f t="shared" si="100"/>
        <v>5357.832083100001</v>
      </c>
    </row>
    <row r="36" spans="1:15">
      <c r="A36" s="42" t="s">
        <v>129</v>
      </c>
      <c r="B36" s="43" t="str">
        <f t="shared" ref="B36" si="101">+IFERROR(B35/A35-1,"nm")</f>
        <v>nm</v>
      </c>
      <c r="C36" s="43">
        <f t="shared" ref="C36" si="102">+IFERROR(C35/B35-1,"nm")</f>
        <v>3.4519383961763239E-2</v>
      </c>
      <c r="D36" s="43">
        <f t="shared" ref="D36" si="103">+IFERROR(D35/C35-1,"nm")</f>
        <v>3.0544147843942548E-2</v>
      </c>
      <c r="E36" s="43">
        <f t="shared" ref="E36" si="104">+IFERROR(E35/D35-1,"nm")</f>
        <v>-6.3511830635118338E-2</v>
      </c>
      <c r="F36" s="43">
        <f t="shared" ref="F36" si="105">+IFERROR(F35/E35-1,"nm")</f>
        <v>8.3510638297872308E-2</v>
      </c>
      <c r="G36" s="43">
        <f t="shared" ref="G36" si="106">+IFERROR(G35/F35-1,"nm")</f>
        <v>-0.25208640157093765</v>
      </c>
      <c r="H36" s="43">
        <f t="shared" ref="H36" si="107">+IFERROR(H35/G35-1,"nm")</f>
        <v>0.71283229405973092</v>
      </c>
      <c r="I36" s="43">
        <f>+IFERROR(I35/H35-1,"nm")</f>
        <v>3.6405441655489312E-3</v>
      </c>
      <c r="J36" s="43">
        <f t="shared" ref="J36:L36" si="108">+IFERROR(J35/I35-1,"nm")</f>
        <v>-5.9999999999999942E-2</v>
      </c>
      <c r="K36" s="43">
        <f t="shared" si="108"/>
        <v>-6.0000000000000053E-2</v>
      </c>
      <c r="L36" s="43">
        <f t="shared" si="108"/>
        <v>5.0000000000000044E-2</v>
      </c>
      <c r="M36" s="43">
        <f t="shared" ref="M36" si="109">+IFERROR(M35/L35-1,"nm")</f>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3">
        <v>0.28000000000000003</v>
      </c>
      <c r="K37" s="103">
        <f t="shared" ref="K37:N37" si="112">+J37</f>
        <v>0.28000000000000003</v>
      </c>
      <c r="L37" s="103">
        <f t="shared" si="112"/>
        <v>0.28000000000000003</v>
      </c>
      <c r="M37" s="103">
        <f t="shared" si="112"/>
        <v>0.28000000000000003</v>
      </c>
      <c r="N37" s="103">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30">K35-K38</f>
        <v>4518.7304000000004</v>
      </c>
      <c r="L42" s="9">
        <f t="shared" si="130"/>
        <v>4756.7192240000004</v>
      </c>
      <c r="M42" s="9">
        <f t="shared" si="130"/>
        <v>5005.884350960001</v>
      </c>
      <c r="N42" s="9">
        <f t="shared" si="130"/>
        <v>5266.8279843224009</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-6.0000000000000053E-2</v>
      </c>
      <c r="K43" s="51">
        <f t="shared" si="138"/>
        <v>-5.9999999999999942E-2</v>
      </c>
      <c r="L43" s="51">
        <f t="shared" si="138"/>
        <v>5.2667188111067631E-2</v>
      </c>
      <c r="M43" s="51">
        <f t="shared" si="138"/>
        <v>5.2381718412732647E-2</v>
      </c>
      <c r="N43" s="51">
        <f t="shared" si="138"/>
        <v>5.2127379513343675E-2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0.24945500022054262</v>
      </c>
      <c r="K44" s="43">
        <f t="shared" si="140"/>
        <v>0.2233216192450572</v>
      </c>
      <c r="L44" s="43">
        <f t="shared" si="140"/>
        <v>0.22388889616676658</v>
      </c>
      <c r="M44" s="43">
        <f t="shared" si="140"/>
        <v>0.22439674407763013</v>
      </c>
      <c r="N44" s="43">
        <f t="shared" si="140"/>
        <v>0.22485138887402228</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3">J54*(1+K55)</f>
        <v>8458.521200000001</v>
      </c>
      <c r="L54" s="100">
        <f t="shared" si="173"/>
        <v>9050.6176840000007</v>
      </c>
      <c r="M54" s="100">
        <f t="shared" si="173"/>
        <v>9684.1609218800022</v>
      </c>
      <c r="N54" s="100">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7">J58*(1+K59)</f>
        <v>5182.9623000000011</v>
      </c>
      <c r="L58" s="100">
        <f t="shared" si="177"/>
        <v>5545.7696610000012</v>
      </c>
      <c r="M58" s="100">
        <f t="shared" si="177"/>
        <v>5933.9735372700015</v>
      </c>
      <c r="N58" s="100">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1">J62*(1+K63)</f>
        <v>645.72360000000003</v>
      </c>
      <c r="L62" s="100">
        <f t="shared" si="181"/>
        <v>690.92425200000002</v>
      </c>
      <c r="M62" s="100">
        <f t="shared" si="181"/>
        <v>739.28894964000006</v>
      </c>
      <c r="N62" s="100">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c r="A66" s="9" t="s">
        <v>130</v>
      </c>
      <c r="B66" s="44">
        <f t="shared" ref="B66:H66" si="185">+B73+B69</f>
        <v>1611</v>
      </c>
      <c r="C66" s="44">
        <f t="shared" si="185"/>
        <v>1872</v>
      </c>
      <c r="D66" s="44">
        <f t="shared" si="185"/>
        <v>1613</v>
      </c>
      <c r="E66" s="44">
        <f t="shared" si="185"/>
        <v>1703</v>
      </c>
      <c r="F66" s="44">
        <f t="shared" si="185"/>
        <v>2106</v>
      </c>
      <c r="G66" s="44">
        <f t="shared" si="185"/>
        <v>1673</v>
      </c>
      <c r="H66" s="44">
        <f t="shared" si="185"/>
        <v>2571</v>
      </c>
      <c r="I66" s="44">
        <f>+I73+I69</f>
        <v>3427</v>
      </c>
      <c r="J66" s="75">
        <f>I66-(0.13*I66)</f>
        <v>2981.49</v>
      </c>
      <c r="K66" s="75">
        <f>J66+(0.1*J66)</f>
        <v>3279.6389999999997</v>
      </c>
      <c r="L66" s="75">
        <f t="shared" ref="L66:N66" si="186">K66+(0.1*K66)</f>
        <v>3607.6028999999999</v>
      </c>
      <c r="M66" s="75">
        <f t="shared" si="186"/>
        <v>3968.36319</v>
      </c>
      <c r="N66" s="75">
        <f t="shared" si="186"/>
        <v>4365.199509</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-0.13000000000000012</v>
      </c>
      <c r="K67" s="43">
        <f t="shared" si="188"/>
        <v>9.9999999999999867E-2</v>
      </c>
      <c r="L67" s="43">
        <f t="shared" si="188"/>
        <v>0.10000000000000009</v>
      </c>
      <c r="M67" s="43">
        <f t="shared" si="188"/>
        <v>0.10000000000000009</v>
      </c>
      <c r="N67" s="43">
        <f t="shared" si="188"/>
        <v>0.10000000000000009</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1">J69-(0.13*J69)</f>
        <v>101.4246</v>
      </c>
      <c r="L69" s="104">
        <f t="shared" si="191"/>
        <v>88.239401999999998</v>
      </c>
      <c r="M69" s="104">
        <f t="shared" si="191"/>
        <v>76.768279739999997</v>
      </c>
      <c r="N69" s="104">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8">K66-K69</f>
        <v>3178.2143999999998</v>
      </c>
      <c r="L73" s="75">
        <f t="shared" si="198"/>
        <v>3519.3634979999997</v>
      </c>
      <c r="M73" s="75">
        <f t="shared" si="198"/>
        <v>3891.5949102600002</v>
      </c>
      <c r="N73" s="75">
        <f t="shared" si="198"/>
        <v>4298.4111056262</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-0.13</v>
      </c>
      <c r="K74" s="43">
        <f t="shared" si="200"/>
        <v>0.10935924688733678</v>
      </c>
      <c r="L74" s="43">
        <f t="shared" si="200"/>
        <v>0.10733986291170283</v>
      </c>
      <c r="M74" s="43">
        <f t="shared" si="200"/>
        <v>0.10576668550194768</v>
      </c>
      <c r="N74" s="43">
        <f t="shared" si="200"/>
        <v>0.10453713830636602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0.22957849186633544</v>
      </c>
      <c r="K75" s="43">
        <f t="shared" si="201"/>
        <v>0.23802338583025087</v>
      </c>
      <c r="L75" s="43">
        <f t="shared" si="201"/>
        <v>0.24632970414490593</v>
      </c>
      <c r="M75" s="43">
        <f t="shared" si="201"/>
        <v>0.25456372008690464</v>
      </c>
      <c r="N75" s="43">
        <f t="shared" si="201"/>
        <v>0.26278045130973127</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9">J85*(1+K86)</f>
        <v>8462.5</v>
      </c>
      <c r="L85" s="100">
        <f t="shared" si="219"/>
        <v>10578.125</v>
      </c>
      <c r="M85" s="100">
        <f t="shared" si="219"/>
        <v>13222.65625</v>
      </c>
      <c r="N85" s="100">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3">J89*(1+K90)</f>
        <v>3028.125</v>
      </c>
      <c r="L89" s="100">
        <f t="shared" si="223"/>
        <v>3785.15625</v>
      </c>
      <c r="M89" s="100">
        <f t="shared" si="223"/>
        <v>4731.4453125</v>
      </c>
      <c r="N89" s="100">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7">J93*(1+K94)</f>
        <v>301.5625</v>
      </c>
      <c r="L93" s="100">
        <f t="shared" si="227"/>
        <v>376.953125</v>
      </c>
      <c r="M93" s="100">
        <f t="shared" si="227"/>
        <v>471.19140625</v>
      </c>
      <c r="N93" s="100">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c r="A97" s="9" t="s">
        <v>130</v>
      </c>
      <c r="B97" s="44">
        <f t="shared" ref="B97:H97" si="231">+B104+B100</f>
        <v>1039</v>
      </c>
      <c r="C97" s="44">
        <f t="shared" si="231"/>
        <v>1420</v>
      </c>
      <c r="D97" s="44">
        <f t="shared" si="231"/>
        <v>1561</v>
      </c>
      <c r="E97" s="44">
        <f t="shared" si="231"/>
        <v>1863</v>
      </c>
      <c r="F97" s="44">
        <f t="shared" si="231"/>
        <v>2426</v>
      </c>
      <c r="G97" s="44">
        <f t="shared" si="231"/>
        <v>2534</v>
      </c>
      <c r="H97" s="44">
        <f t="shared" si="231"/>
        <v>3289</v>
      </c>
      <c r="I97" s="44">
        <f>+I104+I100</f>
        <v>2406</v>
      </c>
      <c r="J97" s="101">
        <f>I97+(0.7*I97)</f>
        <v>4090.2</v>
      </c>
      <c r="K97" s="101">
        <f t="shared" ref="K97" si="232">J97+(0.7*J97)</f>
        <v>6953.34</v>
      </c>
      <c r="L97" s="101">
        <f>K97</f>
        <v>6953.34</v>
      </c>
      <c r="M97" s="101">
        <f>K97</f>
        <v>6953.34</v>
      </c>
      <c r="N97" s="101">
        <f>K97</f>
        <v>6953.34</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0.7</v>
      </c>
      <c r="K98" s="43">
        <f t="shared" si="234"/>
        <v>0.70000000000000018</v>
      </c>
      <c r="L98" s="43">
        <f t="shared" si="234"/>
        <v>0</v>
      </c>
      <c r="M98" s="43">
        <f t="shared" si="234"/>
        <v>0</v>
      </c>
      <c r="N98" s="43">
        <f t="shared" si="234"/>
        <v>0</v>
      </c>
    </row>
    <row r="99" spans="1:15">
      <c r="A99" s="42" t="s">
        <v>131</v>
      </c>
      <c r="B99" s="43">
        <f>+IFERROR(B97/B$83,"nm")</f>
        <v>0.33876752526899251</v>
      </c>
      <c r="C99" s="43">
        <f t="shared" ref="C99:I99" si="235">+IFERROR(C97/C$83,"nm")</f>
        <v>0.37516512549537651</v>
      </c>
      <c r="D99" s="43">
        <f t="shared" si="235"/>
        <v>0.36842105263157893</v>
      </c>
      <c r="E99" s="43">
        <f t="shared" si="235"/>
        <v>0.36287495130502534</v>
      </c>
      <c r="F99" s="43">
        <f t="shared" si="235"/>
        <v>0.3907860824742268</v>
      </c>
      <c r="G99" s="43">
        <f t="shared" si="235"/>
        <v>0.37939811349004343</v>
      </c>
      <c r="H99" s="43">
        <f t="shared" si="235"/>
        <v>0.39674306393244874</v>
      </c>
      <c r="I99" s="43">
        <f t="shared" si="235"/>
        <v>0.31880217304889358</v>
      </c>
      <c r="J99" s="74">
        <f>I99</f>
        <v>0.31880217304889358</v>
      </c>
      <c r="K99" s="74">
        <f t="shared" ref="K99:N99" si="236">J99</f>
        <v>0.31880217304889358</v>
      </c>
      <c r="L99" s="74">
        <f t="shared" si="236"/>
        <v>0.31880217304889358</v>
      </c>
      <c r="M99" s="74">
        <f t="shared" si="236"/>
        <v>0.31880217304889358</v>
      </c>
      <c r="N99" s="74">
        <f t="shared" si="236"/>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4">K97-K100</f>
        <v>6834.85</v>
      </c>
      <c r="L104" s="44">
        <f t="shared" si="244"/>
        <v>6751.9070000000002</v>
      </c>
      <c r="M104" s="44">
        <f t="shared" si="244"/>
        <v>6610.9039000000002</v>
      </c>
      <c r="N104" s="44">
        <f t="shared" si="244"/>
        <v>6371.1986299999999</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0.7</v>
      </c>
      <c r="K105" s="43">
        <f t="shared" si="246"/>
        <v>0.70000000000000018</v>
      </c>
      <c r="L105" s="43">
        <f t="shared" si="246"/>
        <v>-1.2135306553911263E-2</v>
      </c>
      <c r="M105" s="43">
        <f t="shared" si="246"/>
        <v>-2.0883448187304698E-2</v>
      </c>
      <c r="N105" s="43">
        <f t="shared" si="246"/>
        <v>-3.6259076463053819E-2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4">K83*K112</f>
        <v>473.4375</v>
      </c>
      <c r="L110" s="101">
        <f t="shared" si="254"/>
        <v>591.796875</v>
      </c>
      <c r="M110" s="101">
        <f t="shared" si="254"/>
        <v>739.74609375</v>
      </c>
      <c r="N110" s="101">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3">K116+K120+K124</f>
        <v>6691.0380000000005</v>
      </c>
      <c r="L114" s="101">
        <f t="shared" si="263"/>
        <v>7092.5002800000011</v>
      </c>
      <c r="M114" s="101">
        <f t="shared" si="263"/>
        <v>7518.050296800001</v>
      </c>
      <c r="N114" s="101">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6">J116*(1+K117)</f>
        <v>4619.1196</v>
      </c>
      <c r="L116" s="100">
        <f t="shared" si="266"/>
        <v>4896.2667760000004</v>
      </c>
      <c r="M116" s="100">
        <f t="shared" si="266"/>
        <v>5190.0427825600009</v>
      </c>
      <c r="N116" s="100">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70">J120*(1+K121)</f>
        <v>1808.9960000000003</v>
      </c>
      <c r="L120" s="100">
        <f t="shared" si="270"/>
        <v>1917.5357600000004</v>
      </c>
      <c r="M120" s="100">
        <f t="shared" si="270"/>
        <v>2032.5879056000006</v>
      </c>
      <c r="N120" s="100">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4">J124*(1+K125)</f>
        <v>262.92240000000004</v>
      </c>
      <c r="L124" s="100">
        <f t="shared" si="274"/>
        <v>278.69774400000006</v>
      </c>
      <c r="M124" s="100">
        <f t="shared" si="274"/>
        <v>295.41960864000009</v>
      </c>
      <c r="N124" s="100">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c r="A128" s="9" t="s">
        <v>130</v>
      </c>
      <c r="B128" s="44">
        <f t="shared" ref="B128:H128" si="278">+B135+B131</f>
        <v>967</v>
      </c>
      <c r="C128" s="44">
        <f t="shared" si="278"/>
        <v>1044</v>
      </c>
      <c r="D128" s="44">
        <f t="shared" si="278"/>
        <v>1034</v>
      </c>
      <c r="E128" s="44">
        <f t="shared" si="278"/>
        <v>1244</v>
      </c>
      <c r="F128" s="44">
        <f t="shared" si="278"/>
        <v>1376</v>
      </c>
      <c r="G128" s="44">
        <f t="shared" si="278"/>
        <v>1230</v>
      </c>
      <c r="H128" s="44">
        <f t="shared" si="278"/>
        <v>1573</v>
      </c>
      <c r="I128" s="44">
        <f>+I135+I131</f>
        <v>1938</v>
      </c>
      <c r="J128" s="44">
        <f>I128-(0.16*I128)</f>
        <v>1627.92</v>
      </c>
      <c r="K128" s="44">
        <f>J128+(0.1*J128)</f>
        <v>1790.712</v>
      </c>
      <c r="L128" s="44">
        <f t="shared" ref="L128:N128" si="279">K128+(0.1*K128)</f>
        <v>1969.7832000000001</v>
      </c>
      <c r="M128" s="44">
        <f t="shared" si="279"/>
        <v>2166.76152</v>
      </c>
      <c r="N128" s="44">
        <f t="shared" si="279"/>
        <v>2383.437672</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-0.15999999999999992</v>
      </c>
      <c r="K129" s="43">
        <f t="shared" si="281"/>
        <v>9.9999999999999867E-2</v>
      </c>
      <c r="L129" s="43">
        <f t="shared" si="281"/>
        <v>0.10000000000000009</v>
      </c>
      <c r="M129" s="43">
        <f t="shared" si="281"/>
        <v>9.9999999999999867E-2</v>
      </c>
      <c r="N129" s="43">
        <f t="shared" si="281"/>
        <v>0.10000000000000009</v>
      </c>
    </row>
    <row r="130" spans="1:15">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74">
        <f>I130</f>
        <v>0.32544080604534004</v>
      </c>
      <c r="K130" s="74">
        <f t="shared" ref="K130:N130" si="283">J130</f>
        <v>0.32544080604534004</v>
      </c>
      <c r="L130" s="74">
        <f t="shared" si="283"/>
        <v>0.32544080604534004</v>
      </c>
      <c r="M130" s="74">
        <f t="shared" si="283"/>
        <v>0.32544080604534004</v>
      </c>
      <c r="N130" s="74">
        <f t="shared" si="283"/>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4">J131-(0.16*J131)</f>
        <v>29.635200000000001</v>
      </c>
      <c r="L131" s="101">
        <f t="shared" si="284"/>
        <v>24.893568000000002</v>
      </c>
      <c r="M131" s="101">
        <f t="shared" si="284"/>
        <v>20.910597120000002</v>
      </c>
      <c r="N131" s="101">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1">K128-K131</f>
        <v>1761.0768</v>
      </c>
      <c r="L135" s="44">
        <f t="shared" si="291"/>
        <v>1944.8896320000001</v>
      </c>
      <c r="M135" s="44">
        <f t="shared" si="291"/>
        <v>2145.8509228799999</v>
      </c>
      <c r="N135" s="44">
        <f t="shared" si="291"/>
        <v>2365.8727704192002</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-0.15999999999999992</v>
      </c>
      <c r="K136" s="43">
        <f t="shared" si="293"/>
        <v>0.10575949367088611</v>
      </c>
      <c r="L136" s="43">
        <f t="shared" si="293"/>
        <v>0.10437525041497353</v>
      </c>
      <c r="M136" s="43">
        <f t="shared" si="293"/>
        <v>0.10332786373761693</v>
      </c>
      <c r="N136" s="43">
        <f t="shared" si="293"/>
        <v>0.10253361274692074</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6">K114*K140</f>
        <v>62.921600000000005</v>
      </c>
      <c r="L138" s="101">
        <f t="shared" si="296"/>
        <v>66.69689600000001</v>
      </c>
      <c r="M138" s="101">
        <f t="shared" si="296"/>
        <v>70.698709760000014</v>
      </c>
      <c r="N138" s="101">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1">K114*K143</f>
        <v>307.8664</v>
      </c>
      <c r="L141" s="101">
        <f t="shared" si="301"/>
        <v>326.33838400000008</v>
      </c>
      <c r="M141" s="101">
        <f t="shared" si="301"/>
        <v>345.91868704000007</v>
      </c>
      <c r="N141" s="101">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10">J145*(1+K146)</f>
        <v>2621.0661539999996</v>
      </c>
      <c r="L145" s="100">
        <f t="shared" si="310"/>
        <v>2770.4669247779993</v>
      </c>
      <c r="M145" s="100">
        <f t="shared" si="310"/>
        <v>2928.3835394903454</v>
      </c>
      <c r="N145" s="100">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4">K159-K155</f>
        <v>747.43958099999986</v>
      </c>
      <c r="L149" s="101">
        <f t="shared" si="314"/>
        <v>790.04363711699978</v>
      </c>
      <c r="M149" s="101">
        <f t="shared" si="314"/>
        <v>835.07612443266885</v>
      </c>
      <c r="N149" s="101">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3">
        <f>I151</f>
        <v>0.28516624040920718</v>
      </c>
      <c r="K151" s="83">
        <f t="shared" ref="K151:N151" si="322">J151</f>
        <v>0.28516624040920718</v>
      </c>
      <c r="L151" s="83">
        <f t="shared" si="322"/>
        <v>0.28516624040920718</v>
      </c>
      <c r="M151" s="83">
        <f t="shared" si="322"/>
        <v>0.28516624040920718</v>
      </c>
      <c r="N151" s="83">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3">K145*K154</f>
        <v>10.055240999999999</v>
      </c>
      <c r="L152" s="101">
        <f t="shared" si="323"/>
        <v>10.628389736999997</v>
      </c>
      <c r="M152" s="101">
        <f t="shared" si="323"/>
        <v>11.234207952008997</v>
      </c>
      <c r="N152" s="101">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2">
        <f>I154</f>
        <v>3.8363171355498722E-3</v>
      </c>
      <c r="K154" s="82">
        <f t="shared" ref="K154:N154" si="331">J154</f>
        <v>3.8363171355498722E-3</v>
      </c>
      <c r="L154" s="82">
        <f t="shared" si="331"/>
        <v>3.8363171355498722E-3</v>
      </c>
      <c r="M154" s="82">
        <f t="shared" si="331"/>
        <v>3.8363171355498722E-3</v>
      </c>
      <c r="N154" s="82">
        <f t="shared" si="331"/>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2">K158*K162</f>
        <v>24.579477999999998</v>
      </c>
      <c r="L155" s="102">
        <f t="shared" si="332"/>
        <v>25.980508245999996</v>
      </c>
      <c r="M155" s="102">
        <f t="shared" si="332"/>
        <v>27.461397216021997</v>
      </c>
      <c r="N155" s="102">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1">
        <f>I158</f>
        <v>0.44897959183673469</v>
      </c>
      <c r="K158" s="81">
        <f t="shared" ref="K158:N158" si="341">J158</f>
        <v>0.44897959183673469</v>
      </c>
      <c r="L158" s="81">
        <f t="shared" si="341"/>
        <v>0.44897959183673469</v>
      </c>
      <c r="M158" s="81">
        <f t="shared" si="341"/>
        <v>0.44897959183673469</v>
      </c>
      <c r="N158" s="81">
        <f t="shared" si="341"/>
        <v>0.44897959183673469</v>
      </c>
    </row>
    <row r="159" spans="1:15" s="78" customFormat="1">
      <c r="A159" s="52" t="s">
        <v>130</v>
      </c>
      <c r="B159" s="68">
        <f>B149+B155</f>
        <v>535</v>
      </c>
      <c r="C159" s="68">
        <f t="shared" ref="C159:I159" si="342">C149+C155</f>
        <v>514</v>
      </c>
      <c r="D159" s="68">
        <f t="shared" si="342"/>
        <v>505</v>
      </c>
      <c r="E159" s="68">
        <f t="shared" si="342"/>
        <v>343</v>
      </c>
      <c r="F159" s="68">
        <f t="shared" si="342"/>
        <v>334</v>
      </c>
      <c r="G159" s="68">
        <f t="shared" si="342"/>
        <v>322</v>
      </c>
      <c r="H159" s="68">
        <f t="shared" si="342"/>
        <v>569</v>
      </c>
      <c r="I159" s="68">
        <f t="shared" si="342"/>
        <v>691</v>
      </c>
      <c r="J159" s="102">
        <f>J145*J161</f>
        <v>730.38699999999994</v>
      </c>
      <c r="K159" s="102">
        <f t="shared" ref="K159:N159" si="343">K145*K161</f>
        <v>772.01905899999986</v>
      </c>
      <c r="L159" s="102">
        <f t="shared" si="343"/>
        <v>816.02414536299977</v>
      </c>
      <c r="M159" s="102">
        <f t="shared" si="343"/>
        <v>862.53752164869081</v>
      </c>
      <c r="N159" s="102">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9">
        <f>I161</f>
        <v>0.29454390451832907</v>
      </c>
      <c r="K161" s="79">
        <f t="shared" ref="K161:N161" si="351">J161</f>
        <v>0.29454390451832907</v>
      </c>
      <c r="L161" s="79">
        <f t="shared" si="351"/>
        <v>0.29454390451832907</v>
      </c>
      <c r="M161" s="79">
        <f t="shared" si="351"/>
        <v>0.29454390451832907</v>
      </c>
      <c r="N161" s="79">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2">K145*K164</f>
        <v>54.745200999999994</v>
      </c>
      <c r="L162" s="102">
        <f t="shared" si="352"/>
        <v>57.86567745699999</v>
      </c>
      <c r="M162" s="102">
        <f t="shared" si="352"/>
        <v>61.164021072048989</v>
      </c>
      <c r="N162" s="102">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1">J166*(1+K167)</f>
        <v>113.95939799999999</v>
      </c>
      <c r="L166" s="85">
        <f t="shared" si="361"/>
        <v>120.45508368599998</v>
      </c>
      <c r="M166" s="85">
        <f t="shared" si="361"/>
        <v>127.32102345610197</v>
      </c>
      <c r="N166" s="85">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5">K180-K176</f>
        <v>-4761.7152379999998</v>
      </c>
      <c r="L170" s="86">
        <f t="shared" si="365"/>
        <v>-5033.1330065659986</v>
      </c>
      <c r="M170" s="86">
        <f t="shared" si="365"/>
        <v>-5320.0215879402604</v>
      </c>
      <c r="N170" s="86">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3">K166*K175</f>
        <v>248.02927799999998</v>
      </c>
      <c r="L173" s="85">
        <f t="shared" si="373"/>
        <v>262.16694684599992</v>
      </c>
      <c r="M173" s="85">
        <f t="shared" si="373"/>
        <v>277.11046281622191</v>
      </c>
      <c r="N173" s="85">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9">
        <f>I175</f>
        <v>2.1764705882352939</v>
      </c>
      <c r="K175" s="79">
        <f t="shared" ref="K175:N175" si="381">J175</f>
        <v>2.1764705882352939</v>
      </c>
      <c r="L175" s="79">
        <f t="shared" si="381"/>
        <v>2.1764705882352939</v>
      </c>
      <c r="M175" s="79">
        <f t="shared" si="381"/>
        <v>2.1764705882352939</v>
      </c>
      <c r="N175" s="79">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2">K179*K183</f>
        <v>245.79477999999997</v>
      </c>
      <c r="L176" s="86">
        <f t="shared" si="382"/>
        <v>259.80508245999994</v>
      </c>
      <c r="M176" s="86">
        <f t="shared" si="382"/>
        <v>274.61397216021993</v>
      </c>
      <c r="N176" s="86">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9">
        <f>I178</f>
        <v>2.1568627450980391</v>
      </c>
      <c r="K178" s="79">
        <f t="shared" ref="K178:N178" si="390">J178</f>
        <v>2.1568627450980391</v>
      </c>
      <c r="L178" s="79">
        <f t="shared" si="390"/>
        <v>2.1568627450980391</v>
      </c>
      <c r="M178" s="79">
        <f t="shared" si="390"/>
        <v>2.1568627450980391</v>
      </c>
      <c r="N178" s="79">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9">
        <f>I179</f>
        <v>0.27883396704689478</v>
      </c>
      <c r="K179" s="79">
        <f t="shared" ref="K179:N179" si="392">J179</f>
        <v>0.27883396704689478</v>
      </c>
      <c r="L179" s="79">
        <f t="shared" si="392"/>
        <v>0.27883396704689478</v>
      </c>
      <c r="M179" s="79">
        <f t="shared" si="392"/>
        <v>0.27883396704689478</v>
      </c>
      <c r="N179" s="79">
        <f t="shared" si="392"/>
        <v>0.27883396704689478</v>
      </c>
    </row>
    <row r="180" spans="1:15" s="56" customFormat="1">
      <c r="A180" s="52" t="s">
        <v>130</v>
      </c>
      <c r="B180" s="57">
        <f>B170+B176</f>
        <v>-2057</v>
      </c>
      <c r="C180" s="57">
        <f t="shared" ref="C180:I180" si="393">C170+C176</f>
        <v>-2366</v>
      </c>
      <c r="D180" s="57">
        <f t="shared" si="393"/>
        <v>-2444</v>
      </c>
      <c r="E180" s="57">
        <f t="shared" si="393"/>
        <v>-2441</v>
      </c>
      <c r="F180" s="57">
        <f t="shared" si="393"/>
        <v>-3067</v>
      </c>
      <c r="G180" s="57">
        <f t="shared" si="393"/>
        <v>-3254</v>
      </c>
      <c r="H180" s="57">
        <f t="shared" si="393"/>
        <v>-3434</v>
      </c>
      <c r="I180" s="57">
        <f t="shared" si="393"/>
        <v>-4042</v>
      </c>
      <c r="J180" s="86">
        <f>J166*J182</f>
        <v>-4272.3939999999993</v>
      </c>
      <c r="K180" s="86">
        <f t="shared" ref="K180:N180" si="394">K166*K182</f>
        <v>-4515.9204579999996</v>
      </c>
      <c r="L180" s="86">
        <f t="shared" si="394"/>
        <v>-4773.327924105999</v>
      </c>
      <c r="M180" s="86">
        <f t="shared" si="394"/>
        <v>-5045.40761578004</v>
      </c>
      <c r="N180" s="86">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9">
        <f>I182</f>
        <v>-39.627450980392155</v>
      </c>
      <c r="K182" s="79">
        <f t="shared" ref="K182:N182" si="402">J182</f>
        <v>-39.627450980392155</v>
      </c>
      <c r="L182" s="79">
        <f t="shared" si="402"/>
        <v>-39.627450980392155</v>
      </c>
      <c r="M182" s="79">
        <f t="shared" si="402"/>
        <v>-39.627450980392155</v>
      </c>
      <c r="N182" s="79">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3">K166*K185</f>
        <v>881.50946099999999</v>
      </c>
      <c r="L183" s="102">
        <f t="shared" si="403"/>
        <v>931.7555002769999</v>
      </c>
      <c r="M183" s="102">
        <f t="shared" si="403"/>
        <v>984.86556379278875</v>
      </c>
      <c r="N183" s="102">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3">
        <f>I185</f>
        <v>7.7352941176470589</v>
      </c>
      <c r="K185" s="83">
        <f t="shared" ref="K185:N185" si="411">J185</f>
        <v>7.7352941176470589</v>
      </c>
      <c r="L185" s="83">
        <f t="shared" si="411"/>
        <v>7.7352941176470589</v>
      </c>
      <c r="M185" s="83">
        <f t="shared" si="411"/>
        <v>7.7352941176470589</v>
      </c>
      <c r="N185" s="83">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2">J187*(1+K188)</f>
        <v>-80.44192799999999</v>
      </c>
      <c r="L187" s="85">
        <f t="shared" si="412"/>
        <v>-85.027117895999979</v>
      </c>
      <c r="M187" s="85">
        <f t="shared" si="412"/>
        <v>-89.873663616071966</v>
      </c>
      <c r="N187" s="85">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6">K201-K197</f>
        <v>-2479.1755309999994</v>
      </c>
      <c r="L191" s="84">
        <f t="shared" si="416"/>
        <v>-2620.4885362669993</v>
      </c>
      <c r="M191" s="84">
        <f t="shared" si="416"/>
        <v>-2769.8563828342176</v>
      </c>
      <c r="N191" s="84">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7">IFERROR(K191/J191-1,"nm")</f>
        <v>5.699999999999994E-2</v>
      </c>
      <c r="L192" s="89">
        <f t="shared" si="417"/>
        <v>5.699999999999994E-2</v>
      </c>
      <c r="M192" s="89">
        <f t="shared" si="417"/>
        <v>5.6999999999999718E-2</v>
      </c>
      <c r="N192" s="89">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9">
        <f>I196</f>
        <v>-0.69444444444444442</v>
      </c>
      <c r="K196" s="79">
        <f t="shared" ref="K196:N196" si="428">J196</f>
        <v>-0.69444444444444442</v>
      </c>
      <c r="L196" s="79">
        <f t="shared" si="428"/>
        <v>-0.69444444444444442</v>
      </c>
      <c r="M196" s="79">
        <f t="shared" si="428"/>
        <v>-0.69444444444444442</v>
      </c>
      <c r="N196" s="79">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7">
        <f>I199</f>
        <v>-1.8611111111111112</v>
      </c>
      <c r="K199" s="87">
        <f t="shared" ref="K199:N199" si="437">J199</f>
        <v>-1.8611111111111112</v>
      </c>
      <c r="L199" s="87">
        <f t="shared" si="437"/>
        <v>-1.8611111111111112</v>
      </c>
      <c r="M199" s="87">
        <f t="shared" si="437"/>
        <v>-1.8611111111111112</v>
      </c>
      <c r="N199" s="87">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7">
        <f>I200</f>
        <v>7.374793615850303E-2</v>
      </c>
      <c r="K200" s="87">
        <f t="shared" ref="K200:N200" si="439">J200</f>
        <v>7.374793615850303E-2</v>
      </c>
      <c r="L200" s="87">
        <f t="shared" si="439"/>
        <v>7.374793615850303E-2</v>
      </c>
      <c r="M200" s="87">
        <f t="shared" si="439"/>
        <v>7.374793615850303E-2</v>
      </c>
      <c r="N200" s="87">
        <f t="shared" si="439"/>
        <v>7.374793615850303E-2</v>
      </c>
    </row>
    <row r="201" spans="1:14">
      <c r="A201" s="52" t="s">
        <v>130</v>
      </c>
      <c r="B201">
        <f>B191+B197</f>
        <v>-1022</v>
      </c>
      <c r="C201">
        <f t="shared" ref="C201:I201" si="440">C191+C197</f>
        <v>-1089</v>
      </c>
      <c r="D201">
        <f t="shared" si="440"/>
        <v>-633</v>
      </c>
      <c r="E201">
        <f t="shared" si="440"/>
        <v>-1346</v>
      </c>
      <c r="F201">
        <f t="shared" si="440"/>
        <v>-1694</v>
      </c>
      <c r="G201">
        <f t="shared" si="440"/>
        <v>-1855</v>
      </c>
      <c r="H201">
        <f t="shared" si="440"/>
        <v>-2120</v>
      </c>
      <c r="I201">
        <f t="shared" si="440"/>
        <v>-2085</v>
      </c>
      <c r="J201" s="100">
        <f>J187*J203</f>
        <v>-2203.8449999999998</v>
      </c>
      <c r="K201" s="100">
        <f t="shared" ref="K201:N201" si="441">K187*K203</f>
        <v>-2329.4641649999994</v>
      </c>
      <c r="L201" s="100">
        <f t="shared" si="441"/>
        <v>-2462.2436224049993</v>
      </c>
      <c r="M201" s="100">
        <f t="shared" si="441"/>
        <v>-2602.5915088820839</v>
      </c>
      <c r="N201" s="10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7">
        <f>I203</f>
        <v>28.958333333333332</v>
      </c>
      <c r="K203" s="87">
        <f t="shared" ref="K203:N203" si="449">J203</f>
        <v>28.958333333333332</v>
      </c>
      <c r="L203" s="87">
        <f t="shared" si="449"/>
        <v>28.958333333333332</v>
      </c>
      <c r="M203" s="87">
        <f t="shared" si="449"/>
        <v>28.958333333333332</v>
      </c>
      <c r="N203" s="87">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7">
        <f>I206</f>
        <v>-25.236111111111111</v>
      </c>
      <c r="K206" s="87">
        <f t="shared" ref="K206:N206" si="458">J206</f>
        <v>-25.236111111111111</v>
      </c>
      <c r="L206" s="87">
        <f t="shared" si="458"/>
        <v>-25.236111111111111</v>
      </c>
      <c r="M206" s="87">
        <f t="shared" si="458"/>
        <v>-25.236111111111111</v>
      </c>
      <c r="N206" s="87">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A39" zoomScaleNormal="100" workbookViewId="0">
      <selection activeCell="A54" sqref="A54:XFD54"/>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10578.622235999997</v>
      </c>
      <c r="L5" s="92">
        <f>'Segmental forecast'!L5</f>
        <v>10970.890338852003</v>
      </c>
      <c r="M5" s="92">
        <f>'Segmental forecast'!M5</f>
        <v>11405.700328986568</v>
      </c>
      <c r="N5" s="92">
        <f>'Segmental forecast'!N5</f>
        <v>11887.5763497148</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9799.4204119999977</v>
      </c>
      <c r="L7" s="108">
        <f>'Segmental forecast'!L11</f>
        <v>10109.301448284003</v>
      </c>
      <c r="M7" s="108">
        <f>'Segmental forecast'!M11</f>
        <v>10399.432237758192</v>
      </c>
      <c r="N7" s="108">
        <f>'Segmental forecast'!N11</f>
        <v>10633.984938784506</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9534.4838119999986</v>
      </c>
      <c r="L11" s="108">
        <f t="shared" si="5"/>
        <v>9836.4167502840028</v>
      </c>
      <c r="M11" s="108">
        <f t="shared" si="5"/>
        <v>10118.360998818192</v>
      </c>
      <c r="N11" s="108">
        <f t="shared" si="5"/>
        <v>10344.481562676307</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7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8867.4713119999979</v>
      </c>
      <c r="L14" s="90">
        <f t="shared" si="7"/>
        <v>9136.0536252840029</v>
      </c>
      <c r="M14" s="90">
        <f t="shared" si="7"/>
        <v>9382.9797175681924</v>
      </c>
      <c r="N14" s="90">
        <f t="shared" si="7"/>
        <v>9572.331217363806</v>
      </c>
      <c r="O14" s="91"/>
      <c r="P14" s="91"/>
      <c r="Q14" s="91"/>
      <c r="R14" s="91"/>
      <c r="S14" s="91"/>
      <c r="T14" s="91"/>
      <c r="U14" s="91"/>
      <c r="V14" s="114"/>
      <c r="W14" s="91"/>
      <c r="X14" s="91"/>
      <c r="Y14" s="91"/>
    </row>
    <row r="15" spans="1:25" ht="28.9" customHeight="1" thickTop="1">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10579.751568118303</v>
      </c>
      <c r="L21" s="88">
        <f t="shared" si="19"/>
        <v>11357.600463614417</v>
      </c>
      <c r="M21" s="88">
        <f t="shared" si="19"/>
        <v>11216.054618209098</v>
      </c>
      <c r="N21" s="88">
        <f t="shared" si="19"/>
        <v>9953.9049831440698</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c r="R23" s="88"/>
      <c r="S23" s="88"/>
      <c r="T23" s="88"/>
      <c r="U23" s="88"/>
      <c r="V23" s="114"/>
      <c r="W23" s="88"/>
      <c r="X23" s="88"/>
      <c r="Y23" s="88"/>
    </row>
    <row r="24" spans="1: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c r="S24" s="88"/>
      <c r="T24" s="95"/>
      <c r="U24" s="95"/>
      <c r="V24" s="107"/>
      <c r="W24" s="95"/>
      <c r="X24" s="95"/>
      <c r="Y24" s="9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7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40344.577637918308</v>
      </c>
      <c r="L31" s="90">
        <f t="shared" si="25"/>
        <v>42295.720114393014</v>
      </c>
      <c r="M31" s="90">
        <f t="shared" si="25"/>
        <v>43445.177635200082</v>
      </c>
      <c r="N31" s="90">
        <f t="shared" si="25"/>
        <v>43540.124284279205</v>
      </c>
      <c r="O31" s="91"/>
      <c r="P31" s="91"/>
      <c r="Q31" s="91"/>
      <c r="R31" s="91"/>
      <c r="S31" s="91"/>
      <c r="T31" s="91"/>
      <c r="U31" s="91"/>
      <c r="V31" s="91"/>
      <c r="W31" s="91"/>
      <c r="X31" s="91"/>
      <c r="Y31" s="91"/>
    </row>
    <row r="32" spans="1:25" ht="15.7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18662.577637918308</v>
      </c>
      <c r="L39" s="88">
        <f t="shared" si="29"/>
        <v>20613.720114393022</v>
      </c>
      <c r="M39" s="88">
        <f t="shared" si="29"/>
        <v>21763.177635200082</v>
      </c>
      <c r="N39" s="88">
        <f t="shared" si="29"/>
        <v>21858.124284279198</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6857.5776379183071</v>
      </c>
      <c r="L41" s="88">
        <f t="shared" si="30"/>
        <v>8808.7201143930197</v>
      </c>
      <c r="M41" s="88">
        <f t="shared" si="30"/>
        <v>9958.1776352000816</v>
      </c>
      <c r="N41" s="88">
        <f t="shared" si="30"/>
        <v>10053.1242842792</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7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40344.577637918308</v>
      </c>
      <c r="L43" s="90">
        <f t="shared" si="31"/>
        <v>42295.720114393022</v>
      </c>
      <c r="M43" s="90">
        <f t="shared" si="31"/>
        <v>43445.177635200082</v>
      </c>
      <c r="N43" s="90">
        <f t="shared" si="31"/>
        <v>43540.124284279198</v>
      </c>
      <c r="O43" s="91"/>
      <c r="P43" s="91"/>
      <c r="Q43" s="91"/>
      <c r="R43" s="91"/>
      <c r="S43" s="91"/>
      <c r="T43" s="91"/>
      <c r="U43" s="91"/>
      <c r="V43" s="91"/>
      <c r="W43" s="91"/>
      <c r="X43" s="91"/>
      <c r="Y43" s="91"/>
    </row>
    <row r="44" spans="1:25" s="1" customFormat="1" ht="15.7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9799.4204119999977</v>
      </c>
      <c r="L46" s="92">
        <f>'Segmental forecast'!L11</f>
        <v>10109.301448284003</v>
      </c>
      <c r="M46" s="92">
        <f>'Segmental forecast'!M11</f>
        <v>10399.432237758192</v>
      </c>
      <c r="N46" s="92">
        <f>'Segmental forecast'!N11</f>
        <v>10633.984938784506</v>
      </c>
      <c r="O46" s="92"/>
      <c r="P46" s="92"/>
      <c r="Q46" s="92"/>
      <c r="R46" s="92"/>
      <c r="S46" s="92"/>
      <c r="T46" s="92"/>
      <c r="U46" s="92"/>
      <c r="V46" s="92"/>
      <c r="W46" s="92"/>
      <c r="X46" s="92"/>
      <c r="Y46" s="92"/>
    </row>
    <row r="47" spans="1: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9132.4079119999969</v>
      </c>
      <c r="L49" s="92">
        <f t="shared" si="36"/>
        <v>9408.9383232840028</v>
      </c>
      <c r="M49" s="92">
        <f t="shared" si="36"/>
        <v>9664.050956508192</v>
      </c>
      <c r="N49" s="92">
        <f>N46-N48</f>
        <v>9861.8345934720055</v>
      </c>
      <c r="O49" s="92"/>
      <c r="P49" s="92"/>
      <c r="Q49" s="92"/>
      <c r="R49" s="92"/>
      <c r="S49" s="92"/>
      <c r="T49" s="92"/>
      <c r="U49" s="92"/>
      <c r="V49" s="92"/>
      <c r="W49" s="92"/>
      <c r="X49" s="92"/>
      <c r="Y49" s="92"/>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2.75">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c r="U52" s="88"/>
      <c r="V52" s="88"/>
      <c r="W52" s="88"/>
      <c r="X52" s="88"/>
      <c r="Y52" s="88"/>
    </row>
    <row r="53" spans="1: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s="152" customFormat="1">
      <c r="A54" s="118" t="s">
        <v>188</v>
      </c>
      <c r="B54" s="151">
        <f>B49+B52+B53-B47</f>
        <v>5166</v>
      </c>
      <c r="C54" s="151">
        <f t="shared" ref="C54:N54" si="43">C49+C52+C53-C47</f>
        <v>1740</v>
      </c>
      <c r="D54" s="151">
        <f t="shared" si="43"/>
        <v>2436</v>
      </c>
      <c r="E54" s="151">
        <f t="shared" si="43"/>
        <v>1587</v>
      </c>
      <c r="F54" s="151">
        <f t="shared" si="43"/>
        <v>3053</v>
      </c>
      <c r="G54" s="151">
        <f t="shared" si="43"/>
        <v>579</v>
      </c>
      <c r="H54" s="151">
        <f t="shared" si="43"/>
        <v>1402</v>
      </c>
      <c r="I54" s="151">
        <f t="shared" si="43"/>
        <v>3940</v>
      </c>
      <c r="J54" s="151">
        <f t="shared" si="43"/>
        <v>4694.5205999999998</v>
      </c>
      <c r="K54" s="151">
        <f t="shared" si="43"/>
        <v>6539.2295941999973</v>
      </c>
      <c r="L54" s="151">
        <f t="shared" si="43"/>
        <v>6512.4669611694044</v>
      </c>
      <c r="M54" s="151">
        <f t="shared" si="43"/>
        <v>6360.5114078390579</v>
      </c>
      <c r="N54" s="151">
        <f t="shared" si="43"/>
        <v>5997.5554874672707</v>
      </c>
      <c r="O54" s="151"/>
      <c r="P54" s="151"/>
      <c r="Q54" s="151"/>
      <c r="R54" s="151"/>
      <c r="S54" s="151"/>
      <c r="T54" s="151"/>
      <c r="U54" s="151"/>
      <c r="V54" s="151"/>
      <c r="W54" s="151"/>
      <c r="X54" s="151"/>
      <c r="Y54" s="151"/>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c r="A56" s="24"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8968.1318111999972</v>
      </c>
      <c r="L56" s="93">
        <f t="shared" si="45"/>
        <v>9181.0858845384046</v>
      </c>
      <c r="M56" s="93">
        <f t="shared" si="45"/>
        <v>9403.7303082240905</v>
      </c>
      <c r="N56" s="93">
        <f t="shared" si="45"/>
        <v>9633.0300557303308</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c r="A59" s="24"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1532.1682945654529</v>
      </c>
      <c r="L67" s="93">
        <f t="shared" si="52"/>
        <v>777.84889549611398</v>
      </c>
      <c r="M67" s="93">
        <f t="shared" si="52"/>
        <v>-141.54584540531869</v>
      </c>
      <c r="N67" s="93">
        <f t="shared" si="52"/>
        <v>-1262.1496350650286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10579.751568118303</v>
      </c>
      <c r="M68" s="88">
        <f t="shared" si="54"/>
        <v>11357.600463614417</v>
      </c>
      <c r="N68" s="88">
        <f t="shared" si="54"/>
        <v>11216.054618209098</v>
      </c>
      <c r="O68" s="88"/>
      <c r="P68" s="88"/>
      <c r="Q68" s="88"/>
      <c r="R68" s="88"/>
      <c r="S68" s="88"/>
      <c r="T68" s="88"/>
      <c r="U68" s="88"/>
      <c r="W68" s="88"/>
      <c r="X68" s="88"/>
      <c r="Y68" s="88"/>
    </row>
    <row r="69" spans="1:25" ht="15.7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10579.751568118303</v>
      </c>
      <c r="L69" s="90">
        <f t="shared" si="56"/>
        <v>11357.600463614417</v>
      </c>
      <c r="M69" s="90">
        <f t="shared" si="56"/>
        <v>11216.054618209098</v>
      </c>
      <c r="N69" s="90">
        <f t="shared" si="56"/>
        <v>9953.9049831440698</v>
      </c>
      <c r="O69" s="90"/>
      <c r="P69" s="90"/>
      <c r="Q69" s="90"/>
      <c r="R69" s="90"/>
      <c r="S69" s="90"/>
      <c r="T69" s="90"/>
      <c r="U69" s="90"/>
      <c r="W69" s="91"/>
      <c r="X69" s="91"/>
      <c r="Y69" s="91"/>
    </row>
    <row r="70" spans="1:25" ht="15.7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F2" workbookViewId="0">
      <selection activeCell="K22" sqref="K22"/>
    </sheetView>
  </sheetViews>
  <sheetFormatPr defaultColWidth="8.85546875" defaultRowHeight="15"/>
  <cols>
    <col min="1" max="1" width="42.7109375" customWidth="1"/>
    <col min="2" max="2" width="11.140625" bestFit="1" customWidth="1"/>
    <col min="3" max="8" width="10.5703125" customWidth="1"/>
    <col min="9" max="9" width="12.140625" customWidth="1"/>
    <col min="10" max="10" width="26.7109375" customWidth="1"/>
    <col min="11" max="11" width="11.5703125" bestFit="1" customWidth="1"/>
    <col min="12" max="15" width="10.5703125" bestFit="1" customWidth="1"/>
    <col min="16" max="18" width="10.140625" bestFit="1" customWidth="1"/>
    <col min="21" max="21" width="9.5703125" bestFit="1" customWidth="1"/>
  </cols>
  <sheetData>
    <row r="1" spans="1:21" ht="45">
      <c r="A1" s="135" t="s">
        <v>225</v>
      </c>
      <c r="B1" s="16">
        <v>2015</v>
      </c>
      <c r="C1" s="16">
        <f t="shared" ref="C1:T1" si="0">+B1+1</f>
        <v>2016</v>
      </c>
      <c r="D1" s="16">
        <f t="shared" si="0"/>
        <v>2017</v>
      </c>
      <c r="E1" s="16">
        <f t="shared" si="0"/>
        <v>2018</v>
      </c>
      <c r="F1" s="16">
        <f t="shared" si="0"/>
        <v>2019</v>
      </c>
      <c r="G1" s="16">
        <f t="shared" si="0"/>
        <v>2020</v>
      </c>
      <c r="H1" s="16">
        <f t="shared" si="0"/>
        <v>2021</v>
      </c>
      <c r="I1" s="16">
        <f t="shared" si="0"/>
        <v>2022</v>
      </c>
      <c r="J1" s="16" t="s">
        <v>259</v>
      </c>
      <c r="K1" s="127">
        <f>+I1+1</f>
        <v>2023</v>
      </c>
      <c r="L1" s="127">
        <f>+K1+1</f>
        <v>2024</v>
      </c>
      <c r="M1" s="127">
        <f t="shared" si="0"/>
        <v>2025</v>
      </c>
      <c r="N1" s="127">
        <f t="shared" si="0"/>
        <v>2026</v>
      </c>
      <c r="O1" s="127">
        <f t="shared" si="0"/>
        <v>2027</v>
      </c>
      <c r="P1" s="127">
        <f t="shared" si="0"/>
        <v>2028</v>
      </c>
      <c r="Q1" s="127">
        <f t="shared" si="0"/>
        <v>2029</v>
      </c>
      <c r="R1" s="127">
        <f t="shared" si="0"/>
        <v>2030</v>
      </c>
      <c r="S1" s="127">
        <f t="shared" si="0"/>
        <v>2031</v>
      </c>
      <c r="T1" s="127">
        <f t="shared" si="0"/>
        <v>2032</v>
      </c>
      <c r="U1" s="131" t="s">
        <v>226</v>
      </c>
    </row>
    <row r="2" spans="1:21">
      <c r="A2" s="14" t="s">
        <v>227</v>
      </c>
      <c r="B2" s="14"/>
      <c r="C2" s="14"/>
      <c r="D2" s="14"/>
      <c r="E2" s="14"/>
      <c r="F2" s="14"/>
      <c r="G2" s="14"/>
      <c r="H2" s="14"/>
      <c r="I2" s="14"/>
      <c r="J2" s="14"/>
      <c r="K2" s="14"/>
      <c r="L2" s="14"/>
      <c r="M2" s="14"/>
      <c r="N2" s="14"/>
      <c r="O2" s="14"/>
      <c r="P2" s="132"/>
      <c r="Q2" s="132"/>
      <c r="R2" s="132"/>
      <c r="S2" s="132"/>
      <c r="T2" s="132"/>
      <c r="U2" s="132"/>
    </row>
    <row r="3" spans="1:21">
      <c r="A3" t="s">
        <v>228</v>
      </c>
      <c r="B3" s="133">
        <v>50.02</v>
      </c>
      <c r="C3" s="133">
        <v>51.63</v>
      </c>
      <c r="D3" s="133">
        <v>52.6</v>
      </c>
      <c r="E3" s="133">
        <v>70.239999999999995</v>
      </c>
      <c r="F3" s="133">
        <v>83.79</v>
      </c>
      <c r="G3" s="133">
        <v>103.56</v>
      </c>
      <c r="H3" s="133">
        <v>146.88</v>
      </c>
      <c r="I3" s="133">
        <v>113.8</v>
      </c>
      <c r="J3" s="133"/>
      <c r="K3" s="133"/>
      <c r="L3" s="48"/>
      <c r="M3" s="48"/>
      <c r="N3" s="48"/>
      <c r="O3" s="48"/>
    </row>
    <row r="4" spans="1:21">
      <c r="A4" t="s">
        <v>229</v>
      </c>
      <c r="B4" s="88">
        <f>('The Statements'!B15*B3)+('The Statements'!B36+'The Statements'!B33+'The Statements'!B32)-'The Statements'!B21</f>
        <v>85990.376000000004</v>
      </c>
      <c r="C4" s="88">
        <f>('The Statements'!C15*C3)+('The Statements'!C36+'The Statements'!C33+'The Statements'!C32)-'The Statements'!C21</f>
        <v>88926.275000000009</v>
      </c>
      <c r="D4" s="88">
        <f>('The Statements'!D15*D3)+('The Statements'!D36+'The Statements'!D33+'The Statements'!D32)-'The Statements'!D21</f>
        <v>88999.2</v>
      </c>
      <c r="E4" s="88">
        <f>('The Statements'!E15*E3)+('The Statements'!E36+'The Statements'!E33+'The Statements'!E32)-'The Statements'!E21</f>
        <v>116102.18399999998</v>
      </c>
      <c r="F4" s="88">
        <f>('The Statements'!F15*F3)+('The Statements'!F36+'The Statements'!F33+'The Statements'!F32)-'The Statements'!F21</f>
        <v>134624.736</v>
      </c>
      <c r="G4" s="88">
        <f>('The Statements'!G15*G3)+('The Statements'!G36+'The Statements'!G33+'The Statements'!G32)-'The Statements'!G21</f>
        <v>166138.09599999999</v>
      </c>
      <c r="H4" s="88">
        <f>('The Statements'!H15*H3)+('The Statements'!H36+'The Statements'!H33+'The Statements'!H32)-'The Statements'!H21</f>
        <v>235914.67200000002</v>
      </c>
      <c r="I4" s="88">
        <f>('The Statements'!I15*I3)+('The Statements'!I36+'The Statements'!I33+'The Statements'!I32)-'The Statements'!I21</f>
        <v>184665.03999999998</v>
      </c>
      <c r="J4" s="88"/>
      <c r="K4" t="s">
        <v>252</v>
      </c>
    </row>
    <row r="5" spans="1:21">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c r="J5" s="48"/>
    </row>
    <row r="6" spans="1:21">
      <c r="A6" t="s">
        <v>231</v>
      </c>
      <c r="B6" s="98">
        <f>B3/('The Statements'!B39/'The Statements'!B15)</f>
        <v>6.9627273156527894</v>
      </c>
      <c r="C6" s="98">
        <f>C3/('The Statements'!C39/'The Statements'!C15)</f>
        <v>7.3393110621634854</v>
      </c>
      <c r="D6" s="98">
        <f>D3/('The Statements'!D39/'The Statements'!D15)</f>
        <v>7.1733053921173529</v>
      </c>
      <c r="E6" s="98">
        <f>E3/('The Statements'!E39/'The Statements'!E15)</f>
        <v>11.876802282918874</v>
      </c>
      <c r="F6" s="98">
        <f>F3/('The Statements'!F39/'The Statements'!F15)</f>
        <v>15.000634513274337</v>
      </c>
      <c r="G6" s="98">
        <f>G3/('The Statements'!G39/'The Statements'!G15)</f>
        <v>20.462581750465546</v>
      </c>
      <c r="H6" s="98">
        <f>H3/('The Statements'!H39/'The Statements'!H15)</f>
        <v>18.515600532623168</v>
      </c>
      <c r="I6" s="98">
        <f>I3/('The Statements'!I39/'The Statements'!I15)</f>
        <v>11.995879850795106</v>
      </c>
      <c r="J6" s="98"/>
      <c r="K6" t="s">
        <v>253</v>
      </c>
    </row>
    <row r="7" spans="1:21">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c r="J7" s="48"/>
    </row>
    <row r="8" spans="1:21">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c r="J8" s="48"/>
    </row>
    <row r="9" spans="1:21">
      <c r="A9" t="s">
        <v>234</v>
      </c>
      <c r="B9" s="134">
        <f>'The Statements'!B36/'The Statements'!B39</f>
        <v>8.4913827024474697E-2</v>
      </c>
      <c r="C9" s="134">
        <f>'The Statements'!C36/'The Statements'!C39</f>
        <v>0.16397454723445912</v>
      </c>
      <c r="D9" s="134">
        <f>'The Statements'!D36/'The Statements'!D39</f>
        <v>0.27976142500201501</v>
      </c>
      <c r="E9" s="134">
        <f>'The Statements'!E36/'The Statements'!E39</f>
        <v>0.35344476151651039</v>
      </c>
      <c r="F9" s="134">
        <f>'The Statements'!F36/'The Statements'!F39</f>
        <v>0.38318584070796458</v>
      </c>
      <c r="G9" s="134">
        <f>'The Statements'!G36/'The Statements'!G39</f>
        <v>1.1677219118559901</v>
      </c>
      <c r="H9" s="134">
        <f>'The Statements'!H36/'The Statements'!H39</f>
        <v>0.73729145453121325</v>
      </c>
      <c r="I9" s="134">
        <f>('The Statements'!I43-'The Statements'!I39)/'The Statements'!I39</f>
        <v>1.4188861985472154</v>
      </c>
      <c r="J9" s="134"/>
      <c r="K9" t="s">
        <v>254</v>
      </c>
    </row>
    <row r="10" spans="1:21">
      <c r="A10" t="s">
        <v>235</v>
      </c>
      <c r="B10" s="134">
        <f>'The Statements'!B36/('The Statements'!B36+'The Statements'!B39)</f>
        <v>7.826780792107936E-2</v>
      </c>
      <c r="C10" s="134">
        <f>'The Statements'!C36/('The Statements'!C36+'The Statements'!C39)</f>
        <v>0.14087468460891506</v>
      </c>
      <c r="D10" s="134">
        <f>'The Statements'!D36/('The Statements'!D36+'The Statements'!D39)</f>
        <v>0.21860435823151531</v>
      </c>
      <c r="E10" s="134">
        <f>'The Statements'!E36/('The Statements'!E36+'The Statements'!E39)</f>
        <v>0.261144578313253</v>
      </c>
      <c r="F10" s="134">
        <f>'The Statements'!F36/('The Statements'!F36+'The Statements'!F39)</f>
        <v>0.27703134996801021</v>
      </c>
      <c r="G10" s="134">
        <f>'The Statements'!G36/('The Statements'!G36+'The Statements'!G39)</f>
        <v>0.53868621499341385</v>
      </c>
      <c r="H10" s="134">
        <f>'The Statements'!H36/('The Statements'!H36+'The Statements'!H39)</f>
        <v>0.42439134355275021</v>
      </c>
      <c r="I10" s="134">
        <f>'The Statements'!I36/('The Statements'!I36+'The Statements'!I39)</f>
        <v>0.36857981075162183</v>
      </c>
      <c r="J10" s="134"/>
      <c r="K10" t="s">
        <v>255</v>
      </c>
    </row>
    <row r="11" spans="1:21">
      <c r="A11" t="s">
        <v>236</v>
      </c>
      <c r="B11" s="134">
        <f>'The Statements'!B14/'The Statements'!B39</f>
        <v>0.25757456520028332</v>
      </c>
      <c r="C11" s="134">
        <f>'The Statements'!C14/'The Statements'!C39</f>
        <v>0.3067384565181922</v>
      </c>
      <c r="D11" s="134">
        <f>'The Statements'!D14/'The Statements'!D39</f>
        <v>0.34174256468122832</v>
      </c>
      <c r="E11" s="134">
        <f>'The Statements'!E14/'The Statements'!E39</f>
        <v>0.19700366897676314</v>
      </c>
      <c r="F11" s="134">
        <f>'The Statements'!F14/'The Statements'!F39</f>
        <v>0.44568584070796458</v>
      </c>
      <c r="G11" s="134">
        <f>'The Statements'!G14/'The Statements'!G39</f>
        <v>0.31520794537554314</v>
      </c>
      <c r="H11" s="134">
        <f>'The Statements'!H14/'The Statements'!H39</f>
        <v>0.44857836610010182</v>
      </c>
      <c r="I11" s="134">
        <f>'The Statements'!I14/'The Statements'!I39</f>
        <v>0.3956547346377855</v>
      </c>
      <c r="J11" s="134"/>
    </row>
    <row r="14" spans="1:21" s="156" customFormat="1">
      <c r="M14" s="156" t="s">
        <v>256</v>
      </c>
    </row>
    <row r="15" spans="1:21">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3"/>
      <c r="K15" s="141">
        <f>'The Statements'!J54</f>
        <v>4694.5205999999998</v>
      </c>
      <c r="L15" s="3">
        <f>'The Statements'!K54</f>
        <v>6539.2295941999973</v>
      </c>
      <c r="M15" s="149">
        <f>'The Statements'!L54</f>
        <v>6512.4669611694044</v>
      </c>
      <c r="N15" s="149">
        <f>'The Statements'!M54</f>
        <v>6360.5114078390579</v>
      </c>
      <c r="O15" s="149">
        <f>'The Statements'!N54</f>
        <v>5997.5554874672707</v>
      </c>
      <c r="P15" s="145">
        <f>O15*(1+P16)</f>
        <v>6417.3843715899802</v>
      </c>
      <c r="Q15" s="145">
        <f t="shared" ref="Q15:T15" si="1">P15*(1+Q16)</f>
        <v>6866.6012776012794</v>
      </c>
      <c r="R15" s="145">
        <f t="shared" si="1"/>
        <v>7347.2633670333698</v>
      </c>
      <c r="S15" s="145">
        <f t="shared" si="1"/>
        <v>7861.5718027257062</v>
      </c>
      <c r="T15" s="145">
        <f t="shared" si="1"/>
        <v>8411.8818289165065</v>
      </c>
      <c r="U15" s="145">
        <f>(T15*(1+U16))/(I17-U16)</f>
        <v>158783.2310324999</v>
      </c>
    </row>
    <row r="16" spans="1:21" s="128" customFormat="1" ht="12">
      <c r="A16" s="130" t="s">
        <v>129</v>
      </c>
      <c r="B16" s="129" t="str">
        <f>IFERROR(B15/A15-1,"nm")</f>
        <v>nm</v>
      </c>
      <c r="C16" s="129">
        <f t="shared" ref="C16:I16" si="2">IFERROR(C15/B15-1,"nm")</f>
        <v>-0.66318234610917537</v>
      </c>
      <c r="D16" s="129">
        <f t="shared" si="2"/>
        <v>0.39999999999999991</v>
      </c>
      <c r="E16" s="129">
        <f t="shared" si="2"/>
        <v>-0.34852216748768472</v>
      </c>
      <c r="F16" s="129">
        <f t="shared" si="2"/>
        <v>0.92375551354757413</v>
      </c>
      <c r="G16" s="129">
        <f t="shared" si="2"/>
        <v>-0.81035047494267931</v>
      </c>
      <c r="H16" s="129">
        <f t="shared" si="2"/>
        <v>1.4214162348877375</v>
      </c>
      <c r="I16" s="129">
        <f t="shared" si="2"/>
        <v>1.810271041369472</v>
      </c>
      <c r="J16" s="129"/>
      <c r="K16" s="129">
        <f>IFERROR(K15/I15-1,"nm")</f>
        <v>0.19150269035532985</v>
      </c>
      <c r="L16" s="129">
        <f>IFERROR(L15/K15-1,"nm")</f>
        <v>0.39294938746248076</v>
      </c>
      <c r="M16" s="150">
        <f t="shared" ref="M16" si="3">IFERROR(M15/L15-1,"nm")</f>
        <v>-4.0926278310109421E-3</v>
      </c>
      <c r="N16" s="150">
        <f t="shared" ref="N16" si="4">IFERROR(N15/M15-1,"nm")</f>
        <v>-2.333302483319788E-2</v>
      </c>
      <c r="O16" s="150">
        <f t="shared" ref="O16" si="5">IFERROR(O15/N15-1,"nm")</f>
        <v>-5.7063952424400877E-2</v>
      </c>
      <c r="P16" s="150">
        <v>7.0000000000000007E-2</v>
      </c>
      <c r="Q16" s="150">
        <v>7.0000000000000007E-2</v>
      </c>
      <c r="R16" s="150">
        <v>7.0000000000000007E-2</v>
      </c>
      <c r="S16" s="150">
        <v>7.0000000000000007E-2</v>
      </c>
      <c r="T16" s="150">
        <v>7.0000000000000007E-2</v>
      </c>
      <c r="U16" s="150">
        <v>0.03</v>
      </c>
    </row>
    <row r="17" spans="1:21">
      <c r="A17" t="s">
        <v>238</v>
      </c>
      <c r="B17" s="136">
        <f>(B19*(1-B23))+(B22*B23)</f>
        <v>-2.6782489482083277E-3</v>
      </c>
      <c r="C17" s="136">
        <f t="shared" ref="C17:I17" si="6">(C19*(1-C23))+(C22*C23)</f>
        <v>5.454256433978133E-2</v>
      </c>
      <c r="D17" s="136">
        <f t="shared" si="6"/>
        <v>8.1586823781332668E-2</v>
      </c>
      <c r="E17" s="136">
        <f t="shared" si="6"/>
        <v>-2.0933215662650596E-2</v>
      </c>
      <c r="F17" s="136">
        <f t="shared" si="6"/>
        <v>0.15082910108765193</v>
      </c>
      <c r="G17" s="136">
        <f t="shared" si="6"/>
        <v>6.7562219804134918E-2</v>
      </c>
      <c r="H17" s="136">
        <f t="shared" si="6"/>
        <v>0.13899891393146976</v>
      </c>
      <c r="I17" s="148">
        <f t="shared" si="6"/>
        <v>8.4566456592702774E-2</v>
      </c>
      <c r="J17" s="148"/>
      <c r="K17" s="146"/>
      <c r="L17" s="88"/>
      <c r="M17" s="92"/>
      <c r="N17" s="92"/>
      <c r="O17" s="92"/>
      <c r="P17" s="92"/>
      <c r="Q17" s="1"/>
      <c r="R17" s="1"/>
      <c r="S17" s="1"/>
      <c r="T17" s="1"/>
      <c r="U17" s="1"/>
    </row>
    <row r="18" spans="1:21">
      <c r="A18" s="2" t="s">
        <v>239</v>
      </c>
      <c r="B18">
        <v>0.8</v>
      </c>
      <c r="C18">
        <v>0.62</v>
      </c>
      <c r="D18">
        <v>0.47</v>
      </c>
      <c r="E18">
        <v>0.64</v>
      </c>
      <c r="F18">
        <v>0.69</v>
      </c>
      <c r="G18">
        <v>0.84</v>
      </c>
      <c r="H18">
        <v>0.83</v>
      </c>
      <c r="I18">
        <v>0.92</v>
      </c>
      <c r="M18" s="1"/>
      <c r="N18" s="1"/>
      <c r="O18" s="1"/>
      <c r="P18" s="1"/>
      <c r="Q18" s="1"/>
      <c r="R18" s="1"/>
      <c r="S18" s="1"/>
      <c r="T18" s="1"/>
      <c r="U18" s="1"/>
    </row>
    <row r="19" spans="1:21" s="155" customFormat="1">
      <c r="A19" s="153" t="s">
        <v>240</v>
      </c>
      <c r="B19" s="154">
        <f>B20+B18*(B21-B20)</f>
        <v>-4.62E-3</v>
      </c>
      <c r="C19" s="154">
        <f t="shared" ref="C19:I19" si="7">C20+C18*(C21-C20)</f>
        <v>6.2226000000000004E-2</v>
      </c>
      <c r="D19" s="154">
        <f t="shared" si="7"/>
        <v>0.10028400000000001</v>
      </c>
      <c r="E19" s="154">
        <f t="shared" si="7"/>
        <v>-3.0791999999999993E-2</v>
      </c>
      <c r="F19" s="154">
        <f t="shared" si="7"/>
        <v>0.20407699999999995</v>
      </c>
      <c r="G19" s="154">
        <f t="shared" si="7"/>
        <v>0.13674399999999998</v>
      </c>
      <c r="H19" s="154">
        <f t="shared" si="7"/>
        <v>0.22383299999999995</v>
      </c>
      <c r="I19" s="154">
        <f t="shared" si="7"/>
        <v>0.121736</v>
      </c>
      <c r="J19" s="154" t="s">
        <v>258</v>
      </c>
      <c r="K19" s="157">
        <f>K15/(1+I17)</f>
        <v>4328.4766659190318</v>
      </c>
      <c r="L19" s="157">
        <f t="shared" ref="L19:T19" si="8">L15/(1+J17)</f>
        <v>6539.2295941999973</v>
      </c>
      <c r="M19" s="157">
        <f t="shared" si="8"/>
        <v>6512.4669611694044</v>
      </c>
      <c r="N19" s="157">
        <f t="shared" si="8"/>
        <v>6360.5114078390579</v>
      </c>
      <c r="O19" s="157">
        <f t="shared" si="8"/>
        <v>5997.5554874672707</v>
      </c>
      <c r="P19" s="157">
        <f t="shared" si="8"/>
        <v>6417.3843715899802</v>
      </c>
      <c r="Q19" s="157">
        <f t="shared" si="8"/>
        <v>6866.6012776012794</v>
      </c>
      <c r="R19" s="157">
        <f t="shared" si="8"/>
        <v>7347.2633670333698</v>
      </c>
      <c r="S19" s="157">
        <f t="shared" si="8"/>
        <v>7861.5718027257062</v>
      </c>
      <c r="T19" s="157">
        <f t="shared" si="8"/>
        <v>8411.8818289165065</v>
      </c>
      <c r="U19" s="157">
        <f>U15/(1+S17)</f>
        <v>158783.2310324999</v>
      </c>
    </row>
    <row r="20" spans="1:21">
      <c r="A20" s="2" t="s">
        <v>241</v>
      </c>
      <c r="B20" s="147">
        <v>6.1000000000000004E-3</v>
      </c>
      <c r="C20" s="147">
        <v>8.0999999999999996E-3</v>
      </c>
      <c r="D20" s="147">
        <v>1.7000000000000001E-2</v>
      </c>
      <c r="E20" s="147">
        <v>2.5399999999999999E-2</v>
      </c>
      <c r="F20" s="147">
        <v>1.55E-2</v>
      </c>
      <c r="G20" s="147">
        <v>1E-3</v>
      </c>
      <c r="H20" s="147">
        <v>3.8E-3</v>
      </c>
      <c r="I20" s="134">
        <v>4.5100000000000001E-2</v>
      </c>
      <c r="J20" s="134"/>
      <c r="K20" s="142"/>
      <c r="L20" s="134"/>
      <c r="M20" s="134"/>
      <c r="N20" s="134"/>
      <c r="O20" s="134"/>
      <c r="P20" s="134"/>
      <c r="Q20" s="134"/>
      <c r="R20" s="134"/>
      <c r="S20" s="134"/>
      <c r="T20" s="134"/>
      <c r="U20" s="134"/>
    </row>
    <row r="21" spans="1:21">
      <c r="A21" s="2" t="s">
        <v>242</v>
      </c>
      <c r="B21" s="147">
        <v>-7.3000000000000001E-3</v>
      </c>
      <c r="C21" s="147">
        <v>9.5399999999999999E-2</v>
      </c>
      <c r="D21" s="147">
        <v>0.19420000000000001</v>
      </c>
      <c r="E21" s="147">
        <v>-6.2399999999999997E-2</v>
      </c>
      <c r="F21" s="147">
        <v>0.2888</v>
      </c>
      <c r="G21" s="147">
        <v>0.16259999999999999</v>
      </c>
      <c r="H21" s="147">
        <v>0.26889999999999997</v>
      </c>
      <c r="I21" s="147">
        <v>0.12839999999999999</v>
      </c>
      <c r="J21" s="147"/>
      <c r="K21" s="142"/>
      <c r="L21" s="134"/>
      <c r="M21" s="134"/>
      <c r="N21" s="134"/>
      <c r="O21" s="134"/>
      <c r="P21" s="134"/>
      <c r="Q21" s="134"/>
      <c r="R21" s="134"/>
      <c r="S21" s="134"/>
      <c r="T21" s="134"/>
      <c r="U21" s="134"/>
    </row>
    <row r="22" spans="1:21">
      <c r="A22" s="2" t="s">
        <v>243</v>
      </c>
      <c r="B22" s="134">
        <f>('The Statements'!B10*(1-'The Statements'!B13))/'The Statements'!B36</f>
        <v>2.0189063948100092E-2</v>
      </c>
      <c r="C22" s="134">
        <f>('The Statements'!C10*(1-'The Statements'!C13))/'The Statements'!C36</f>
        <v>7.6850746268656714E-3</v>
      </c>
      <c r="D22" s="134">
        <f>('The Statements'!D10*(1-'The Statements'!D13))/'The Statements'!D36</f>
        <v>1.4754249495822528E-2</v>
      </c>
      <c r="E22" s="134">
        <f>('The Statements'!E10*(1-'The Statements'!E13))/'The Statements'!E36</f>
        <v>6.9602076124567471E-3</v>
      </c>
      <c r="F22" s="134">
        <f>('The Statements'!F10*(1-'The Statements'!F13))/'The Statements'!F36</f>
        <v>1.1868071593533487E-2</v>
      </c>
      <c r="G22" s="134">
        <f>('The Statements'!G10*(1-'The Statements'!G13))/'The Statements'!G36</f>
        <v>8.3171379970231763E-3</v>
      </c>
      <c r="H22" s="134">
        <f>('The Statements'!H10*(1-'The Statements'!H13))/'The Statements'!H36</f>
        <v>2.3937108254541591E-2</v>
      </c>
      <c r="I22" s="134">
        <f>('The Statements'!I10*(1-'The Statements'!I13))/'The Statements'!I36</f>
        <v>2.0890695067264573E-2</v>
      </c>
      <c r="J22" s="134"/>
      <c r="K22" s="142"/>
      <c r="L22" s="134"/>
      <c r="M22" s="134"/>
      <c r="N22" s="134"/>
      <c r="O22" s="134"/>
      <c r="P22" s="134"/>
      <c r="Q22" s="134"/>
      <c r="R22" s="134"/>
      <c r="S22" s="134"/>
      <c r="T22" s="134"/>
      <c r="U22" s="134"/>
    </row>
    <row r="23" spans="1:21">
      <c r="A23" s="2" t="s">
        <v>244</v>
      </c>
      <c r="B23" s="134">
        <f>B10</f>
        <v>7.826780792107936E-2</v>
      </c>
      <c r="C23" s="134">
        <f t="shared" ref="C23:I23" si="9">C10</f>
        <v>0.14087468460891506</v>
      </c>
      <c r="D23" s="134">
        <f t="shared" si="9"/>
        <v>0.21860435823151531</v>
      </c>
      <c r="E23" s="134">
        <f t="shared" si="9"/>
        <v>0.261144578313253</v>
      </c>
      <c r="F23" s="134">
        <f t="shared" si="9"/>
        <v>0.27703134996801021</v>
      </c>
      <c r="G23" s="134">
        <f t="shared" si="9"/>
        <v>0.53868621499341385</v>
      </c>
      <c r="H23" s="134">
        <f t="shared" si="9"/>
        <v>0.42439134355275021</v>
      </c>
      <c r="I23" s="134">
        <f t="shared" si="9"/>
        <v>0.36857981075162183</v>
      </c>
      <c r="J23" s="134"/>
      <c r="K23" s="142"/>
      <c r="L23" s="134"/>
      <c r="M23" s="134"/>
      <c r="N23" s="134"/>
      <c r="O23" s="134"/>
      <c r="P23" s="134"/>
      <c r="Q23" s="134"/>
      <c r="R23" s="134"/>
      <c r="S23" s="134"/>
      <c r="T23" s="134"/>
      <c r="U23" s="134"/>
    </row>
    <row r="24" spans="1:21">
      <c r="A24" t="s">
        <v>245</v>
      </c>
      <c r="K24" s="141"/>
      <c r="L24" s="3"/>
      <c r="M24" s="3"/>
      <c r="N24" s="3"/>
      <c r="O24" s="3"/>
    </row>
    <row r="25" spans="1:21" ht="15.75" thickBot="1">
      <c r="K25" s="141"/>
      <c r="L25" s="3"/>
      <c r="M25" s="3"/>
      <c r="N25" s="3"/>
      <c r="O25" s="3"/>
    </row>
    <row r="26" spans="1:21">
      <c r="A26" s="137" t="s">
        <v>246</v>
      </c>
      <c r="B26" s="143">
        <f>'The Statements'!B54</f>
        <v>5166</v>
      </c>
      <c r="C26" t="s">
        <v>257</v>
      </c>
      <c r="K26" s="141"/>
      <c r="L26" s="3"/>
      <c r="M26" s="3"/>
      <c r="N26" s="3"/>
      <c r="O26" s="3"/>
    </row>
    <row r="27" spans="1:21">
      <c r="A27" s="138" t="s">
        <v>247</v>
      </c>
      <c r="B27" s="144">
        <f>(B26*(1+C16))/(B20-C16)</f>
        <v>2599.7996363050129</v>
      </c>
      <c r="C27" s="100"/>
      <c r="D27" s="100"/>
      <c r="E27" s="100"/>
      <c r="F27" s="100"/>
      <c r="G27" s="100"/>
      <c r="H27" s="100"/>
      <c r="I27" s="100"/>
      <c r="J27" s="100"/>
      <c r="K27" s="141"/>
      <c r="L27" s="3"/>
      <c r="M27" s="3"/>
      <c r="N27" s="3"/>
      <c r="O27" s="3"/>
    </row>
    <row r="28" spans="1:21">
      <c r="A28" s="138" t="s">
        <v>248</v>
      </c>
      <c r="B28" s="144">
        <f>B26+B27</f>
        <v>7765.7996363050133</v>
      </c>
      <c r="C28" s="100"/>
      <c r="D28" s="100"/>
      <c r="E28" s="100"/>
      <c r="F28" s="100"/>
      <c r="G28" s="100"/>
      <c r="H28" s="100"/>
      <c r="I28" s="100"/>
      <c r="J28" s="100"/>
    </row>
    <row r="29" spans="1:21">
      <c r="A29" s="138" t="s">
        <v>249</v>
      </c>
      <c r="B29" s="144">
        <f>'The Statements'!B36-'The Statements'!B6</f>
        <v>473</v>
      </c>
    </row>
    <row r="30" spans="1:21">
      <c r="A30" s="138" t="s">
        <v>250</v>
      </c>
      <c r="B30" s="144">
        <f>'The Statements'!B31-('The Statements'!B43-'The Statements'!B39)</f>
        <v>12707</v>
      </c>
    </row>
    <row r="31" spans="1:21" ht="15.75" thickBot="1">
      <c r="A31" s="139" t="s">
        <v>251</v>
      </c>
      <c r="B31" s="140">
        <f>B30/1769</f>
        <v>7.1831543244771057</v>
      </c>
      <c r="C31" s="136"/>
      <c r="D31" s="136"/>
      <c r="E31" s="136"/>
      <c r="F31" s="136"/>
      <c r="G31" s="136"/>
      <c r="H31" s="136"/>
      <c r="I31" s="136"/>
      <c r="J31" s="1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E13" sqref="E13"/>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2023-11-27T17:28:12Z</dcterms:modified>
</cp:coreProperties>
</file>