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6" l="1"/>
  <c r="L66" i="3"/>
  <c r="M66" i="3"/>
  <c r="N66" i="3"/>
  <c r="K66" i="3"/>
  <c r="L35" i="3"/>
  <c r="M35" i="3"/>
  <c r="N35" i="3"/>
  <c r="K35" i="3"/>
  <c r="B29" i="10" l="1"/>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H8" i="6" s="1"/>
  <c r="N139" i="3"/>
  <c r="I6" i="3"/>
  <c r="I11" i="3"/>
  <c r="I192" i="3" s="1"/>
  <c r="I7" i="6"/>
  <c r="I8" i="6" s="1"/>
  <c r="G8" i="6"/>
  <c r="F9" i="6"/>
  <c r="F192" i="3"/>
  <c r="F46" i="6"/>
  <c r="F49" i="6" s="1"/>
  <c r="F54" i="6" s="1"/>
  <c r="B7" i="6"/>
  <c r="H10" i="3"/>
  <c r="H3" i="6"/>
  <c r="D53" i="6"/>
  <c r="D59" i="6" s="1"/>
  <c r="D15" i="3"/>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6" i="3"/>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7" i="3"/>
  <c r="J45"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K48" i="3" l="1"/>
  <c r="K49" i="3"/>
  <c r="I15" i="10"/>
  <c r="I8" i="10"/>
  <c r="E15" i="10"/>
  <c r="F16" i="10" s="1"/>
  <c r="E8" i="10"/>
  <c r="D15" i="10"/>
  <c r="D8" i="10"/>
  <c r="G15" i="10"/>
  <c r="G16" i="10" s="1"/>
  <c r="G8" i="10"/>
  <c r="B15" i="10"/>
  <c r="B16" i="10" s="1"/>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M15" i="10" s="1"/>
  <c r="M19" i="10" s="1"/>
  <c r="L13" i="3"/>
  <c r="M11" i="3"/>
  <c r="M12" i="3" s="1"/>
  <c r="M6" i="6"/>
  <c r="M47" i="6"/>
  <c r="K49" i="6"/>
  <c r="N192" i="3"/>
  <c r="N6" i="3"/>
  <c r="N7" i="3"/>
  <c r="N15" i="3"/>
  <c r="N16" i="3"/>
  <c r="N8" i="3"/>
  <c r="N198" i="3"/>
  <c r="M10" i="3"/>
  <c r="M9" i="3"/>
  <c r="M46" i="6" l="1"/>
  <c r="M7" i="6"/>
  <c r="L15" i="10"/>
  <c r="L19" i="10" s="1"/>
  <c r="K56" i="6"/>
  <c r="L56" i="6"/>
  <c r="N11" i="3"/>
  <c r="N12" i="3" s="1"/>
  <c r="N6" i="6"/>
  <c r="N47" i="6"/>
  <c r="M13" i="3"/>
  <c r="M49" i="6"/>
  <c r="M54" i="6" s="1"/>
  <c r="N15" i="10" s="1"/>
  <c r="N19" i="10" s="1"/>
  <c r="N9" i="3"/>
  <c r="N10" i="3"/>
  <c r="N7" i="6" l="1"/>
  <c r="N46" i="6"/>
  <c r="N49" i="6" s="1"/>
  <c r="N54" i="6" s="1"/>
  <c r="O15" i="10" s="1"/>
  <c r="N13" i="3"/>
  <c r="M56" i="6"/>
  <c r="J39" i="3"/>
  <c r="K39" i="3"/>
  <c r="J40" i="3"/>
  <c r="J8" i="3"/>
  <c r="P15" i="10" l="1"/>
  <c r="O19" i="10"/>
  <c r="M16" i="10"/>
  <c r="N56" i="6"/>
  <c r="K9" i="3"/>
  <c r="J6" i="6"/>
  <c r="J47" i="6"/>
  <c r="J11" i="3"/>
  <c r="J9" i="3"/>
  <c r="J10" i="3"/>
  <c r="Q15" i="10" l="1"/>
  <c r="P19" i="10"/>
  <c r="N16" i="10"/>
  <c r="J26" i="6"/>
  <c r="K26" i="6" s="1"/>
  <c r="L26" i="6" s="1"/>
  <c r="M26" i="6" s="1"/>
  <c r="N26" i="6" s="1"/>
  <c r="J46" i="6"/>
  <c r="J7" i="6"/>
  <c r="J12" i="3"/>
  <c r="K12" i="3"/>
  <c r="J13" i="3"/>
  <c r="R15" i="10" l="1"/>
  <c r="Q19" i="10"/>
  <c r="O16" i="10"/>
  <c r="J49" i="6"/>
  <c r="S15" i="10" l="1"/>
  <c r="R19" i="10"/>
  <c r="J54" i="6"/>
  <c r="K15" i="10" s="1"/>
  <c r="K19" i="10" s="1"/>
  <c r="J56" i="6"/>
  <c r="T15" i="10" l="1"/>
  <c r="S19" i="10"/>
  <c r="K16" i="10"/>
  <c r="L16" i="10"/>
  <c r="K65" i="6"/>
  <c r="U15" i="10" l="1"/>
  <c r="U19" i="10" s="1"/>
  <c r="B27" i="10" s="1"/>
  <c r="T19" i="10"/>
  <c r="B26" i="10" s="1"/>
  <c r="L65" i="6"/>
  <c r="N65" i="6"/>
  <c r="M65" i="6"/>
  <c r="B28" i="10" l="1"/>
  <c r="B30" i="10" s="1"/>
  <c r="B31" i="10" s="1"/>
  <c r="J50" i="6"/>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<sst xmlns="http://schemas.openxmlformats.org/spreadsheetml/2006/main" count="587" uniqueCount="264">
  <si>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</si>
  <si>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</si>
  <si>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</si>
  <si>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</si>
  <si>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</si>
  <si>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</si>
  <si>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</si>
  <si>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</si>
  <si>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</si>
  <si>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</si>
  <si>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</si>
  <si>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</si>
  <si>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</si>
  <si>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</si>
  <si>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</si>
  <si>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</si>
  <si>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</si>
  <si>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</si>
  <si>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</si>
  <si>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</si>
  <si>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</si>
  <si>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</si>
  <si>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</si>
  <si>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</si>
  <si>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</si>
  <si>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</si>
  <si>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</si>
  <si>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</si>
  <si>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</si>
  <si>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</si>
  <si>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</si>
  <si>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</si>
  <si>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</si>
  <si>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</si>
  <si>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</si>
  <si>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</si>
  <si>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</si>
  <si>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</si>
  <si>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</si>
  <si>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</si>
  <si>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</si>
  <si>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</si>
  <si>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</si>
  <si>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</si>
  <si>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</si>
  <si>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</si>
  <si>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</si>
  <si>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</si>
  <si>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</si>
  <si>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</si>
  <si>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</si>
  <si>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</si>
  <si>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</si>
  <si>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</si>
  <si>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</si>
  <si>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</si>
  <si>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</si>
  <si>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</si>
  <si>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</si>
  <si>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</si>
  <si>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</si>
  <si>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</si>
  <si>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</si>
  <si>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</si>
  <si>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</si>
  <si>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</si>
  <si>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</si>
  <si>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</si>
  <si>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</si>
  <si>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</si>
  <si>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</si>
  <si>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</si>
  <si>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</si>
  <si>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</si>
  <si>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</si>
  <si>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</si>
  <si>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</si>
  <si>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</si>
  <si>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</si>
  <si>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</si>
  <si>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</si>
  <si>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</si>
  <si>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</si>
  <si>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</si>
  <si>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</si>
  <si>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</si>
  <si>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</si>
  <si>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</si>
  <si>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</si>
  <si>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</si>
  <si>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</si>
  <si>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</si>
  <si>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</si>
  <si>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</si>
  <si>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</si>
  <si>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</si>
  <si>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</si>
  <si>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</si>
  <si>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</si>
  <si>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</si>
  <si>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</si>
  <si>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</si>
  <si>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</si>
  <si>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</si>
  <si>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</si>
  <si>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</si>
  <si>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</si>
  <si>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</si>
  <si>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</si>
  <si>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</si>
  <si>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</si>
  <si>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</si>
  <si>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</si>
  <si>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</si>
  <si>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</si>
  <si>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</si>
  <si>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</si>
  <si>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</si>
  <si>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</si>
  <si>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</si>
  <si>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</si>
  <si>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</si>
  <si>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</si>
  <si>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</si>
  <si>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</si>
  <si>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</si>
  <si>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</si>
  <si>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</si>
  <si>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</si>
  <si>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</si>
  <si>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</si>
  <si>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</si>
  <si>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</si>
  <si>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</si>
  <si>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</si>
  <si>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</si>
  <si>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</si>
  <si>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</si>
  <si>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</si>
  <si>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</si>
  <si>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</si>
  <si>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</si>
  <si>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</si>
  <si>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</si>
  <si>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</si>
  <si>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</si>
  <si>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</si>
  <si>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</si>
  <si>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</si>
  <si>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</si>
  <si>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</si>
  <si>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</si>
  <si>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</si>
  <si>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</si>
  <si>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</si>
  <si>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</si>
  <si>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</si>
  <si>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</si>
  <si>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</si>
  <si>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</si>
  <si>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</si>
  <si>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</si>
  <si>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</si>
  <si>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</si>
  <si>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</si>
  <si>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</si>
  <si>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</si>
  <si>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</si>
  <si>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</si>
  <si>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</si>
  <si>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</si>
  <si>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</si>
  <si>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</si>
  <si>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</si>
  <si>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</si>
  <si>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</si>
  <si>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</si>
  <si>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</si>
  <si>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</si>
  <si>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</si>
  <si>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</si>
  <si>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</si>
  <si>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</si>
  <si>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</si>
  <si>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</si>
  <si>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</si>
  <si>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</si>
  <si>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</si>
  <si>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</si>
  <si>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</si>
  <si>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</si>
  <si>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</si>
  <si>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</si>
  <si>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</si>
  <si>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</si>
  <si>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</si>
  <si>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</si>
  <si>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</si>
  <si>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</si>
  <si>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</si>
  <si>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</si>
  <si>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</si>
  <si>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</si>
  <si>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</si>
  <si>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</si>
  <si>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</si>
  <si>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</si>
  <si>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</si>
  <si>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</si>
  <si>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</si>
  <si>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</si>
  <si>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</si>
  <si>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</si>
  <si>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</si>
  <si>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</si>
  <si>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</si>
  <si>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</si>
  <si>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</si>
  <si>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</si>
  <si>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</si>
  <si>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</si>
  <si>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</si>
  <si>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</si>
  <si>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</si>
  <si>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</si>
  <si>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</si>
  <si>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</si>
  <si>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</si>
  <si>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</si>
  <si>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</si>
  <si>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</si>
  <si>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</si>
  <si>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</si>
  <si>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</si>
  <si>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</si>
  <si>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</si>
  <si>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</si>
  <si>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</si>
  <si>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</si>
  <si>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</si>
  <si>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</si>
  <si>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</si>
  <si>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</si>
  <si>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</si>
  <si>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</si>
  <si>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</si>
  <si>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</si>
  <si>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</si>
  <si>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</si>
  <si>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</si>
  <si>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</si>
  <si>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</si>
  <si>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</si>
  <si>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</si>
  <si>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</si>
  <si>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</si>
  <si>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</si>
  <si>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Now calculate PV for each of the FCFF numbers from 2023 - Terminal year using the WACC calculated in year 2022</t>
  </si>
  <si>
    <t>Feedback</t>
  </si>
  <si>
    <t>Link sum of K 19 to T 19 here</t>
  </si>
  <si>
    <t>Link U 19 here</t>
  </si>
  <si>
    <t>Link Three statements sheet Cell I36 here</t>
  </si>
  <si>
    <t xml:space="preserve">Value of firm - BV of debt </t>
  </si>
  <si>
    <t>Value of equity/share count in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</si>
</sst>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7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6" xfId="0" applyBorder="1"/>
    <xf numFmtId="165" fontId="0" fillId="0" borderId="0" xfId="1" applyNumberFormat="1" applyFont="1" applyBorder="1"/>
    <xf numFmtId="166" fontId="0" fillId="0" borderId="0" xfId="2" applyNumberFormat="1" applyFont="1" applyFill="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9" fontId="0" fillId="0" borderId="0" xfId="2" applyFont="1"/>
    <xf numFmtId="165" fontId="0" fillId="14" borderId="0" xfId="1" applyNumberFormat="1" applyFont="1" applyFill="1"/>
    <xf numFmtId="165" fontId="2" fillId="10" borderId="0" xfId="1" applyNumberFormat="1" applyFont="1" applyFill="1"/>
    <xf numFmtId="0" fontId="0" fillId="10" borderId="0" xfId="0" applyFill="1"/>
    <xf numFmtId="0" fontId="0" fillId="14" borderId="0" xfId="0" applyFill="1"/>
    <xf numFmtId="0" fontId="0" fillId="0" borderId="5" xfId="0" applyFill="1" applyBorder="1"/>
    <xf numFmtId="165" fontId="0" fillId="0" borderId="8" xfId="1" applyNumberFormat="1" applyFont="1" applyFill="1" applyBorder="1"/>
    <xf numFmtId="0" fontId="0" fillId="0" borderId="0" xfId="0" applyFill="1"/>
    <xf numFmtId="0" fontId="0" fillId="0" borderId="6" xfId="0" applyFill="1" applyBorder="1"/>
    <xf numFmtId="165" fontId="0" fillId="0" borderId="9" xfId="1" applyNumberFormat="1" applyFont="1" applyFill="1" applyBorder="1"/>
    <xf numFmtId="1" fontId="0" fillId="0" borderId="0" xfId="0" applyNumberFormat="1" applyFill="1"/>
    <xf numFmtId="0" fontId="0" fillId="0" borderId="7" xfId="0" applyFill="1" applyBorder="1"/>
    <xf numFmtId="2" fontId="0" fillId="0" borderId="10" xfId="0" applyNumberFormat="1" applyFill="1" applyBorder="1"/>
    <xf numFmtId="2" fontId="0" fillId="0" borderId="0" xfId="0" applyNumberFormat="1" applyFill="1"/>
    <xf numFmtId="165" fontId="2" fillId="14" borderId="0" xfId="1" applyNumberFormat="1" applyFont="1" applyFill="1"/>
    <xf numFmtId="165" fontId="2" fillId="14" borderId="0" xfId="0" applyNumberFormat="1" applyFont="1" applyFill="1"/>
    <xf numFmtId="169" fontId="2" fillId="14" borderId="0" xfId="0" applyNumberFormat="1" applyFont="1" applyFill="1"/>
    <xf numFmtId="0" fontId="0" fillId="0" borderId="0" xfId="0" applyFill="1" applyAlignment="1">
      <alignment horizontal="left" indent="1"/>
    </xf>
    <xf numFmtId="1" fontId="0" fillId="0" borderId="0" xfId="2" applyNumberFormat="1" applyFont="1" applyFill="1" applyBorder="1"/>
    <xf numFmtId="10" fontId="13" fillId="0" borderId="0" xfId="2" applyNumberFormat="1" applyFont="1" applyFill="1" applyBorder="1" applyAlignment="1">
      <alignment horizontal="left"/>
    </xf>
    <xf numFmtId="10" fontId="19" fillId="0" borderId="0" xfId="1" applyNumberFormat="1" applyFont="1" applyFill="1" applyBorder="1" applyAlignment="1">
      <alignment horizontal="right"/>
    </xf>
    <xf numFmtId="0" fontId="19" fillId="0" borderId="0" xfId="0" applyFont="1" applyFill="1"/>
    <xf numFmtId="165" fontId="13" fillId="14" borderId="0" xfId="1" applyNumberFormat="1" applyFont="1" applyFill="1" applyAlignment="1">
      <alignment horizontal="left"/>
    </xf>
    <xf numFmtId="166" fontId="13" fillId="14" borderId="0" xfId="2" applyNumberFormat="1" applyFont="1" applyFill="1" applyAlignment="1">
      <alignment horizontal="right"/>
    </xf>
    <xf numFmtId="166" fontId="17" fillId="14" borderId="0" xfId="2" applyNumberFormat="1" applyFont="1" applyFill="1"/>
    <xf numFmtId="170" fontId="0" fillId="14" borderId="0" xfId="1" applyNumberFormat="1" applyFont="1" applyFill="1"/>
    <xf numFmtId="165" fontId="0" fillId="10" borderId="0" xfId="1" applyNumberFormat="1" applyFont="1" applyFill="1"/>
    <xf numFmtId="165" fontId="0" fillId="10" borderId="0" xfId="0" applyNumberFormat="1" applyFill="1"/>
    <xf numFmtId="0" fontId="2" fillId="14" borderId="0" xfId="0" applyFont="1" applyFill="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workbookViewId="0">
      <selection activeCell="J62" sqref="J62"/>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12746.700186</v>
      </c>
      <c r="L5" s="64">
        <f t="shared" si="10"/>
        <v>13163.505416352005</v>
      </c>
      <c r="M5" s="64">
        <f t="shared" si="10"/>
        <v>13613.289257961565</v>
      </c>
      <c r="N5" s="64">
        <f t="shared" si="10"/>
        <v>14098.850435220553</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0.61811942680131859</v>
      </c>
      <c r="L6" s="43">
        <f t="shared" si="12"/>
        <v>3.2699069113572898E-2</v>
      </c>
      <c r="M6" s="43">
        <f t="shared" si="12"/>
        <v>3.4169001902094376E-2</v>
      </c>
      <c r="N6" s="43">
        <f t="shared" si="12"/>
        <v>3.5668174535776753E-2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0.23292483529741453</v>
      </c>
      <c r="L7" s="43">
        <f t="shared" si="14"/>
        <v>0.2187656195806946</v>
      </c>
      <c r="M7" s="43">
        <f t="shared" si="14"/>
        <v>0.20469673565919058</v>
      </c>
      <c r="N7" s="43">
        <f t="shared" si="14"/>
        <v>0.19073984154816512</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11967.498362</v>
      </c>
      <c r="L11" s="64">
        <f t="shared" si="20"/>
        <v>12301.916525784005</v>
      </c>
      <c r="M11" s="64">
        <f t="shared" si="20"/>
        <v>12607.02116673319</v>
      </c>
      <c r="N11" s="64">
        <f t="shared" si="20"/>
        <v>12845.259024290259</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0.67566821078795813</v>
      </c>
      <c r="L12" s="43">
        <f t="shared" si="22"/>
        <v>2.7943865431882653E-2</v>
      </c>
      <c r="M12" s="43">
        <f t="shared" si="22"/>
        <v>2.4801390930405454E-2</v>
      </c>
      <c r="N12" s="43">
        <f t="shared" si="22"/>
        <v>1.8897236262735984E-2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0.21868621244834291</v>
      </c>
      <c r="L13" s="43">
        <f t="shared" si="24"/>
        <v>0.20444678720988779</v>
      </c>
      <c r="M13" s="43">
        <f t="shared" si="24"/>
        <v>0.1895659476792034</v>
      </c>
      <c r="N13" s="43">
        <f t="shared" si="24"/>
        <v>0.17378031508282571</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s="145" customFormat="1">
      <c r="A35" s="155" t="s">
        <v>130</v>
      </c>
      <c r="B35" s="156">
        <f t="shared" ref="B35:H35" si="98">+B42+B38</f>
        <v>3766</v>
      </c>
      <c r="C35" s="156">
        <f t="shared" si="98"/>
        <v>3896</v>
      </c>
      <c r="D35" s="156">
        <f t="shared" si="98"/>
        <v>4015</v>
      </c>
      <c r="E35" s="156">
        <f t="shared" si="98"/>
        <v>3760</v>
      </c>
      <c r="F35" s="156">
        <f t="shared" si="98"/>
        <v>4074</v>
      </c>
      <c r="G35" s="156">
        <f t="shared" si="98"/>
        <v>3047</v>
      </c>
      <c r="H35" s="156">
        <f t="shared" si="98"/>
        <v>5219</v>
      </c>
      <c r="I35" s="156">
        <f>+I42+I38</f>
        <v>5238</v>
      </c>
      <c r="J35" s="156">
        <f>I35-(0.06*I35)</f>
        <v>4923.72</v>
      </c>
      <c r="K35" s="156">
        <f>0.3*K21</f>
        <v>6070.254750000001</v>
      </c>
      <c r="L35" s="156">
        <f t="shared" ref="L35:N35" si="99">0.3*L21</f>
        <v>6373.7674875000002</v>
      </c>
      <c r="M35" s="156">
        <f t="shared" si="99"/>
        <v>6692.4558618750007</v>
      </c>
      <c r="N35" s="156">
        <f t="shared" si="99"/>
        <v>7027.0786549687518</v>
      </c>
    </row>
    <row r="36" spans="1:15">
      <c r="A36" s="42" t="s">
        <v>129</v>
      </c>
      <c r="B36" s="43" t="str">
        <f t="shared" ref="B36" si="100">+IFERROR(B35/A35-1,"nm")</f>
        <v>nm</v>
      </c>
      <c r="C36" s="43">
        <f t="shared" ref="C36" si="101">+IFERROR(C35/B35-1,"nm")</f>
        <v>3.4519383961763239E-2</v>
      </c>
      <c r="D36" s="43">
        <f t="shared" ref="D36" si="102">+IFERROR(D35/C35-1,"nm")</f>
        <v>3.0544147843942548E-2</v>
      </c>
      <c r="E36" s="43">
        <f t="shared" ref="E36" si="103">+IFERROR(E35/D35-1,"nm")</f>
        <v>-6.3511830635118338E-2</v>
      </c>
      <c r="F36" s="43">
        <f t="shared" ref="F36" si="104">+IFERROR(F35/E35-1,"nm")</f>
        <v>8.3510638297872308E-2</v>
      </c>
      <c r="G36" s="43">
        <f t="shared" ref="G36" si="105">+IFERROR(G35/F35-1,"nm")</f>
        <v>-0.25208640157093765</v>
      </c>
      <c r="H36" s="43">
        <f t="shared" ref="H36" si="106">+IFERROR(H35/G35-1,"nm")</f>
        <v>0.71283229405973092</v>
      </c>
      <c r="I36" s="43">
        <f>+IFERROR(I35/H35-1,"nm")</f>
        <v>3.6405441655489312E-3</v>
      </c>
      <c r="J36" s="43">
        <f t="shared" ref="J36:L36" si="107">+IFERROR(J35/I35-1,"nm")</f>
        <v>-5.9999999999999942E-2</v>
      </c>
      <c r="K36" s="43">
        <f t="shared" si="107"/>
        <v>0.23285945382759388</v>
      </c>
      <c r="L36" s="43">
        <f t="shared" si="107"/>
        <v>4.9999999999999822E-2</v>
      </c>
      <c r="M36" s="43">
        <f t="shared" ref="M36" si="108">+IFERROR(M35/L35-1,"nm")</f>
        <v>5.0000000000000044E-2</v>
      </c>
      <c r="N36" s="43">
        <f t="shared" ref="N36" si="109">+IFERROR(N35/M35-1,"nm")</f>
        <v>5.0000000000000266E-2</v>
      </c>
    </row>
    <row r="37" spans="1:15">
      <c r="A37" s="50" t="s">
        <v>131</v>
      </c>
      <c r="B37" s="51">
        <f t="shared" ref="B37:H37" si="110">+IFERROR(B35/B$21,"nm")</f>
        <v>0.27409024745269289</v>
      </c>
      <c r="C37" s="51">
        <f t="shared" si="110"/>
        <v>0.26388512598211866</v>
      </c>
      <c r="D37" s="51">
        <f t="shared" si="110"/>
        <v>0.26386698212407994</v>
      </c>
      <c r="E37" s="51">
        <f t="shared" si="110"/>
        <v>0.25311342982160889</v>
      </c>
      <c r="F37" s="51">
        <f t="shared" si="110"/>
        <v>0.25619418941013711</v>
      </c>
      <c r="G37" s="51">
        <f t="shared" si="110"/>
        <v>0.2103700635183651</v>
      </c>
      <c r="H37" s="51">
        <f t="shared" si="110"/>
        <v>0.30380115256999823</v>
      </c>
      <c r="I37" s="51">
        <f>+IFERROR(I35/I$21,"nm")</f>
        <v>0.28540293140086087</v>
      </c>
      <c r="J37" s="103">
        <v>0.28000000000000003</v>
      </c>
      <c r="K37" s="103">
        <f t="shared" ref="K37:N37" si="111">+J37</f>
        <v>0.28000000000000003</v>
      </c>
      <c r="L37" s="103">
        <f t="shared" si="111"/>
        <v>0.28000000000000003</v>
      </c>
      <c r="M37" s="103">
        <f t="shared" si="111"/>
        <v>0.28000000000000003</v>
      </c>
      <c r="N37" s="103">
        <f t="shared" si="111"/>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2">J38-(0.06*J38)</f>
        <v>109.5664</v>
      </c>
      <c r="L38" s="44">
        <f t="shared" si="112"/>
        <v>102.99241600000001</v>
      </c>
      <c r="M38" s="44">
        <f t="shared" si="112"/>
        <v>96.812871040000005</v>
      </c>
      <c r="N38" s="44">
        <f t="shared" si="112"/>
        <v>91.004098777600007</v>
      </c>
    </row>
    <row r="39" spans="1:15">
      <c r="A39" s="42" t="s">
        <v>129</v>
      </c>
      <c r="B39" s="43" t="str">
        <f t="shared" ref="B39" si="113">+IFERROR(B38/A38-1,"nm")</f>
        <v>nm</v>
      </c>
      <c r="C39" s="43">
        <f t="shared" ref="C39" si="114">+IFERROR(C38/B38-1,"nm")</f>
        <v>9.9173553719008156E-2</v>
      </c>
      <c r="D39" s="43">
        <f t="shared" ref="D39" si="115">+IFERROR(D38/C38-1,"nm")</f>
        <v>5.2631578947368363E-2</v>
      </c>
      <c r="E39" s="43">
        <f t="shared" ref="E39" si="116">+IFERROR(E38/D38-1,"nm")</f>
        <v>0.14285714285714279</v>
      </c>
      <c r="F39" s="43">
        <f t="shared" ref="F39" si="117">+IFERROR(F38/E38-1,"nm")</f>
        <v>-6.8749999999999978E-2</v>
      </c>
      <c r="G39" s="43">
        <f t="shared" ref="G39" si="118">+IFERROR(G38/F38-1,"nm")</f>
        <v>-6.7114093959731447E-3</v>
      </c>
      <c r="H39" s="43">
        <f t="shared" ref="H39" si="119">+IFERROR(H38/G38-1,"nm")</f>
        <v>-0.1216216216216216</v>
      </c>
      <c r="I39" s="43">
        <f>+IFERROR(I38/H38-1,"nm")</f>
        <v>-4.6153846153846101E-2</v>
      </c>
      <c r="J39" s="43">
        <f t="shared" ref="J39" si="120">+IFERROR(J38/I38-1,"nm")</f>
        <v>-5.9999999999999942E-2</v>
      </c>
      <c r="K39" s="43">
        <f t="shared" ref="K39" si="121">+IFERROR(K38/J38-1,"nm")</f>
        <v>-6.0000000000000053E-2</v>
      </c>
      <c r="L39" s="43">
        <f t="shared" ref="L39" si="122">+IFERROR(L38/K38-1,"nm")</f>
        <v>-5.9999999999999942E-2</v>
      </c>
      <c r="M39" s="43">
        <f t="shared" ref="M39" si="123">+IFERROR(M38/L38-1,"nm")</f>
        <v>-6.0000000000000053E-2</v>
      </c>
      <c r="N39" s="43">
        <f t="shared" ref="N39" si="124">+IFERROR(N38/M38-1,"nm")</f>
        <v>-5.9999999999999942E-2</v>
      </c>
    </row>
    <row r="40" spans="1:15">
      <c r="A40" s="42" t="s">
        <v>133</v>
      </c>
      <c r="B40" s="43">
        <f t="shared" ref="B40:H40" si="125">+IFERROR(B38/B$21,"nm")</f>
        <v>8.8064046579330417E-3</v>
      </c>
      <c r="C40" s="43">
        <f t="shared" si="125"/>
        <v>9.0083988079111346E-3</v>
      </c>
      <c r="D40" s="43">
        <f t="shared" si="125"/>
        <v>9.2008412197686646E-3</v>
      </c>
      <c r="E40" s="43">
        <f t="shared" si="125"/>
        <v>1.0770784247728038E-2</v>
      </c>
      <c r="F40" s="43">
        <f t="shared" si="125"/>
        <v>9.3698905798012821E-3</v>
      </c>
      <c r="G40" s="43">
        <f t="shared" si="125"/>
        <v>1.0218171775752554E-2</v>
      </c>
      <c r="H40" s="43">
        <f t="shared" si="125"/>
        <v>7.5673787764130628E-3</v>
      </c>
      <c r="I40" s="43">
        <f>+IFERROR(I38/I$21,"nm")</f>
        <v>6.7563886013185855E-3</v>
      </c>
      <c r="J40" s="43">
        <f t="shared" ref="J40:N40" si="126">+IFERROR(J38/J$21,"nm")</f>
        <v>6.0485764621328285E-3</v>
      </c>
      <c r="K40" s="43">
        <f t="shared" si="126"/>
        <v>5.4149160708617701E-3</v>
      </c>
      <c r="L40" s="43">
        <f t="shared" si="126"/>
        <v>4.8476391491524429E-3</v>
      </c>
      <c r="M40" s="43">
        <f t="shared" si="126"/>
        <v>4.3397912382888522E-3</v>
      </c>
      <c r="N40" s="43">
        <f t="shared" si="126"/>
        <v>3.8851464418966871E-3</v>
      </c>
    </row>
    <row r="41" spans="1:15">
      <c r="A41" s="42" t="s">
        <v>140</v>
      </c>
      <c r="B41" s="43">
        <f t="shared" ref="B41:H41" si="127">+IFERROR(B38/B48,"nm")</f>
        <v>0.19145569620253164</v>
      </c>
      <c r="C41" s="43">
        <f t="shared" si="127"/>
        <v>0.17924528301886791</v>
      </c>
      <c r="D41" s="43">
        <f t="shared" si="127"/>
        <v>0.17094017094017094</v>
      </c>
      <c r="E41" s="43">
        <f t="shared" si="127"/>
        <v>0.18867924528301888</v>
      </c>
      <c r="F41" s="43">
        <f t="shared" si="127"/>
        <v>0.18304668304668303</v>
      </c>
      <c r="G41" s="43">
        <f t="shared" si="127"/>
        <v>0.22945736434108527</v>
      </c>
      <c r="H41" s="43">
        <f t="shared" si="127"/>
        <v>0.21069692058346839</v>
      </c>
      <c r="I41" s="43">
        <f>+IFERROR(I38/I48,"nm")</f>
        <v>0.19405320813771518</v>
      </c>
      <c r="J41" s="45">
        <f>+I41</f>
        <v>0.19405320813771518</v>
      </c>
      <c r="K41" s="45">
        <f t="shared" ref="K41:N41" si="128">+J41</f>
        <v>0.19405320813771518</v>
      </c>
      <c r="L41" s="45">
        <f t="shared" si="128"/>
        <v>0.19405320813771518</v>
      </c>
      <c r="M41" s="45">
        <f t="shared" si="128"/>
        <v>0.19405320813771518</v>
      </c>
      <c r="N41" s="45">
        <f t="shared" si="128"/>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29">K35-K38</f>
        <v>5960.6883500000013</v>
      </c>
      <c r="L42" s="9">
        <f t="shared" si="129"/>
        <v>6270.7750715000002</v>
      </c>
      <c r="M42" s="9">
        <f t="shared" si="129"/>
        <v>6595.642990835001</v>
      </c>
      <c r="N42" s="9">
        <f t="shared" si="129"/>
        <v>6936.0745561911517</v>
      </c>
    </row>
    <row r="43" spans="1:15">
      <c r="A43" s="50" t="s">
        <v>129</v>
      </c>
      <c r="B43" s="51" t="str">
        <f t="shared" ref="B43" si="130">+IFERROR(B42/A42-1,"nm")</f>
        <v>nm</v>
      </c>
      <c r="C43" s="51">
        <f t="shared" ref="C43" si="131">+IFERROR(C42/B42-1,"nm")</f>
        <v>3.2373113854595292E-2</v>
      </c>
      <c r="D43" s="51">
        <f t="shared" ref="D43" si="132">+IFERROR(D42/C42-1,"nm")</f>
        <v>2.9763486579856391E-2</v>
      </c>
      <c r="E43" s="51">
        <f t="shared" ref="E43" si="133">+IFERROR(E42/D42-1,"nm")</f>
        <v>-7.096774193548383E-2</v>
      </c>
      <c r="F43" s="51">
        <f t="shared" ref="F43" si="134">+IFERROR(F42/E42-1,"nm")</f>
        <v>9.0277777777777679E-2</v>
      </c>
      <c r="G43" s="51">
        <f t="shared" ref="G43" si="135">+IFERROR(G42/F42-1,"nm")</f>
        <v>-0.26140127388535028</v>
      </c>
      <c r="H43" s="51">
        <f t="shared" ref="H43" si="136">+IFERROR(H42/G42-1,"nm")</f>
        <v>0.75543290789927564</v>
      </c>
      <c r="I43" s="51">
        <f>+IFERROR(I42/H42-1,"nm")</f>
        <v>4.9125564943997002E-3</v>
      </c>
      <c r="J43" s="51">
        <f t="shared" ref="J43:N43" si="137">+IFERROR(J42/I42-1,"nm")</f>
        <v>-6.0000000000000053E-2</v>
      </c>
      <c r="K43" s="51">
        <f t="shared" si="137"/>
        <v>0.23996046522270986</v>
      </c>
      <c r="L43" s="51">
        <f t="shared" si="137"/>
        <v>5.2021965130923054E-2</v>
      </c>
      <c r="M43" s="51">
        <f t="shared" si="137"/>
        <v>5.1806661159238709E-2</v>
      </c>
      <c r="N43" s="51">
        <f t="shared" si="137"/>
        <v>5.1614613742617443E-2</v>
      </c>
      <c r="O43" t="s">
        <v>205</v>
      </c>
    </row>
    <row r="44" spans="1:15">
      <c r="A44" s="42" t="s">
        <v>131</v>
      </c>
      <c r="B44" s="43">
        <f t="shared" ref="B44:H44" si="138">+IFERROR(B42/B$21,"nm")</f>
        <v>0.26528384279475981</v>
      </c>
      <c r="C44" s="43">
        <f t="shared" si="138"/>
        <v>0.25487672717420751</v>
      </c>
      <c r="D44" s="43">
        <f t="shared" si="138"/>
        <v>0.25466614090431128</v>
      </c>
      <c r="E44" s="43">
        <f t="shared" si="138"/>
        <v>0.24234264557388085</v>
      </c>
      <c r="F44" s="43">
        <f t="shared" si="138"/>
        <v>0.2468242988303358</v>
      </c>
      <c r="G44" s="43">
        <f t="shared" si="138"/>
        <v>0.20015189174261253</v>
      </c>
      <c r="H44" s="43">
        <f t="shared" si="138"/>
        <v>0.29623377379358518</v>
      </c>
      <c r="I44" s="43">
        <f>+IFERROR(I42/I$21,"nm")</f>
        <v>0.27864654279954232</v>
      </c>
      <c r="J44" s="43">
        <f t="shared" ref="J44:N44" si="139">+IFERROR(J42/J$21,"nm")</f>
        <v>0.24945500022054262</v>
      </c>
      <c r="K44" s="43">
        <f t="shared" si="139"/>
        <v>0.29458508392913824</v>
      </c>
      <c r="L44" s="43">
        <f t="shared" si="139"/>
        <v>0.29515236085084756</v>
      </c>
      <c r="M44" s="43">
        <f t="shared" si="139"/>
        <v>0.29566020876171112</v>
      </c>
      <c r="N44" s="43">
        <f t="shared" si="139"/>
        <v>0.2961148535581033</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0">+K21*K47</f>
        <v>160.96500000000003</v>
      </c>
      <c r="L45" s="44">
        <f t="shared" si="140"/>
        <v>169.01325000000003</v>
      </c>
      <c r="M45" s="44">
        <f t="shared" si="140"/>
        <v>177.46391250000005</v>
      </c>
      <c r="N45" s="44">
        <f t="shared" si="140"/>
        <v>186.33710812500007</v>
      </c>
    </row>
    <row r="46" spans="1:15">
      <c r="A46" s="42" t="s">
        <v>129</v>
      </c>
      <c r="B46" s="43" t="str">
        <f t="shared" ref="B46" si="141">+IFERROR(B45/A45-1,"nm")</f>
        <v>nm</v>
      </c>
      <c r="C46" s="43">
        <f t="shared" ref="C46" si="142">+IFERROR(C45/B45-1,"nm")</f>
        <v>0.16346153846153855</v>
      </c>
      <c r="D46" s="43">
        <f t="shared" ref="D46" si="143">+IFERROR(D45/C45-1,"nm")</f>
        <v>-7.8512396694214837E-2</v>
      </c>
      <c r="E46" s="43">
        <f t="shared" ref="E46" si="144">+IFERROR(E45/D45-1,"nm")</f>
        <v>-0.12107623318385652</v>
      </c>
      <c r="F46" s="43">
        <f t="shared" ref="F46" si="145">+IFERROR(F45/E45-1,"nm")</f>
        <v>-0.40306122448979587</v>
      </c>
      <c r="G46" s="43">
        <f t="shared" ref="G46" si="146">+IFERROR(G45/F45-1,"nm")</f>
        <v>-5.9829059829059839E-2</v>
      </c>
      <c r="H46" s="43">
        <f t="shared" ref="H46" si="147">+IFERROR(H45/G45-1,"nm")</f>
        <v>-0.10909090909090913</v>
      </c>
      <c r="I46" s="43">
        <f>+IFERROR(I45/H45-1,"nm")</f>
        <v>0.48979591836734704</v>
      </c>
      <c r="J46" s="43">
        <f t="shared" ref="J46" si="148">+IFERROR(J45/I45-1,"nm")</f>
        <v>5.0000000000000266E-2</v>
      </c>
      <c r="K46" s="43">
        <f t="shared" ref="K46" si="149">+IFERROR(K45/J45-1,"nm")</f>
        <v>5.0000000000000044E-2</v>
      </c>
      <c r="L46" s="43">
        <f t="shared" ref="L46" si="150">+IFERROR(L45/K45-1,"nm")</f>
        <v>5.0000000000000044E-2</v>
      </c>
      <c r="M46" s="43">
        <f t="shared" ref="M46" si="151">+IFERROR(M45/L45-1,"nm")</f>
        <v>5.0000000000000044E-2</v>
      </c>
      <c r="N46" s="43">
        <f t="shared" ref="N46" si="152">+IFERROR(N45/M45-1,"nm")</f>
        <v>5.0000000000000044E-2</v>
      </c>
    </row>
    <row r="47" spans="1:15">
      <c r="A47" s="42" t="s">
        <v>133</v>
      </c>
      <c r="B47" s="43">
        <f t="shared" ref="B47:H47" si="153">+IFERROR(B45/B$21,"nm")</f>
        <v>1.5138282387190683E-2</v>
      </c>
      <c r="C47" s="43">
        <f t="shared" si="153"/>
        <v>1.6391221891086428E-2</v>
      </c>
      <c r="D47" s="43">
        <f t="shared" si="153"/>
        <v>1.4655625657202945E-2</v>
      </c>
      <c r="E47" s="43">
        <f t="shared" si="153"/>
        <v>1.3194210703466847E-2</v>
      </c>
      <c r="F47" s="43">
        <f t="shared" si="153"/>
        <v>7.3575650861526856E-3</v>
      </c>
      <c r="G47" s="43">
        <f t="shared" si="153"/>
        <v>7.5945871306268989E-3</v>
      </c>
      <c r="H47" s="43">
        <f t="shared" si="153"/>
        <v>5.7046393852960009E-3</v>
      </c>
      <c r="I47" s="43">
        <f>+IFERROR(I45/I$21,"nm")</f>
        <v>7.9551027080041418E-3</v>
      </c>
      <c r="J47" s="45">
        <f>+I47</f>
        <v>7.9551027080041418E-3</v>
      </c>
      <c r="K47" s="45">
        <f t="shared" ref="K47:N47" si="154">+J47</f>
        <v>7.9551027080041418E-3</v>
      </c>
      <c r="L47" s="45">
        <f t="shared" si="154"/>
        <v>7.9551027080041418E-3</v>
      </c>
      <c r="M47" s="45">
        <f t="shared" si="154"/>
        <v>7.9551027080041418E-3</v>
      </c>
      <c r="N47" s="45">
        <f t="shared" si="154"/>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5">+K21*K50</f>
        <v>704.49750000000017</v>
      </c>
      <c r="L48" s="44">
        <f t="shared" si="155"/>
        <v>739.72237500000006</v>
      </c>
      <c r="M48" s="44">
        <f t="shared" si="155"/>
        <v>776.70849375000023</v>
      </c>
      <c r="N48" s="44">
        <f t="shared" si="155"/>
        <v>815.54391843750022</v>
      </c>
    </row>
    <row r="49" spans="1:15">
      <c r="A49" s="42" t="s">
        <v>129</v>
      </c>
      <c r="B49" s="43" t="str">
        <f t="shared" ref="B49" si="156">+IFERROR(B48/A48-1,"nm")</f>
        <v>nm</v>
      </c>
      <c r="C49" s="43">
        <f t="shared" ref="C49" si="157">+IFERROR(C48/B48-1,"nm")</f>
        <v>0.17405063291139244</v>
      </c>
      <c r="D49" s="43">
        <f t="shared" ref="D49" si="158">+IFERROR(D48/C48-1,"nm")</f>
        <v>0.10377358490566047</v>
      </c>
      <c r="E49" s="43">
        <f t="shared" ref="E49" si="159">+IFERROR(E48/D48-1,"nm")</f>
        <v>3.5409035409035505E-2</v>
      </c>
      <c r="F49" s="43">
        <f t="shared" ref="F49" si="160">+IFERROR(F48/E48-1,"nm")</f>
        <v>-4.0094339622641528E-2</v>
      </c>
      <c r="G49" s="43">
        <f t="shared" ref="G49" si="161">+IFERROR(G48/F48-1,"nm")</f>
        <v>-0.20761670761670759</v>
      </c>
      <c r="H49" s="43">
        <f t="shared" ref="H49" si="162">+IFERROR(H48/G48-1,"nm")</f>
        <v>-4.3410852713178349E-2</v>
      </c>
      <c r="I49" s="43">
        <f>+IFERROR(I48/H48-1,"nm")</f>
        <v>3.5656401944894611E-2</v>
      </c>
      <c r="J49" s="43">
        <f>+J50+J165</f>
        <v>3.4817196098730456E-2</v>
      </c>
      <c r="K49" s="43">
        <f t="shared" ref="K49" si="163">+K50+K165</f>
        <v>3.4817196098730456E-2</v>
      </c>
      <c r="L49" s="43">
        <f t="shared" ref="L49" si="164">+L50+L165</f>
        <v>3.4817196098730456E-2</v>
      </c>
      <c r="M49" s="43">
        <f t="shared" ref="M49" si="165">+M50+M165</f>
        <v>3.4817196098730456E-2</v>
      </c>
      <c r="N49" s="43">
        <f t="shared" ref="N49" si="166">+N50+N165</f>
        <v>3.4817196098730456E-2</v>
      </c>
    </row>
    <row r="50" spans="1:15">
      <c r="A50" s="42" t="s">
        <v>133</v>
      </c>
      <c r="B50" s="43">
        <f t="shared" ref="B50:H50" si="167">+IFERROR(B48/B$21,"nm")</f>
        <v>4.599708879184862E-2</v>
      </c>
      <c r="C50" s="43">
        <f t="shared" si="167"/>
        <v>5.0257382823083174E-2</v>
      </c>
      <c r="D50" s="43">
        <f t="shared" si="167"/>
        <v>5.3824921135646686E-2</v>
      </c>
      <c r="E50" s="43">
        <f t="shared" si="167"/>
        <v>5.7085156512958597E-2</v>
      </c>
      <c r="F50" s="43">
        <f t="shared" si="167"/>
        <v>5.1188529744686205E-2</v>
      </c>
      <c r="G50" s="43">
        <f t="shared" si="167"/>
        <v>4.4531897265948632E-2</v>
      </c>
      <c r="H50" s="43">
        <f t="shared" si="167"/>
        <v>3.5915943884975841E-2</v>
      </c>
      <c r="I50" s="43">
        <f>+IFERROR(I48/I$21,"nm")</f>
        <v>3.4817196098730456E-2</v>
      </c>
      <c r="J50" s="45">
        <f>+I50</f>
        <v>3.4817196098730456E-2</v>
      </c>
      <c r="K50" s="45">
        <f t="shared" ref="K50:N50" si="168">+J50</f>
        <v>3.4817196098730456E-2</v>
      </c>
      <c r="L50" s="45">
        <f t="shared" si="168"/>
        <v>3.4817196098730456E-2</v>
      </c>
      <c r="M50" s="45">
        <f t="shared" si="168"/>
        <v>3.4817196098730456E-2</v>
      </c>
      <c r="N50" s="45">
        <f t="shared" si="168"/>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69">+SUM(J54+J58+J62)</f>
        <v>13352.53</v>
      </c>
      <c r="L52" s="44">
        <f t="shared" si="169"/>
        <v>14287.207100000001</v>
      </c>
      <c r="M52" s="44">
        <f t="shared" si="169"/>
        <v>15287.311597000004</v>
      </c>
      <c r="N52" s="44">
        <f t="shared" si="169"/>
        <v>16357.423408790004</v>
      </c>
    </row>
    <row r="53" spans="1:15">
      <c r="A53" s="40" t="s">
        <v>129</v>
      </c>
      <c r="B53" s="43" t="str">
        <f t="shared" ref="B53:H53" si="170">+IFERROR(B52/A52-1,"nm")</f>
        <v>nm</v>
      </c>
      <c r="C53" s="43">
        <f t="shared" si="170"/>
        <v>2.6522593320235766E-2</v>
      </c>
      <c r="D53" s="43">
        <f t="shared" si="170"/>
        <v>8.9542036910458034E-2</v>
      </c>
      <c r="E53" s="43">
        <f t="shared" si="170"/>
        <v>0.15959849435382689</v>
      </c>
      <c r="F53" s="43">
        <f t="shared" si="170"/>
        <v>6.1674962129409261E-2</v>
      </c>
      <c r="G53" s="43">
        <f t="shared" si="170"/>
        <v>-4.7390949857317621E-2</v>
      </c>
      <c r="H53" s="43">
        <f t="shared" si="170"/>
        <v>0.22563389322777372</v>
      </c>
      <c r="I53" s="43">
        <f>+IFERROR(I52/H52-1,"nm")</f>
        <v>8.9298184357541999E-2</v>
      </c>
      <c r="J53" s="43">
        <f t="shared" ref="J53:N53" si="171">+IFERROR(J52/I52-1,"nm")</f>
        <v>0</v>
      </c>
      <c r="K53" s="43">
        <f t="shared" si="171"/>
        <v>7.0000000000000062E-2</v>
      </c>
      <c r="L53" s="43">
        <f t="shared" si="171"/>
        <v>7.0000000000000062E-2</v>
      </c>
      <c r="M53" s="43">
        <f t="shared" si="171"/>
        <v>7.0000000000000062E-2</v>
      </c>
      <c r="N53" s="43">
        <f t="shared" si="171"/>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2">J54*(1+K55)</f>
        <v>8458.521200000001</v>
      </c>
      <c r="L54" s="100">
        <f t="shared" si="172"/>
        <v>9050.6176840000007</v>
      </c>
      <c r="M54" s="100">
        <f t="shared" si="172"/>
        <v>9684.1609218800022</v>
      </c>
      <c r="N54" s="100">
        <f t="shared" si="172"/>
        <v>10362.052186411604</v>
      </c>
    </row>
    <row r="55" spans="1:15">
      <c r="A55" s="40" t="s">
        <v>129</v>
      </c>
      <c r="B55" s="43" t="str">
        <f t="shared" ref="B55:H55" si="173">+IFERROR(B54/A54-1,"nm")</f>
        <v>nm</v>
      </c>
      <c r="C55" s="43">
        <f t="shared" si="173"/>
        <v>3.4871358707208255E-2</v>
      </c>
      <c r="D55" s="43">
        <f t="shared" si="173"/>
        <v>6.6776248202177868E-2</v>
      </c>
      <c r="E55" s="43">
        <f t="shared" si="173"/>
        <v>0.1315485362095532</v>
      </c>
      <c r="F55" s="43">
        <f t="shared" si="173"/>
        <v>7.1148936170212673E-2</v>
      </c>
      <c r="G55" s="43">
        <f t="shared" si="173"/>
        <v>-6.3721595423486432E-2</v>
      </c>
      <c r="H55" s="43">
        <f t="shared" si="173"/>
        <v>0.18295994568907004</v>
      </c>
      <c r="I55" s="43">
        <f>+IFERROR(I54/H54-1,"nm")</f>
        <v>5.9971305595408975E-2</v>
      </c>
      <c r="J55" s="74">
        <f>J57+J56</f>
        <v>7.0000000000000007E-2</v>
      </c>
      <c r="K55" s="74">
        <f t="shared" ref="K55:N55" si="174">K57+K56</f>
        <v>7.0000000000000007E-2</v>
      </c>
      <c r="L55" s="74">
        <f t="shared" si="174"/>
        <v>7.0000000000000007E-2</v>
      </c>
      <c r="M55" s="74">
        <f t="shared" si="174"/>
        <v>7.0000000000000007E-2</v>
      </c>
      <c r="N55" s="74">
        <f t="shared" si="174"/>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5">+IFERROR(B55-B56,"nm")</f>
        <v>nm</v>
      </c>
      <c r="C57" s="43">
        <f t="shared" si="175"/>
        <v>-0.33512864129279174</v>
      </c>
      <c r="D57" s="43">
        <f t="shared" si="175"/>
        <v>-9.3223751797822135E-2</v>
      </c>
      <c r="E57" s="43">
        <f t="shared" si="175"/>
        <v>7.1548536209553204E-2</v>
      </c>
      <c r="F57" s="43">
        <f t="shared" si="175"/>
        <v>-4.8851063829787322E-2</v>
      </c>
      <c r="G57" s="43">
        <f t="shared" si="175"/>
        <v>-3.3721595423486433E-2</v>
      </c>
      <c r="H57" s="43">
        <f t="shared" si="175"/>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6">J58*(1+K59)</f>
        <v>5182.9623000000011</v>
      </c>
      <c r="L58" s="100">
        <f t="shared" si="176"/>
        <v>5545.7696610000012</v>
      </c>
      <c r="M58" s="100">
        <f t="shared" si="176"/>
        <v>5933.9735372700015</v>
      </c>
      <c r="N58" s="100">
        <f t="shared" si="176"/>
        <v>6349.3516848789022</v>
      </c>
    </row>
    <row r="59" spans="1:15">
      <c r="A59" s="40" t="s">
        <v>129</v>
      </c>
      <c r="B59" s="43" t="str">
        <f t="shared" ref="B59:H59" si="177">+IFERROR(B58/A58-1,"nm")</f>
        <v>nm</v>
      </c>
      <c r="C59" s="43">
        <f t="shared" si="177"/>
        <v>1.9502681618722484E-2</v>
      </c>
      <c r="D59" s="43">
        <f t="shared" si="177"/>
        <v>0.14538498326159721</v>
      </c>
      <c r="E59" s="43">
        <f t="shared" si="177"/>
        <v>0.22755741127348639</v>
      </c>
      <c r="F59" s="43">
        <f t="shared" si="177"/>
        <v>5.0000000000000044E-2</v>
      </c>
      <c r="G59" s="43">
        <f t="shared" si="177"/>
        <v>-1.1013929381276322E-2</v>
      </c>
      <c r="H59" s="43">
        <f t="shared" si="177"/>
        <v>0.30887651490337364</v>
      </c>
      <c r="I59" s="43">
        <f>+IFERROR(I58/H58-1,"nm")</f>
        <v>0.13288288288288297</v>
      </c>
      <c r="J59" s="74">
        <f>J60+J61</f>
        <v>7.0000000000000007E-2</v>
      </c>
      <c r="K59" s="74">
        <f t="shared" ref="K59:N59" si="178">K60+K61</f>
        <v>7.0000000000000007E-2</v>
      </c>
      <c r="L59" s="74">
        <f t="shared" si="178"/>
        <v>7.0000000000000007E-2</v>
      </c>
      <c r="M59" s="74">
        <f t="shared" si="178"/>
        <v>7.0000000000000007E-2</v>
      </c>
      <c r="N59" s="74">
        <f t="shared" si="178"/>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79">+IFERROR(B59-B60,"nm")</f>
        <v>nm</v>
      </c>
      <c r="C61" s="43">
        <f t="shared" si="179"/>
        <v>-0.23049731838127752</v>
      </c>
      <c r="D61" s="43">
        <f t="shared" si="179"/>
        <v>-0.10461501673840279</v>
      </c>
      <c r="E61" s="43">
        <f t="shared" si="179"/>
        <v>6.7557411273486384E-2</v>
      </c>
      <c r="F61" s="43">
        <f t="shared" si="179"/>
        <v>-3.9999999999999952E-2</v>
      </c>
      <c r="G61" s="43">
        <f t="shared" si="179"/>
        <v>-3.1013929381276322E-2</v>
      </c>
      <c r="H61" s="43">
        <f t="shared" si="179"/>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0">J62*(1+K63)</f>
        <v>645.72360000000003</v>
      </c>
      <c r="L62" s="100">
        <f t="shared" si="180"/>
        <v>690.92425200000002</v>
      </c>
      <c r="M62" s="100">
        <f t="shared" si="180"/>
        <v>739.28894964000006</v>
      </c>
      <c r="N62" s="100">
        <f t="shared" si="180"/>
        <v>791.03917611480006</v>
      </c>
    </row>
    <row r="63" spans="1:15">
      <c r="A63" s="40" t="s">
        <v>129</v>
      </c>
      <c r="B63" s="43" t="str">
        <f t="shared" ref="B63:H63" si="181">+IFERROR(B62/A62-1,"nm")</f>
        <v>nm</v>
      </c>
      <c r="C63" s="43">
        <f t="shared" si="181"/>
        <v>-4.0322580645161255E-2</v>
      </c>
      <c r="D63" s="43">
        <f t="shared" si="181"/>
        <v>7.2829131652661028E-2</v>
      </c>
      <c r="E63" s="43">
        <f t="shared" si="181"/>
        <v>0.11488250652741505</v>
      </c>
      <c r="F63" s="43">
        <f t="shared" si="181"/>
        <v>1.1709601873536313E-2</v>
      </c>
      <c r="G63" s="43">
        <f t="shared" si="181"/>
        <v>-6.944444444444442E-2</v>
      </c>
      <c r="H63" s="43">
        <f t="shared" si="181"/>
        <v>0.21890547263681581</v>
      </c>
      <c r="I63" s="43">
        <f>+IFERROR(I62/H62-1,"nm")</f>
        <v>0.15102040816326534</v>
      </c>
      <c r="J63" s="74">
        <f>J64+J65</f>
        <v>7.0000000000000007E-2</v>
      </c>
      <c r="K63" s="74">
        <f t="shared" ref="K63:N63" si="182">K64+K65</f>
        <v>7.0000000000000007E-2</v>
      </c>
      <c r="L63" s="74">
        <f t="shared" si="182"/>
        <v>7.0000000000000007E-2</v>
      </c>
      <c r="M63" s="74">
        <f t="shared" si="182"/>
        <v>7.0000000000000007E-2</v>
      </c>
      <c r="N63" s="74">
        <f t="shared" si="182"/>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3">+IFERROR(B63-B64,"nm")</f>
        <v>nm</v>
      </c>
      <c r="C65" s="43">
        <f t="shared" si="183"/>
        <v>-0.19032258064516125</v>
      </c>
      <c r="D65" s="43">
        <f t="shared" si="183"/>
        <v>-5.7170868347338977E-2</v>
      </c>
      <c r="E65" s="43">
        <f t="shared" si="183"/>
        <v>5.4882506527415054E-2</v>
      </c>
      <c r="F65" s="43">
        <f t="shared" si="183"/>
        <v>-3.829039812646369E-2</v>
      </c>
      <c r="G65" s="43">
        <f t="shared" si="183"/>
        <v>-3.9444444444444421E-2</v>
      </c>
      <c r="H65" s="43">
        <f t="shared" si="183"/>
        <v>2.890547263681581E-2</v>
      </c>
      <c r="I65" s="43">
        <f>+IFERROR(I63-I64,"nm")</f>
        <v>-1.8979591836734672E-2</v>
      </c>
      <c r="J65" s="27">
        <v>0</v>
      </c>
      <c r="K65" s="27">
        <v>0</v>
      </c>
      <c r="L65" s="27">
        <v>0</v>
      </c>
      <c r="M65" s="27">
        <v>0</v>
      </c>
      <c r="N65" s="27">
        <v>0</v>
      </c>
    </row>
    <row r="66" spans="1:15" s="145" customFormat="1">
      <c r="A66" s="155" t="s">
        <v>130</v>
      </c>
      <c r="B66" s="156">
        <f t="shared" ref="B66:H66" si="184">+B73+B69</f>
        <v>1611</v>
      </c>
      <c r="C66" s="156">
        <f t="shared" si="184"/>
        <v>1872</v>
      </c>
      <c r="D66" s="156">
        <f t="shared" si="184"/>
        <v>1613</v>
      </c>
      <c r="E66" s="156">
        <f t="shared" si="184"/>
        <v>1703</v>
      </c>
      <c r="F66" s="156">
        <f t="shared" si="184"/>
        <v>2106</v>
      </c>
      <c r="G66" s="156">
        <f t="shared" si="184"/>
        <v>1673</v>
      </c>
      <c r="H66" s="156">
        <f t="shared" si="184"/>
        <v>2571</v>
      </c>
      <c r="I66" s="156">
        <f>+I73+I69</f>
        <v>3427</v>
      </c>
      <c r="J66" s="157">
        <f>I66-(0.13*I66)</f>
        <v>2981.49</v>
      </c>
      <c r="K66" s="157">
        <f>0.3*K52</f>
        <v>4005.759</v>
      </c>
      <c r="L66" s="157">
        <f t="shared" ref="L66:N66" si="185">0.3*L52</f>
        <v>4286.1621300000006</v>
      </c>
      <c r="M66" s="157">
        <f t="shared" si="185"/>
        <v>4586.1934791000012</v>
      </c>
      <c r="N66" s="157">
        <f t="shared" si="185"/>
        <v>4907.227022637001</v>
      </c>
    </row>
    <row r="67" spans="1:15">
      <c r="A67" s="42" t="s">
        <v>129</v>
      </c>
      <c r="B67" s="43" t="str">
        <f t="shared" ref="B67:H67" si="186">+IFERROR(B66/A66-1,"nm")</f>
        <v>nm</v>
      </c>
      <c r="C67" s="43">
        <f t="shared" si="186"/>
        <v>0.16201117318435765</v>
      </c>
      <c r="D67" s="43">
        <f t="shared" si="186"/>
        <v>-0.13835470085470081</v>
      </c>
      <c r="E67" s="43">
        <f t="shared" si="186"/>
        <v>5.5796652200867936E-2</v>
      </c>
      <c r="F67" s="43">
        <f t="shared" si="186"/>
        <v>0.23664122137404586</v>
      </c>
      <c r="G67" s="43">
        <f t="shared" si="186"/>
        <v>-0.20560303893637222</v>
      </c>
      <c r="H67" s="43">
        <f t="shared" si="186"/>
        <v>0.53676031081888831</v>
      </c>
      <c r="I67" s="43">
        <f>+IFERROR(I66/H66-1,"nm")</f>
        <v>0.33294437961882539</v>
      </c>
      <c r="J67" s="43">
        <f t="shared" ref="J67:N67" si="187">+IFERROR(J66/I66-1,"nm")</f>
        <v>-0.13000000000000012</v>
      </c>
      <c r="K67" s="43">
        <f t="shared" si="187"/>
        <v>0.34354265820110097</v>
      </c>
      <c r="L67" s="43">
        <f t="shared" si="187"/>
        <v>7.0000000000000062E-2</v>
      </c>
      <c r="M67" s="43">
        <f t="shared" si="187"/>
        <v>7.0000000000000062E-2</v>
      </c>
      <c r="N67" s="43">
        <f t="shared" si="187"/>
        <v>6.999999999999984E-2</v>
      </c>
    </row>
    <row r="68" spans="1:15">
      <c r="A68" s="42" t="s">
        <v>131</v>
      </c>
      <c r="B68" s="43">
        <f>+IFERROR(B66/B$52,"nm")</f>
        <v>0.22607353353915241</v>
      </c>
      <c r="C68" s="43">
        <f t="shared" ref="C68:I68" si="188">+IFERROR(C66/C$52,"nm")</f>
        <v>0.25591250854408748</v>
      </c>
      <c r="D68" s="43">
        <f t="shared" si="188"/>
        <v>0.20238393977415309</v>
      </c>
      <c r="E68" s="43">
        <f t="shared" si="188"/>
        <v>0.18426747457260334</v>
      </c>
      <c r="F68" s="43">
        <f t="shared" si="188"/>
        <v>0.21463514064410924</v>
      </c>
      <c r="G68" s="43">
        <f t="shared" si="188"/>
        <v>0.17898791055953783</v>
      </c>
      <c r="H68" s="43">
        <f t="shared" si="188"/>
        <v>0.22442388268156424</v>
      </c>
      <c r="I68" s="43">
        <f t="shared" si="188"/>
        <v>0.27462136389133746</v>
      </c>
      <c r="J68" s="74">
        <f>I68</f>
        <v>0.27462136389133746</v>
      </c>
      <c r="K68" s="74">
        <f t="shared" ref="K68:N68" si="189">J68</f>
        <v>0.27462136389133746</v>
      </c>
      <c r="L68" s="74">
        <f t="shared" si="189"/>
        <v>0.27462136389133746</v>
      </c>
      <c r="M68" s="74">
        <f t="shared" si="189"/>
        <v>0.27462136389133746</v>
      </c>
      <c r="N68" s="74">
        <f t="shared" si="189"/>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0">J69-(0.13*J69)</f>
        <v>101.4246</v>
      </c>
      <c r="L69" s="104">
        <f t="shared" si="190"/>
        <v>88.239401999999998</v>
      </c>
      <c r="M69" s="104">
        <f t="shared" si="190"/>
        <v>76.768279739999997</v>
      </c>
      <c r="N69" s="104">
        <f t="shared" si="190"/>
        <v>66.788403373799994</v>
      </c>
    </row>
    <row r="70" spans="1:15">
      <c r="A70" s="42" t="s">
        <v>129</v>
      </c>
      <c r="B70" s="43" t="str">
        <f t="shared" ref="B70:H70" si="191">+IFERROR(B69/A69-1,"nm")</f>
        <v>nm</v>
      </c>
      <c r="C70" s="43">
        <f t="shared" si="191"/>
        <v>-2.2988505747126409E-2</v>
      </c>
      <c r="D70" s="43">
        <f t="shared" si="191"/>
        <v>0.24705882352941178</v>
      </c>
      <c r="E70" s="43">
        <f t="shared" si="191"/>
        <v>9.4339622641509413E-2</v>
      </c>
      <c r="F70" s="43">
        <f t="shared" si="191"/>
        <v>-4.31034482758621E-2</v>
      </c>
      <c r="G70" s="43">
        <f t="shared" si="191"/>
        <v>0.18918918918918926</v>
      </c>
      <c r="H70" s="43">
        <f t="shared" si="191"/>
        <v>3.0303030303030276E-2</v>
      </c>
      <c r="I70" s="43">
        <f>+IFERROR(I69/H69-1,"nm")</f>
        <v>-1.4705882352941124E-2</v>
      </c>
      <c r="J70" s="43">
        <f t="shared" ref="J70:N70" si="192">+IFERROR(J69/I69-1,"nm")</f>
        <v>-0.13</v>
      </c>
      <c r="K70" s="43">
        <f t="shared" si="192"/>
        <v>-0.13</v>
      </c>
      <c r="L70" s="43">
        <f t="shared" si="192"/>
        <v>-0.13</v>
      </c>
      <c r="M70" s="43">
        <f t="shared" si="192"/>
        <v>-0.13</v>
      </c>
      <c r="N70" s="43">
        <f t="shared" si="192"/>
        <v>-0.13</v>
      </c>
    </row>
    <row r="71" spans="1:15">
      <c r="A71" s="42" t="s">
        <v>133</v>
      </c>
      <c r="B71" s="43">
        <f>+IFERROR(B69/B$45,"nm")</f>
        <v>0.41826923076923078</v>
      </c>
      <c r="C71" s="43">
        <f t="shared" ref="C71:I71" si="193">+IFERROR(C69/C$45,"nm")</f>
        <v>0.3512396694214876</v>
      </c>
      <c r="D71" s="43">
        <f t="shared" si="193"/>
        <v>0.47533632286995514</v>
      </c>
      <c r="E71" s="43">
        <f t="shared" si="193"/>
        <v>0.59183673469387754</v>
      </c>
      <c r="F71" s="43">
        <f t="shared" si="193"/>
        <v>0.94871794871794868</v>
      </c>
      <c r="G71" s="43">
        <f t="shared" si="193"/>
        <v>1.2</v>
      </c>
      <c r="H71" s="43">
        <f t="shared" si="193"/>
        <v>1.3877551020408163</v>
      </c>
      <c r="I71" s="43">
        <f t="shared" si="193"/>
        <v>0.9178082191780822</v>
      </c>
      <c r="J71" s="74">
        <f>I71</f>
        <v>0.9178082191780822</v>
      </c>
      <c r="K71" s="74">
        <f t="shared" ref="K71:N71" si="194">J71</f>
        <v>0.9178082191780822</v>
      </c>
      <c r="L71" s="74">
        <f t="shared" si="194"/>
        <v>0.9178082191780822</v>
      </c>
      <c r="M71" s="74">
        <f t="shared" si="194"/>
        <v>0.9178082191780822</v>
      </c>
      <c r="N71" s="74">
        <f t="shared" si="194"/>
        <v>0.9178082191780822</v>
      </c>
    </row>
    <row r="72" spans="1:15">
      <c r="A72" s="42" t="s">
        <v>140</v>
      </c>
      <c r="B72" s="43">
        <f>IFERROR(B69/B79,"nm")</f>
        <v>0.1746987951807229</v>
      </c>
      <c r="C72" s="43">
        <f t="shared" ref="C72:I72" si="195">IFERROR(C69/C79,"nm")</f>
        <v>0.13302034428794993</v>
      </c>
      <c r="D72" s="43">
        <f t="shared" si="195"/>
        <v>0.14950634696755993</v>
      </c>
      <c r="E72" s="43">
        <f t="shared" si="195"/>
        <v>0.13663133097762073</v>
      </c>
      <c r="F72" s="43">
        <f t="shared" si="195"/>
        <v>0.11948331539289558</v>
      </c>
      <c r="G72" s="43">
        <f t="shared" si="195"/>
        <v>0.14915254237288136</v>
      </c>
      <c r="H72" s="43">
        <f t="shared" si="195"/>
        <v>0.1384928716904277</v>
      </c>
      <c r="I72" s="43">
        <f t="shared" si="195"/>
        <v>0.14565217391304347</v>
      </c>
      <c r="J72" s="74">
        <f>I72</f>
        <v>0.14565217391304347</v>
      </c>
      <c r="K72" s="74">
        <f t="shared" ref="K72:N72" si="196">J72</f>
        <v>0.14565217391304347</v>
      </c>
      <c r="L72" s="74">
        <f t="shared" si="196"/>
        <v>0.14565217391304347</v>
      </c>
      <c r="M72" s="74">
        <f t="shared" si="196"/>
        <v>0.14565217391304347</v>
      </c>
      <c r="N72" s="74">
        <f t="shared" si="196"/>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7">K66-K69</f>
        <v>3904.3344000000002</v>
      </c>
      <c r="L73" s="75">
        <f t="shared" si="197"/>
        <v>4197.9227280000005</v>
      </c>
      <c r="M73" s="75">
        <f t="shared" si="197"/>
        <v>4509.425199360001</v>
      </c>
      <c r="N73" s="75">
        <f t="shared" si="197"/>
        <v>4840.438619263201</v>
      </c>
      <c r="O73" t="s">
        <v>206</v>
      </c>
    </row>
    <row r="74" spans="1:15">
      <c r="A74" s="42" t="s">
        <v>129</v>
      </c>
      <c r="B74" s="43" t="str">
        <f t="shared" ref="B74:H74" si="198">+IFERROR(B73/A73-1,"nm")</f>
        <v>nm</v>
      </c>
      <c r="C74" s="43">
        <f t="shared" si="198"/>
        <v>0.17257217847769035</v>
      </c>
      <c r="D74" s="43">
        <f t="shared" si="198"/>
        <v>-0.15668718522663683</v>
      </c>
      <c r="E74" s="43">
        <f t="shared" si="198"/>
        <v>5.3085600530855981E-2</v>
      </c>
      <c r="F74" s="43">
        <f t="shared" si="198"/>
        <v>0.25708884688090738</v>
      </c>
      <c r="G74" s="43">
        <f t="shared" si="198"/>
        <v>-0.22756892230576442</v>
      </c>
      <c r="H74" s="43">
        <f t="shared" si="198"/>
        <v>0.58014276443867629</v>
      </c>
      <c r="I74" s="43">
        <f>+IFERROR(I73/H73-1,"nm")</f>
        <v>0.3523613963039014</v>
      </c>
      <c r="J74" s="43">
        <f t="shared" ref="J74:N74" si="199">+IFERROR(J73/I73-1,"nm")</f>
        <v>-0.13</v>
      </c>
      <c r="K74" s="43">
        <f t="shared" si="199"/>
        <v>0.36281223493931769</v>
      </c>
      <c r="L74" s="43">
        <f t="shared" si="199"/>
        <v>7.5195487353747259E-2</v>
      </c>
      <c r="M74" s="43">
        <f t="shared" si="199"/>
        <v>7.4203955514066555E-2</v>
      </c>
      <c r="N74" s="43">
        <f t="shared" si="199"/>
        <v>7.3404792244958106E-2</v>
      </c>
    </row>
    <row r="75" spans="1:15">
      <c r="A75" s="42" t="s">
        <v>131</v>
      </c>
      <c r="B75" s="43">
        <f>+IFERROR(B73/B$52,"nm")</f>
        <v>0.21386472074094864</v>
      </c>
      <c r="C75" s="43">
        <f t="shared" ref="C75:N75" si="200">+IFERROR(C73/C$52,"nm")</f>
        <v>0.24429254955570745</v>
      </c>
      <c r="D75" s="43">
        <f t="shared" si="200"/>
        <v>0.1890840652446675</v>
      </c>
      <c r="E75" s="43">
        <f t="shared" si="200"/>
        <v>0.17171607877082881</v>
      </c>
      <c r="F75" s="43">
        <f t="shared" si="200"/>
        <v>0.20332246229107215</v>
      </c>
      <c r="G75" s="43">
        <f t="shared" si="200"/>
        <v>0.16486573232053064</v>
      </c>
      <c r="H75" s="43">
        <f t="shared" si="200"/>
        <v>0.21255237430167598</v>
      </c>
      <c r="I75" s="43">
        <f t="shared" si="200"/>
        <v>0.26388332398429359</v>
      </c>
      <c r="J75" s="43">
        <f t="shared" si="200"/>
        <v>0.22957849186633544</v>
      </c>
      <c r="K75" s="43">
        <f t="shared" si="200"/>
        <v>0.29240409120968086</v>
      </c>
      <c r="L75" s="43">
        <f t="shared" si="200"/>
        <v>0.29382388724525454</v>
      </c>
      <c r="M75" s="43">
        <f t="shared" si="200"/>
        <v>0.2949783008442724</v>
      </c>
      <c r="N75" s="43">
        <f t="shared" si="200"/>
        <v>0.29591693620048315</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1">K52*K78</f>
        <v>210.79</v>
      </c>
      <c r="L76">
        <f t="shared" si="201"/>
        <v>225.5453</v>
      </c>
      <c r="M76">
        <f t="shared" si="201"/>
        <v>241.33347100000003</v>
      </c>
      <c r="N76">
        <f t="shared" si="201"/>
        <v>258.22681397000002</v>
      </c>
    </row>
    <row r="77" spans="1:15">
      <c r="A77" s="42" t="s">
        <v>129</v>
      </c>
      <c r="B77" s="43" t="str">
        <f t="shared" ref="B77:H77" si="202">+IFERROR(B76/A76-1,"nm")</f>
        <v>nm</v>
      </c>
      <c r="C77" s="43">
        <f t="shared" si="202"/>
        <v>-8.4745762711864181E-3</v>
      </c>
      <c r="D77" s="43">
        <f t="shared" si="202"/>
        <v>-0.26068376068376065</v>
      </c>
      <c r="E77" s="43">
        <f t="shared" si="202"/>
        <v>0.38728323699421963</v>
      </c>
      <c r="F77" s="43">
        <f t="shared" si="202"/>
        <v>-2.9166666666666674E-2</v>
      </c>
      <c r="G77" s="43">
        <f t="shared" si="202"/>
        <v>-0.40343347639484983</v>
      </c>
      <c r="H77" s="43">
        <f t="shared" si="202"/>
        <v>0.10071942446043169</v>
      </c>
      <c r="I77" s="43">
        <f>+IFERROR(I76/H76-1,"nm")</f>
        <v>0.28758169934640532</v>
      </c>
      <c r="J77" s="43">
        <f t="shared" ref="J77:N77" si="203">+IFERROR(J76/I76-1,"nm")</f>
        <v>-1.1102230246251565E-16</v>
      </c>
      <c r="K77" s="43">
        <f t="shared" si="203"/>
        <v>7.0000000000000062E-2</v>
      </c>
      <c r="L77" s="43">
        <f t="shared" si="203"/>
        <v>7.0000000000000062E-2</v>
      </c>
      <c r="M77" s="43">
        <f t="shared" si="203"/>
        <v>7.0000000000000062E-2</v>
      </c>
      <c r="N77" s="43">
        <f t="shared" si="203"/>
        <v>7.0000000000000062E-2</v>
      </c>
    </row>
    <row r="78" spans="1:15">
      <c r="A78" s="42" t="s">
        <v>133</v>
      </c>
      <c r="B78" s="43">
        <f>+IFERROR(B76/B$52,"nm")</f>
        <v>3.3118158854897557E-2</v>
      </c>
      <c r="C78" s="43">
        <f t="shared" ref="C78:I78" si="204">+IFERROR(C76/C$52,"nm")</f>
        <v>3.1989063568010935E-2</v>
      </c>
      <c r="D78" s="43">
        <f t="shared" si="204"/>
        <v>2.1706398996235884E-2</v>
      </c>
      <c r="E78" s="43">
        <f t="shared" si="204"/>
        <v>2.5968405107119671E-2</v>
      </c>
      <c r="F78" s="43">
        <f t="shared" si="204"/>
        <v>2.3746432939258051E-2</v>
      </c>
      <c r="G78" s="43">
        <f t="shared" si="204"/>
        <v>1.4871081630469669E-2</v>
      </c>
      <c r="H78" s="43">
        <f t="shared" si="204"/>
        <v>1.3355446927374302E-2</v>
      </c>
      <c r="I78" s="43">
        <f t="shared" si="204"/>
        <v>1.5786521355877874E-2</v>
      </c>
      <c r="J78" s="74">
        <f>I78</f>
        <v>1.5786521355877874E-2</v>
      </c>
      <c r="K78" s="74">
        <f t="shared" ref="K78:N78" si="205">J78</f>
        <v>1.5786521355877874E-2</v>
      </c>
      <c r="L78" s="74">
        <f t="shared" si="205"/>
        <v>1.5786521355877874E-2</v>
      </c>
      <c r="M78" s="74">
        <f t="shared" si="205"/>
        <v>1.5786521355877874E-2</v>
      </c>
      <c r="N78" s="74">
        <f t="shared" si="205"/>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6">K52*K81</f>
        <v>984.40000000000009</v>
      </c>
      <c r="L79">
        <f t="shared" si="206"/>
        <v>1053.3080000000002</v>
      </c>
      <c r="M79">
        <f t="shared" si="206"/>
        <v>1127.0395600000004</v>
      </c>
      <c r="N79">
        <f t="shared" si="206"/>
        <v>1205.9323292000004</v>
      </c>
    </row>
    <row r="80" spans="1:15">
      <c r="A80" s="42" t="s">
        <v>129</v>
      </c>
      <c r="B80" s="66" t="str">
        <f>IFERROR(B79/A79-1,"nm")</f>
        <v>nm</v>
      </c>
      <c r="C80" s="66">
        <f t="shared" ref="C80:I80" si="207">IFERROR(C79/B79-1,"nm")</f>
        <v>0.2831325301204819</v>
      </c>
      <c r="D80" s="66">
        <f t="shared" si="207"/>
        <v>0.10954616588419408</v>
      </c>
      <c r="E80" s="66">
        <f t="shared" si="207"/>
        <v>0.19746121297602248</v>
      </c>
      <c r="F80" s="66">
        <f t="shared" si="207"/>
        <v>9.4228504122497059E-2</v>
      </c>
      <c r="G80" s="66">
        <f t="shared" si="207"/>
        <v>-4.7362755651237931E-2</v>
      </c>
      <c r="H80" s="66">
        <f t="shared" si="207"/>
        <v>0.1096045197740112</v>
      </c>
      <c r="I80" s="66">
        <f t="shared" si="207"/>
        <v>-6.313645621181263E-2</v>
      </c>
      <c r="J80" s="66">
        <f t="shared" ref="J80" si="208">IFERROR(J79/I79-1,"nm")</f>
        <v>2.2204460492503131E-16</v>
      </c>
      <c r="K80" s="66">
        <f t="shared" ref="K80" si="209">IFERROR(K79/J79-1,"nm")</f>
        <v>7.0000000000000062E-2</v>
      </c>
      <c r="L80" s="66">
        <f t="shared" ref="L80" si="210">IFERROR(L79/K79-1,"nm")</f>
        <v>7.0000000000000062E-2</v>
      </c>
      <c r="M80" s="66">
        <f t="shared" ref="M80" si="211">IFERROR(M79/L79-1,"nm")</f>
        <v>7.0000000000000062E-2</v>
      </c>
      <c r="N80" s="66">
        <f t="shared" ref="N80" si="212">IFERROR(N79/M79-1,"nm")</f>
        <v>7.0000000000000062E-2</v>
      </c>
    </row>
    <row r="81" spans="1:15">
      <c r="A81" s="42" t="s">
        <v>155</v>
      </c>
      <c r="B81" s="66">
        <f>IFERROR(B79/B$52,"nm")</f>
        <v>6.9884928431097393E-2</v>
      </c>
      <c r="C81" s="66">
        <f t="shared" ref="C81:I81" si="213">IFERROR(C79/C$52,"nm")</f>
        <v>8.7354750512645254E-2</v>
      </c>
      <c r="D81" s="66">
        <f t="shared" si="213"/>
        <v>8.8958594730238399E-2</v>
      </c>
      <c r="E81" s="66">
        <f t="shared" si="213"/>
        <v>9.1863233066435832E-2</v>
      </c>
      <c r="F81" s="66">
        <f t="shared" si="213"/>
        <v>9.4679983693436609E-2</v>
      </c>
      <c r="G81" s="66">
        <f t="shared" si="213"/>
        <v>9.4682785920616241E-2</v>
      </c>
      <c r="H81" s="66">
        <f t="shared" si="213"/>
        <v>8.5719273743016758E-2</v>
      </c>
      <c r="I81" s="66">
        <f t="shared" si="213"/>
        <v>7.37238560782114E-2</v>
      </c>
      <c r="J81" s="74">
        <f>I81</f>
        <v>7.37238560782114E-2</v>
      </c>
      <c r="K81" s="74">
        <f t="shared" ref="K81:N81" si="214">J81</f>
        <v>7.37238560782114E-2</v>
      </c>
      <c r="L81" s="74">
        <f t="shared" si="214"/>
        <v>7.37238560782114E-2</v>
      </c>
      <c r="M81" s="74">
        <f t="shared" si="214"/>
        <v>7.37238560782114E-2</v>
      </c>
      <c r="N81" s="74">
        <f t="shared" si="214"/>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5">K85+K89+K93</f>
        <v>11792.1875</v>
      </c>
      <c r="L83" s="9">
        <f t="shared" si="215"/>
        <v>14740.234375</v>
      </c>
      <c r="M83" s="9">
        <f t="shared" si="215"/>
        <v>18425.29296875</v>
      </c>
      <c r="N83" s="9">
        <f t="shared" si="215"/>
        <v>23031.6162109375</v>
      </c>
    </row>
    <row r="84" spans="1:15">
      <c r="A84" s="40" t="s">
        <v>129</v>
      </c>
      <c r="B84" s="43" t="str">
        <f t="shared" ref="B84:H84" si="216">+IFERROR(B83/A83-1,"nm")</f>
        <v>nm</v>
      </c>
      <c r="C84" s="43">
        <f t="shared" si="216"/>
        <v>0.23410498858819695</v>
      </c>
      <c r="D84" s="43">
        <f t="shared" si="216"/>
        <v>0.11941875825627468</v>
      </c>
      <c r="E84" s="43">
        <f t="shared" si="216"/>
        <v>0.21170639603493036</v>
      </c>
      <c r="F84" s="43">
        <f t="shared" si="216"/>
        <v>0.20919361121932223</v>
      </c>
      <c r="G84" s="43">
        <f t="shared" si="216"/>
        <v>7.5869845360824639E-2</v>
      </c>
      <c r="H84" s="43">
        <f t="shared" si="216"/>
        <v>0.24120377301991325</v>
      </c>
      <c r="I84" s="43">
        <f>+IFERROR(I83/H83-1,"nm")</f>
        <v>-8.9626055488540413E-2</v>
      </c>
      <c r="J84" s="43">
        <f t="shared" ref="J84:N84" si="217">+IFERROR(J83/I83-1,"nm")</f>
        <v>0.25</v>
      </c>
      <c r="K84" s="43">
        <f t="shared" si="217"/>
        <v>0.25</v>
      </c>
      <c r="L84" s="43">
        <f t="shared" si="217"/>
        <v>0.25</v>
      </c>
      <c r="M84" s="43">
        <f t="shared" si="217"/>
        <v>0.25</v>
      </c>
      <c r="N84" s="43">
        <f t="shared" si="217"/>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8">J85*(1+K86)</f>
        <v>8462.5</v>
      </c>
      <c r="L85" s="100">
        <f t="shared" si="218"/>
        <v>10578.125</v>
      </c>
      <c r="M85" s="100">
        <f t="shared" si="218"/>
        <v>13222.65625</v>
      </c>
      <c r="N85" s="100">
        <f t="shared" si="218"/>
        <v>16528.3203125</v>
      </c>
    </row>
    <row r="86" spans="1:15">
      <c r="A86" s="40" t="s">
        <v>129</v>
      </c>
      <c r="B86" s="43" t="str">
        <f t="shared" ref="B86:H86" si="219">+IFERROR(B85/A85-1,"nm")</f>
        <v>nm</v>
      </c>
      <c r="C86" s="43">
        <f t="shared" si="219"/>
        <v>0.28918650793650791</v>
      </c>
      <c r="D86" s="43">
        <f t="shared" si="219"/>
        <v>0.12350904193920731</v>
      </c>
      <c r="E86" s="43">
        <f t="shared" si="219"/>
        <v>0.19726027397260282</v>
      </c>
      <c r="F86" s="43">
        <f t="shared" si="219"/>
        <v>0.21910755148741412</v>
      </c>
      <c r="G86" s="43">
        <f t="shared" si="219"/>
        <v>8.7517597372125833E-2</v>
      </c>
      <c r="H86" s="43">
        <f t="shared" si="219"/>
        <v>0.24012944983818763</v>
      </c>
      <c r="I86" s="43">
        <f>+IFERROR(I85/H85-1,"nm")</f>
        <v>-5.7759220598469052E-2</v>
      </c>
      <c r="J86" s="73">
        <f>J87+J88</f>
        <v>0.25</v>
      </c>
      <c r="K86" s="73">
        <f t="shared" ref="K86:N86" si="220">K87+K88</f>
        <v>0.25</v>
      </c>
      <c r="L86" s="73">
        <f t="shared" si="220"/>
        <v>0.25</v>
      </c>
      <c r="M86" s="73">
        <f t="shared" si="220"/>
        <v>0.25</v>
      </c>
      <c r="N86" s="73">
        <f t="shared" si="220"/>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1">+IFERROR(B86-B87,"nm")</f>
        <v>nm</v>
      </c>
      <c r="C88" s="43">
        <f t="shared" si="221"/>
        <v>-4.0813492063492107E-2</v>
      </c>
      <c r="D88" s="43">
        <f t="shared" si="221"/>
        <v>-5.6490958060792684E-2</v>
      </c>
      <c r="E88" s="43">
        <f t="shared" si="221"/>
        <v>3.7260273972602814E-2</v>
      </c>
      <c r="F88" s="43">
        <f t="shared" si="221"/>
        <v>-3.0892448512585879E-2</v>
      </c>
      <c r="G88" s="43">
        <f t="shared" si="221"/>
        <v>-3.2482402627874163E-2</v>
      </c>
      <c r="H88" s="43">
        <f t="shared" si="221"/>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2">J89*(1+K90)</f>
        <v>3028.125</v>
      </c>
      <c r="L89" s="100">
        <f t="shared" si="222"/>
        <v>3785.15625</v>
      </c>
      <c r="M89" s="100">
        <f t="shared" si="222"/>
        <v>4731.4453125</v>
      </c>
      <c r="N89" s="100">
        <f t="shared" si="222"/>
        <v>5914.306640625</v>
      </c>
    </row>
    <row r="90" spans="1:15">
      <c r="A90" s="40" t="s">
        <v>129</v>
      </c>
      <c r="B90" s="43" t="str">
        <f t="shared" ref="B90:H90" si="223">+IFERROR(B89/A89-1,"nm")</f>
        <v>nm</v>
      </c>
      <c r="C90" s="43">
        <f t="shared" si="223"/>
        <v>0.14054054054054044</v>
      </c>
      <c r="D90" s="43">
        <f t="shared" si="223"/>
        <v>0.12606635071090055</v>
      </c>
      <c r="E90" s="43">
        <f t="shared" si="223"/>
        <v>0.26936026936026947</v>
      </c>
      <c r="F90" s="43">
        <f t="shared" si="223"/>
        <v>0.19893899204244025</v>
      </c>
      <c r="G90" s="43">
        <f t="shared" si="223"/>
        <v>4.8672566371681381E-2</v>
      </c>
      <c r="H90" s="43">
        <f t="shared" si="223"/>
        <v>0.2378691983122363</v>
      </c>
      <c r="I90" s="43">
        <f>+IFERROR(I89/H89-1,"nm")</f>
        <v>-0.17426501917341286</v>
      </c>
      <c r="J90" s="74">
        <f>J91+J92</f>
        <v>0.25</v>
      </c>
      <c r="K90" s="74">
        <f t="shared" ref="K90:N90" si="224">K91+K92</f>
        <v>0.25</v>
      </c>
      <c r="L90" s="74">
        <f t="shared" si="224"/>
        <v>0.25</v>
      </c>
      <c r="M90" s="74">
        <f t="shared" si="224"/>
        <v>0.25</v>
      </c>
      <c r="N90" s="74">
        <f t="shared" si="224"/>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5">+IFERROR(B90-B91,"nm")</f>
        <v>nm</v>
      </c>
      <c r="C92" s="43">
        <f t="shared" si="225"/>
        <v>-2.9459459459459575E-2</v>
      </c>
      <c r="D92" s="43">
        <f t="shared" si="225"/>
        <v>-5.3933649289099439E-2</v>
      </c>
      <c r="E92" s="43">
        <f t="shared" si="225"/>
        <v>3.9360269360269456E-2</v>
      </c>
      <c r="F92" s="43">
        <f t="shared" si="225"/>
        <v>-3.1061007957559755E-2</v>
      </c>
      <c r="G92" s="43">
        <f t="shared" si="225"/>
        <v>-3.1327433628318621E-2</v>
      </c>
      <c r="H92" s="43">
        <f t="shared" si="225"/>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6">J93*(1+K94)</f>
        <v>301.5625</v>
      </c>
      <c r="L93" s="100">
        <f t="shared" si="226"/>
        <v>376.953125</v>
      </c>
      <c r="M93" s="100">
        <f t="shared" si="226"/>
        <v>471.19140625</v>
      </c>
      <c r="N93" s="100">
        <f t="shared" si="226"/>
        <v>588.9892578125</v>
      </c>
    </row>
    <row r="94" spans="1:15">
      <c r="A94" s="40" t="s">
        <v>129</v>
      </c>
      <c r="B94" s="43" t="str">
        <f t="shared" ref="B94:H94" si="227">+IFERROR(B93/A93-1,"nm")</f>
        <v>nm</v>
      </c>
      <c r="C94" s="43">
        <f t="shared" si="227"/>
        <v>3.9682539682539764E-2</v>
      </c>
      <c r="D94" s="43">
        <f t="shared" si="227"/>
        <v>-1.5267175572519109E-2</v>
      </c>
      <c r="E94" s="43">
        <f t="shared" si="227"/>
        <v>7.7519379844961378E-3</v>
      </c>
      <c r="F94" s="43">
        <f t="shared" si="227"/>
        <v>6.1538461538461542E-2</v>
      </c>
      <c r="G94" s="43">
        <f t="shared" si="227"/>
        <v>7.2463768115942129E-2</v>
      </c>
      <c r="H94" s="43">
        <f t="shared" si="227"/>
        <v>0.31756756756756754</v>
      </c>
      <c r="I94" s="43">
        <f>+IFERROR(I93/H93-1,"nm")</f>
        <v>-1.025641025641022E-2</v>
      </c>
      <c r="J94" s="74">
        <f>J95+J96</f>
        <v>0.25</v>
      </c>
      <c r="K94" s="74">
        <f t="shared" ref="K94:N94" si="228">K95+K96</f>
        <v>0.25</v>
      </c>
      <c r="L94" s="74">
        <f t="shared" si="228"/>
        <v>0.25</v>
      </c>
      <c r="M94" s="74">
        <f t="shared" si="228"/>
        <v>0.25</v>
      </c>
      <c r="N94" s="74">
        <f t="shared" si="228"/>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29">+IFERROR(B94-B95,"nm")</f>
        <v>nm</v>
      </c>
      <c r="C96" s="43">
        <f t="shared" si="229"/>
        <v>-3.0317460317460243E-2</v>
      </c>
      <c r="D96" s="43">
        <f t="shared" si="229"/>
        <v>-4.5267175572519108E-2</v>
      </c>
      <c r="E96" s="43">
        <f t="shared" si="229"/>
        <v>1.775193798449614E-2</v>
      </c>
      <c r="F96" s="43">
        <f t="shared" si="229"/>
        <v>-1.846153846153846E-2</v>
      </c>
      <c r="G96" s="43">
        <f t="shared" si="229"/>
        <v>-3.7536231884057872E-2</v>
      </c>
      <c r="H96" s="43">
        <f t="shared" si="229"/>
        <v>5.7567567567567535E-2</v>
      </c>
      <c r="I96" s="43">
        <f>+IFERROR(I94-I95,"nm")</f>
        <v>4.9743589743589778E-2</v>
      </c>
      <c r="J96" s="27">
        <v>0</v>
      </c>
      <c r="K96" s="27">
        <v>0</v>
      </c>
      <c r="L96" s="27">
        <v>0</v>
      </c>
      <c r="M96" s="27">
        <v>0</v>
      </c>
      <c r="N96" s="27">
        <v>0</v>
      </c>
    </row>
    <row r="97" spans="1:15">
      <c r="A97" s="9" t="s">
        <v>130</v>
      </c>
      <c r="B97" s="44">
        <f t="shared" ref="B97:H97" si="230">+B104+B100</f>
        <v>1039</v>
      </c>
      <c r="C97" s="44">
        <f t="shared" si="230"/>
        <v>1420</v>
      </c>
      <c r="D97" s="44">
        <f t="shared" si="230"/>
        <v>1561</v>
      </c>
      <c r="E97" s="44">
        <f t="shared" si="230"/>
        <v>1863</v>
      </c>
      <c r="F97" s="44">
        <f t="shared" si="230"/>
        <v>2426</v>
      </c>
      <c r="G97" s="44">
        <f t="shared" si="230"/>
        <v>2534</v>
      </c>
      <c r="H97" s="44">
        <f t="shared" si="230"/>
        <v>3289</v>
      </c>
      <c r="I97" s="44">
        <f>+I104+I100</f>
        <v>2406</v>
      </c>
      <c r="J97" s="101">
        <f>I97+(0.7*I97)</f>
        <v>4090.2</v>
      </c>
      <c r="K97" s="101">
        <f t="shared" ref="K97" si="231">J97+(0.7*J97)</f>
        <v>6953.34</v>
      </c>
      <c r="L97" s="101">
        <f>K97</f>
        <v>6953.34</v>
      </c>
      <c r="M97" s="101">
        <f>K97</f>
        <v>6953.34</v>
      </c>
      <c r="N97" s="101">
        <f>K97</f>
        <v>6953.34</v>
      </c>
    </row>
    <row r="98" spans="1:15">
      <c r="A98" s="42" t="s">
        <v>129</v>
      </c>
      <c r="B98" s="43" t="str">
        <f t="shared" ref="B98:H98" si="232">+IFERROR(B97/A97-1,"nm")</f>
        <v>nm</v>
      </c>
      <c r="C98" s="43">
        <f t="shared" si="232"/>
        <v>0.36669874879692022</v>
      </c>
      <c r="D98" s="43">
        <f t="shared" si="232"/>
        <v>9.9295774647887303E-2</v>
      </c>
      <c r="E98" s="43">
        <f t="shared" si="232"/>
        <v>0.19346572709801402</v>
      </c>
      <c r="F98" s="43">
        <f t="shared" si="232"/>
        <v>0.3022007514761138</v>
      </c>
      <c r="G98" s="43">
        <f t="shared" si="232"/>
        <v>4.4517724649629109E-2</v>
      </c>
      <c r="H98" s="43">
        <f t="shared" si="232"/>
        <v>0.29794790844514596</v>
      </c>
      <c r="I98" s="43">
        <f>+IFERROR(I97/H97-1,"nm")</f>
        <v>-0.26847065977500761</v>
      </c>
      <c r="J98" s="43">
        <f t="shared" ref="J98:N98" si="233">+IFERROR(J97/I97-1,"nm")</f>
        <v>0.7</v>
      </c>
      <c r="K98" s="43">
        <f t="shared" si="233"/>
        <v>0.70000000000000018</v>
      </c>
      <c r="L98" s="43">
        <f t="shared" si="233"/>
        <v>0</v>
      </c>
      <c r="M98" s="43">
        <f t="shared" si="233"/>
        <v>0</v>
      </c>
      <c r="N98" s="43">
        <f t="shared" si="233"/>
        <v>0</v>
      </c>
    </row>
    <row r="99" spans="1:15">
      <c r="A99" s="42" t="s">
        <v>131</v>
      </c>
      <c r="B99" s="43">
        <f>+IFERROR(B97/B$83,"nm")</f>
        <v>0.33876752526899251</v>
      </c>
      <c r="C99" s="43">
        <f t="shared" ref="C99:I99" si="234">+IFERROR(C97/C$83,"nm")</f>
        <v>0.37516512549537651</v>
      </c>
      <c r="D99" s="43">
        <f t="shared" si="234"/>
        <v>0.36842105263157893</v>
      </c>
      <c r="E99" s="43">
        <f t="shared" si="234"/>
        <v>0.36287495130502534</v>
      </c>
      <c r="F99" s="43">
        <f t="shared" si="234"/>
        <v>0.3907860824742268</v>
      </c>
      <c r="G99" s="43">
        <f t="shared" si="234"/>
        <v>0.37939811349004343</v>
      </c>
      <c r="H99" s="43">
        <f t="shared" si="234"/>
        <v>0.39674306393244874</v>
      </c>
      <c r="I99" s="43">
        <f t="shared" si="234"/>
        <v>0.31880217304889358</v>
      </c>
      <c r="J99" s="74">
        <f>I99</f>
        <v>0.31880217304889358</v>
      </c>
      <c r="K99" s="74">
        <f t="shared" ref="K99:N99" si="235">J99</f>
        <v>0.31880217304889358</v>
      </c>
      <c r="L99" s="74">
        <f t="shared" si="235"/>
        <v>0.31880217304889358</v>
      </c>
      <c r="M99" s="74">
        <f t="shared" si="235"/>
        <v>0.31880217304889358</v>
      </c>
      <c r="N99" s="74">
        <f t="shared" si="235"/>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6">J100+(0.7*J100)</f>
        <v>118.49000000000001</v>
      </c>
      <c r="L100" s="44">
        <f t="shared" si="236"/>
        <v>201.43299999999999</v>
      </c>
      <c r="M100" s="44">
        <f t="shared" si="236"/>
        <v>342.43610000000001</v>
      </c>
      <c r="N100" s="44">
        <f t="shared" si="236"/>
        <v>582.14137000000005</v>
      </c>
    </row>
    <row r="101" spans="1:15">
      <c r="A101" s="42" t="s">
        <v>129</v>
      </c>
      <c r="B101" s="43" t="str">
        <f t="shared" ref="B101:H101" si="237">+IFERROR(B100/A100-1,"nm")</f>
        <v>nm</v>
      </c>
      <c r="C101" s="43">
        <f t="shared" si="237"/>
        <v>4.3478260869565188E-2</v>
      </c>
      <c r="D101" s="43">
        <f t="shared" si="237"/>
        <v>0.125</v>
      </c>
      <c r="E101" s="43">
        <f t="shared" si="237"/>
        <v>3.7037037037036979E-2</v>
      </c>
      <c r="F101" s="43">
        <f t="shared" si="237"/>
        <v>-0.1071428571428571</v>
      </c>
      <c r="G101" s="43">
        <f t="shared" si="237"/>
        <v>-0.12</v>
      </c>
      <c r="H101" s="43">
        <f t="shared" si="237"/>
        <v>4.5454545454545414E-2</v>
      </c>
      <c r="I101" s="43">
        <f>+IFERROR(I100/H100-1,"nm")</f>
        <v>-0.10869565217391308</v>
      </c>
      <c r="J101" s="43">
        <f t="shared" ref="J101:N101" si="238">+IFERROR(J100/I100-1,"nm")</f>
        <v>0.70000000000000018</v>
      </c>
      <c r="K101" s="43">
        <f t="shared" si="238"/>
        <v>0.7</v>
      </c>
      <c r="L101" s="43">
        <f t="shared" si="238"/>
        <v>0.69999999999999973</v>
      </c>
      <c r="M101" s="43">
        <f t="shared" si="238"/>
        <v>0.70000000000000018</v>
      </c>
      <c r="N101" s="43">
        <f t="shared" si="238"/>
        <v>0.70000000000000018</v>
      </c>
    </row>
    <row r="102" spans="1:15">
      <c r="A102" s="42" t="s">
        <v>133</v>
      </c>
      <c r="B102" s="43">
        <f>+IFERROR(B100/B$83,"nm")</f>
        <v>1.4998369742419302E-2</v>
      </c>
      <c r="C102" s="43">
        <f t="shared" ref="C102:I102" si="239">+IFERROR(C100/C$83,"nm")</f>
        <v>1.2681638044914135E-2</v>
      </c>
      <c r="D102" s="43">
        <f t="shared" si="239"/>
        <v>1.2744866650932263E-2</v>
      </c>
      <c r="E102" s="43">
        <f t="shared" si="239"/>
        <v>1.090767432800935E-2</v>
      </c>
      <c r="F102" s="43">
        <f t="shared" si="239"/>
        <v>8.0541237113402053E-3</v>
      </c>
      <c r="G102" s="43">
        <f t="shared" si="239"/>
        <v>6.5878125467884411E-3</v>
      </c>
      <c r="H102" s="43">
        <f t="shared" si="239"/>
        <v>5.5488540410132689E-3</v>
      </c>
      <c r="I102" s="43">
        <f t="shared" si="239"/>
        <v>5.4326222340002651E-3</v>
      </c>
      <c r="J102" s="74">
        <f>I102</f>
        <v>5.4326222340002651E-3</v>
      </c>
      <c r="K102" s="74">
        <f t="shared" ref="K102:N102" si="240">J102</f>
        <v>5.4326222340002651E-3</v>
      </c>
      <c r="L102" s="74">
        <f t="shared" si="240"/>
        <v>5.4326222340002651E-3</v>
      </c>
      <c r="M102" s="74">
        <f t="shared" si="240"/>
        <v>5.4326222340002651E-3</v>
      </c>
      <c r="N102" s="74">
        <f t="shared" si="240"/>
        <v>5.4326222340002651E-3</v>
      </c>
    </row>
    <row r="103" spans="1:15">
      <c r="A103" s="42" t="s">
        <v>140</v>
      </c>
      <c r="B103" s="43">
        <f>IFERROR(B100/B110,"nm")</f>
        <v>0.18110236220472442</v>
      </c>
      <c r="C103" s="43">
        <f t="shared" ref="C103:I103" si="241">IFERROR(C100/C110,"nm")</f>
        <v>0.20512820512820512</v>
      </c>
      <c r="D103" s="43">
        <f t="shared" si="241"/>
        <v>0.24</v>
      </c>
      <c r="E103" s="43">
        <f t="shared" si="241"/>
        <v>0.21875</v>
      </c>
      <c r="F103" s="43">
        <f t="shared" si="241"/>
        <v>0.2109704641350211</v>
      </c>
      <c r="G103" s="43">
        <f t="shared" si="241"/>
        <v>0.20560747663551401</v>
      </c>
      <c r="H103" s="43">
        <f t="shared" si="241"/>
        <v>0.15972222222222221</v>
      </c>
      <c r="I103" s="43">
        <f t="shared" si="241"/>
        <v>0.13531353135313531</v>
      </c>
      <c r="J103" s="74">
        <f>I103</f>
        <v>0.13531353135313531</v>
      </c>
      <c r="K103" s="74">
        <f t="shared" ref="K103:N103" si="242">J103</f>
        <v>0.13531353135313531</v>
      </c>
      <c r="L103" s="74">
        <f t="shared" si="242"/>
        <v>0.13531353135313531</v>
      </c>
      <c r="M103" s="74">
        <f t="shared" si="242"/>
        <v>0.13531353135313531</v>
      </c>
      <c r="N103" s="74">
        <f t="shared" si="242"/>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3">K97-K100</f>
        <v>6834.85</v>
      </c>
      <c r="L104" s="44">
        <f t="shared" si="243"/>
        <v>6751.9070000000002</v>
      </c>
      <c r="M104" s="44">
        <f t="shared" si="243"/>
        <v>6610.9039000000002</v>
      </c>
      <c r="N104" s="44">
        <f t="shared" si="243"/>
        <v>6371.1986299999999</v>
      </c>
      <c r="O104" t="s">
        <v>207</v>
      </c>
    </row>
    <row r="105" spans="1:15">
      <c r="A105" s="42" t="s">
        <v>129</v>
      </c>
      <c r="B105" s="43" t="str">
        <f t="shared" ref="B105:H105" si="244">+IFERROR(B104/A104-1,"nm")</f>
        <v>nm</v>
      </c>
      <c r="C105" s="43">
        <f t="shared" si="244"/>
        <v>0.38167170191339372</v>
      </c>
      <c r="D105" s="43">
        <f t="shared" si="244"/>
        <v>9.8396501457725938E-2</v>
      </c>
      <c r="E105" s="43">
        <f t="shared" si="244"/>
        <v>0.19907100199071004</v>
      </c>
      <c r="F105" s="43">
        <f t="shared" si="244"/>
        <v>0.31488655229662421</v>
      </c>
      <c r="G105" s="43">
        <f t="shared" si="244"/>
        <v>4.7979797979798011E-2</v>
      </c>
      <c r="H105" s="43">
        <f t="shared" si="244"/>
        <v>0.30240963855421676</v>
      </c>
      <c r="I105" s="43">
        <f>+IFERROR(I104/H104-1,"nm")</f>
        <v>-0.27073697193956214</v>
      </c>
      <c r="J105" s="43">
        <f t="shared" ref="J105:N105" si="245">+IFERROR(J104/I104-1,"nm")</f>
        <v>0.7</v>
      </c>
      <c r="K105" s="43">
        <f t="shared" si="245"/>
        <v>0.70000000000000018</v>
      </c>
      <c r="L105" s="43">
        <f t="shared" si="245"/>
        <v>-1.2135306553911263E-2</v>
      </c>
      <c r="M105" s="43">
        <f t="shared" si="245"/>
        <v>-2.0883448187304698E-2</v>
      </c>
      <c r="N105" s="43">
        <f t="shared" si="245"/>
        <v>-3.6259076463053819E-2</v>
      </c>
    </row>
    <row r="106" spans="1:15">
      <c r="A106" s="42" t="s">
        <v>131</v>
      </c>
      <c r="B106" s="43">
        <f>+IFERROR(B104/B$83,"nm")</f>
        <v>0.3237691555265732</v>
      </c>
      <c r="C106" s="43">
        <f t="shared" ref="C106:I106" si="246">+IFERROR(C104/C$83,"nm")</f>
        <v>0.36248348745046233</v>
      </c>
      <c r="D106" s="43">
        <f t="shared" si="246"/>
        <v>0.35567618598064671</v>
      </c>
      <c r="E106" s="43">
        <f t="shared" si="246"/>
        <v>0.35196727697701596</v>
      </c>
      <c r="F106" s="43">
        <f t="shared" si="246"/>
        <v>0.38273195876288657</v>
      </c>
      <c r="G106" s="43">
        <f t="shared" si="246"/>
        <v>0.37281030094325496</v>
      </c>
      <c r="H106" s="43">
        <f t="shared" si="246"/>
        <v>0.39119420989143544</v>
      </c>
      <c r="I106" s="43">
        <f t="shared" si="246"/>
        <v>0.31336955081489332</v>
      </c>
      <c r="J106" s="74">
        <f>I106</f>
        <v>0.31336955081489332</v>
      </c>
      <c r="K106" s="74">
        <f t="shared" ref="K106:N106" si="247">J106</f>
        <v>0.31336955081489332</v>
      </c>
      <c r="L106" s="74">
        <f t="shared" si="247"/>
        <v>0.31336955081489332</v>
      </c>
      <c r="M106" s="74">
        <f t="shared" si="247"/>
        <v>0.31336955081489332</v>
      </c>
      <c r="N106" s="74">
        <f t="shared" si="247"/>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8">K83*K109</f>
        <v>121.875</v>
      </c>
      <c r="L107" s="75">
        <f t="shared" si="248"/>
        <v>152.34375</v>
      </c>
      <c r="M107" s="75">
        <f t="shared" si="248"/>
        <v>190.4296875</v>
      </c>
      <c r="N107" s="75">
        <f t="shared" si="248"/>
        <v>238.037109375</v>
      </c>
    </row>
    <row r="108" spans="1:15">
      <c r="A108" s="42" t="s">
        <v>129</v>
      </c>
      <c r="B108" s="43" t="str">
        <f t="shared" ref="B108:H108" si="249">+IFERROR(B107/A107-1,"nm")</f>
        <v>nm</v>
      </c>
      <c r="C108" s="43">
        <f t="shared" si="249"/>
        <v>-0.3623188405797102</v>
      </c>
      <c r="D108" s="43">
        <f t="shared" si="249"/>
        <v>0.15909090909090917</v>
      </c>
      <c r="E108" s="43">
        <f t="shared" si="249"/>
        <v>0.49019607843137258</v>
      </c>
      <c r="F108" s="43">
        <f t="shared" si="249"/>
        <v>-0.35526315789473684</v>
      </c>
      <c r="G108" s="43">
        <f t="shared" si="249"/>
        <v>-0.4285714285714286</v>
      </c>
      <c r="H108" s="43">
        <f t="shared" si="249"/>
        <v>2.3571428571428572</v>
      </c>
      <c r="I108" s="43">
        <f>+IFERROR(I107/H107-1,"nm")</f>
        <v>-0.17021276595744683</v>
      </c>
      <c r="J108" s="43">
        <f t="shared" ref="J108:N108" si="250">+IFERROR(J107/I107-1,"nm")</f>
        <v>0.25</v>
      </c>
      <c r="K108" s="43">
        <f t="shared" si="250"/>
        <v>0.25</v>
      </c>
      <c r="L108" s="43">
        <f t="shared" si="250"/>
        <v>0.25</v>
      </c>
      <c r="M108" s="43">
        <f t="shared" si="250"/>
        <v>0.25</v>
      </c>
      <c r="N108" s="43">
        <f t="shared" si="250"/>
        <v>0.25</v>
      </c>
    </row>
    <row r="109" spans="1:15">
      <c r="A109" s="42" t="s">
        <v>133</v>
      </c>
      <c r="B109" s="43">
        <f>+IFERROR(B107/B$83,"nm")</f>
        <v>2.2497554613628953E-2</v>
      </c>
      <c r="C109" s="43">
        <f t="shared" ref="C109:I109" si="251">+IFERROR(C107/C$83,"nm")</f>
        <v>1.1624834874504624E-2</v>
      </c>
      <c r="D109" s="43">
        <f t="shared" si="251"/>
        <v>1.2036818503658248E-2</v>
      </c>
      <c r="E109" s="43">
        <f t="shared" si="251"/>
        <v>1.4803272302298403E-2</v>
      </c>
      <c r="F109" s="43">
        <f t="shared" si="251"/>
        <v>7.8930412371134018E-3</v>
      </c>
      <c r="G109" s="43">
        <f t="shared" si="251"/>
        <v>4.1922443479562805E-3</v>
      </c>
      <c r="H109" s="43">
        <f t="shared" si="251"/>
        <v>1.1338962605548853E-2</v>
      </c>
      <c r="I109" s="43">
        <f t="shared" si="251"/>
        <v>1.0335232542732211E-2</v>
      </c>
      <c r="J109" s="74">
        <f>I109</f>
        <v>1.0335232542732211E-2</v>
      </c>
      <c r="K109" s="74">
        <f t="shared" ref="K109:N109" si="252">J109</f>
        <v>1.0335232542732211E-2</v>
      </c>
      <c r="L109" s="74">
        <f t="shared" si="252"/>
        <v>1.0335232542732211E-2</v>
      </c>
      <c r="M109" s="74">
        <f t="shared" si="252"/>
        <v>1.0335232542732211E-2</v>
      </c>
      <c r="N109" s="74">
        <f t="shared" si="252"/>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3">K83*K112</f>
        <v>473.4375</v>
      </c>
      <c r="L110" s="101">
        <f t="shared" si="253"/>
        <v>591.796875</v>
      </c>
      <c r="M110" s="101">
        <f t="shared" si="253"/>
        <v>739.74609375</v>
      </c>
      <c r="N110" s="101">
        <f t="shared" si="253"/>
        <v>924.6826171875</v>
      </c>
    </row>
    <row r="111" spans="1:15">
      <c r="A111" s="42" t="s">
        <v>129</v>
      </c>
      <c r="B111" s="66" t="str">
        <f>IFERROR(B110/A110-1,"nm")</f>
        <v>nm</v>
      </c>
      <c r="C111" s="66">
        <f t="shared" ref="C111:I111" si="254">IFERROR(C110/B110-1,"nm")</f>
        <v>-7.8740157480314932E-2</v>
      </c>
      <c r="D111" s="66">
        <f t="shared" si="254"/>
        <v>-3.8461538461538436E-2</v>
      </c>
      <c r="E111" s="66">
        <f t="shared" si="254"/>
        <v>0.13777777777777778</v>
      </c>
      <c r="F111" s="66">
        <f t="shared" si="254"/>
        <v>-7.421875E-2</v>
      </c>
      <c r="G111" s="66">
        <f t="shared" si="254"/>
        <v>-9.7046413502109741E-2</v>
      </c>
      <c r="H111" s="66">
        <f t="shared" si="254"/>
        <v>0.34579439252336441</v>
      </c>
      <c r="I111" s="66">
        <f t="shared" si="254"/>
        <v>5.2083333333333259E-2</v>
      </c>
      <c r="J111" s="66">
        <f t="shared" ref="J111" si="255">IFERROR(J110/I110-1,"nm")</f>
        <v>0.25</v>
      </c>
      <c r="K111" s="66">
        <f t="shared" ref="K111" si="256">IFERROR(K110/J110-1,"nm")</f>
        <v>0.25</v>
      </c>
      <c r="L111" s="66">
        <f t="shared" ref="L111" si="257">IFERROR(L110/K110-1,"nm")</f>
        <v>0.25</v>
      </c>
      <c r="M111" s="66">
        <f t="shared" ref="M111" si="258">IFERROR(M110/L110-1,"nm")</f>
        <v>0.25</v>
      </c>
      <c r="N111" s="66">
        <f t="shared" ref="N111" si="259">IFERROR(N110/M110-1,"nm")</f>
        <v>0.25</v>
      </c>
    </row>
    <row r="112" spans="1:15">
      <c r="A112" s="42" t="s">
        <v>155</v>
      </c>
      <c r="B112" s="66">
        <f>IFERROR(B110/B$83, "nm")</f>
        <v>8.2817085099445714E-2</v>
      </c>
      <c r="C112" s="66">
        <f t="shared" ref="C112:I112" si="260">IFERROR(C110/C$83, "nm")</f>
        <v>6.1822985468956405E-2</v>
      </c>
      <c r="D112" s="66">
        <f t="shared" si="260"/>
        <v>5.31036110455511E-2</v>
      </c>
      <c r="E112" s="66">
        <f t="shared" si="260"/>
        <v>4.9863654070899883E-2</v>
      </c>
      <c r="F112" s="66">
        <f t="shared" si="260"/>
        <v>3.817654639175258E-2</v>
      </c>
      <c r="G112" s="66">
        <f t="shared" si="260"/>
        <v>3.2040724659380147E-2</v>
      </c>
      <c r="H112" s="66">
        <f t="shared" si="260"/>
        <v>3.4740651387213509E-2</v>
      </c>
      <c r="I112" s="66">
        <f t="shared" si="260"/>
        <v>4.0148403339075128E-2</v>
      </c>
      <c r="J112" s="74">
        <f>I112</f>
        <v>4.0148403339075128E-2</v>
      </c>
      <c r="K112" s="74">
        <f t="shared" ref="K112:N112" si="261">J112</f>
        <v>4.0148403339075128E-2</v>
      </c>
      <c r="L112" s="74">
        <f t="shared" si="261"/>
        <v>4.0148403339075128E-2</v>
      </c>
      <c r="M112" s="74">
        <f t="shared" si="261"/>
        <v>4.0148403339075128E-2</v>
      </c>
      <c r="N112" s="74">
        <f t="shared" si="261"/>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2">K116+K120+K124</f>
        <v>6691.0380000000005</v>
      </c>
      <c r="L114" s="101">
        <f t="shared" si="262"/>
        <v>7092.5002800000011</v>
      </c>
      <c r="M114" s="101">
        <f t="shared" si="262"/>
        <v>7518.050296800001</v>
      </c>
      <c r="N114" s="101">
        <f t="shared" si="262"/>
        <v>7969.1333146080015</v>
      </c>
    </row>
    <row r="115" spans="1:15">
      <c r="A115" s="40" t="s">
        <v>129</v>
      </c>
      <c r="B115" s="43" t="str">
        <f t="shared" ref="B115:H115" si="263">+IFERROR(B114/A114-1,"nm")</f>
        <v>nm</v>
      </c>
      <c r="C115" s="43">
        <f t="shared" si="263"/>
        <v>-1.783795400816679E-2</v>
      </c>
      <c r="D115" s="43">
        <f t="shared" si="263"/>
        <v>3.6542669584245013E-2</v>
      </c>
      <c r="E115" s="43">
        <f t="shared" si="263"/>
        <v>9.0563647878403986E-2</v>
      </c>
      <c r="F115" s="43">
        <f t="shared" si="263"/>
        <v>1.7034456058846237E-2</v>
      </c>
      <c r="G115" s="43">
        <f t="shared" si="263"/>
        <v>-4.3014845831747195E-2</v>
      </c>
      <c r="H115" s="43">
        <f t="shared" si="263"/>
        <v>6.2649164677804237E-2</v>
      </c>
      <c r="I115" s="43">
        <f>+IFERROR(I114/H114-1,"nm")</f>
        <v>0.11454239191465465</v>
      </c>
      <c r="J115" s="43">
        <f t="shared" ref="J115:N115" si="264">+IFERROR(J114/I114-1,"nm")</f>
        <v>6.0000000000000053E-2</v>
      </c>
      <c r="K115" s="43">
        <f t="shared" si="264"/>
        <v>6.0000000000000053E-2</v>
      </c>
      <c r="L115" s="43">
        <f t="shared" si="264"/>
        <v>6.0000000000000053E-2</v>
      </c>
      <c r="M115" s="43">
        <f t="shared" si="264"/>
        <v>6.0000000000000053E-2</v>
      </c>
      <c r="N115" s="43">
        <f t="shared" si="264"/>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5">J116*(1+K117)</f>
        <v>4619.1196</v>
      </c>
      <c r="L116" s="100">
        <f t="shared" si="265"/>
        <v>4896.2667760000004</v>
      </c>
      <c r="M116" s="100">
        <f t="shared" si="265"/>
        <v>5190.0427825600009</v>
      </c>
      <c r="N116" s="100">
        <f t="shared" si="265"/>
        <v>5501.4453495136013</v>
      </c>
    </row>
    <row r="117" spans="1:15">
      <c r="A117" s="40" t="s">
        <v>129</v>
      </c>
      <c r="B117" s="43" t="str">
        <f t="shared" ref="B117:H117" si="266">+IFERROR(B116/A116-1,"nm")</f>
        <v>nm</v>
      </c>
      <c r="C117" s="43">
        <f t="shared" si="266"/>
        <v>4.2030391205949424E-3</v>
      </c>
      <c r="D117" s="43">
        <f t="shared" si="266"/>
        <v>5.7630392788152074E-2</v>
      </c>
      <c r="E117" s="43">
        <f t="shared" si="266"/>
        <v>8.8280060882800715E-2</v>
      </c>
      <c r="F117" s="43">
        <f t="shared" si="266"/>
        <v>1.3146853146853044E-2</v>
      </c>
      <c r="G117" s="43">
        <f t="shared" si="266"/>
        <v>-4.7763666482606326E-2</v>
      </c>
      <c r="H117" s="43">
        <f t="shared" si="266"/>
        <v>6.0887213685126174E-2</v>
      </c>
      <c r="I117" s="43">
        <f>+IFERROR(I116/H116-1,"nm")</f>
        <v>0.12353101940420874</v>
      </c>
      <c r="J117" s="74">
        <f>J119+J118</f>
        <v>0.06</v>
      </c>
      <c r="K117" s="74">
        <f t="shared" ref="K117:N117" si="267">K119+K118</f>
        <v>0.06</v>
      </c>
      <c r="L117" s="74">
        <f t="shared" si="267"/>
        <v>0.06</v>
      </c>
      <c r="M117" s="74">
        <f t="shared" si="267"/>
        <v>0.06</v>
      </c>
      <c r="N117" s="74">
        <f t="shared" si="267"/>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8">+IFERROR(B117-B118,"nm")</f>
        <v>nm</v>
      </c>
      <c r="C119" s="43">
        <f t="shared" si="268"/>
        <v>-0.47579696087940504</v>
      </c>
      <c r="D119" s="43">
        <f t="shared" si="268"/>
        <v>-0.18236960721184792</v>
      </c>
      <c r="E119" s="43">
        <f t="shared" si="268"/>
        <v>-1.7199391171992817E-3</v>
      </c>
      <c r="F119" s="43">
        <f t="shared" si="268"/>
        <v>-0.10685314685314695</v>
      </c>
      <c r="G119" s="43">
        <f t="shared" si="268"/>
        <v>-4.7763666482606326E-2</v>
      </c>
      <c r="H119" s="43">
        <f t="shared" si="268"/>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69">J120*(1+K121)</f>
        <v>1808.9960000000003</v>
      </c>
      <c r="L120" s="100">
        <f t="shared" si="269"/>
        <v>1917.5357600000004</v>
      </c>
      <c r="M120" s="100">
        <f t="shared" si="269"/>
        <v>2032.5879056000006</v>
      </c>
      <c r="N120" s="100">
        <f t="shared" si="269"/>
        <v>2154.5431799360008</v>
      </c>
    </row>
    <row r="121" spans="1:15">
      <c r="A121" s="40" t="s">
        <v>129</v>
      </c>
      <c r="B121" s="43" t="str">
        <f t="shared" ref="B121:H121" si="270">+IFERROR(B120/A120-1,"nm")</f>
        <v>nm</v>
      </c>
      <c r="C121" s="43">
        <f t="shared" si="270"/>
        <v>-6.0751398880895313E-2</v>
      </c>
      <c r="D121" s="43">
        <f t="shared" si="270"/>
        <v>8.5106382978723527E-3</v>
      </c>
      <c r="E121" s="43">
        <f t="shared" si="270"/>
        <v>0.13670886075949373</v>
      </c>
      <c r="F121" s="43">
        <f t="shared" si="270"/>
        <v>3.563474387527843E-2</v>
      </c>
      <c r="G121" s="43">
        <f t="shared" si="270"/>
        <v>-2.1505376344086002E-2</v>
      </c>
      <c r="H121" s="43">
        <f t="shared" si="270"/>
        <v>9.4505494505494614E-2</v>
      </c>
      <c r="I121" s="43">
        <f>+IFERROR(I120/H120-1,"nm")</f>
        <v>7.7643908969210251E-2</v>
      </c>
      <c r="J121" s="74">
        <f>J122+J123</f>
        <v>0.06</v>
      </c>
      <c r="K121" s="74">
        <f t="shared" ref="K121:N121" si="271">K122+K123</f>
        <v>0.06</v>
      </c>
      <c r="L121" s="74">
        <f t="shared" si="271"/>
        <v>0.06</v>
      </c>
      <c r="M121" s="74">
        <f t="shared" si="271"/>
        <v>0.06</v>
      </c>
      <c r="N121" s="74">
        <f t="shared" si="271"/>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2">+IFERROR(B121-B122,"nm")</f>
        <v>nm</v>
      </c>
      <c r="C123" s="43">
        <f t="shared" si="272"/>
        <v>-0.22075139888089532</v>
      </c>
      <c r="D123" s="43">
        <f t="shared" si="272"/>
        <v>-0.17148936170212764</v>
      </c>
      <c r="E123" s="43">
        <f t="shared" si="272"/>
        <v>-1.3291139240506261E-2</v>
      </c>
      <c r="F123" s="43">
        <f t="shared" si="272"/>
        <v>-0.11436525612472156</v>
      </c>
      <c r="G123" s="43">
        <f t="shared" si="272"/>
        <v>-5.1505376344086001E-2</v>
      </c>
      <c r="H123" s="43">
        <f t="shared" si="272"/>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3">J124*(1+K125)</f>
        <v>262.92240000000004</v>
      </c>
      <c r="L124" s="100">
        <f t="shared" si="273"/>
        <v>278.69774400000006</v>
      </c>
      <c r="M124" s="100">
        <f t="shared" si="273"/>
        <v>295.41960864000009</v>
      </c>
      <c r="N124" s="100">
        <f t="shared" si="273"/>
        <v>313.14478515840011</v>
      </c>
    </row>
    <row r="125" spans="1:15">
      <c r="A125" s="40" t="s">
        <v>129</v>
      </c>
      <c r="B125" s="43" t="str">
        <f t="shared" ref="B125:H125" si="274">+IFERROR(B124/A124-1,"nm")</f>
        <v>nm</v>
      </c>
      <c r="C125" s="43">
        <f t="shared" si="274"/>
        <v>-6.4724919093851141E-2</v>
      </c>
      <c r="D125" s="43">
        <f t="shared" si="274"/>
        <v>-7.6124567474048388E-2</v>
      </c>
      <c r="E125" s="43">
        <f t="shared" si="274"/>
        <v>-8.6142322097378266E-2</v>
      </c>
      <c r="F125" s="43">
        <f t="shared" si="274"/>
        <v>-2.8688524590163911E-2</v>
      </c>
      <c r="G125" s="43">
        <f t="shared" si="274"/>
        <v>-9.7046413502109741E-2</v>
      </c>
      <c r="H125" s="43">
        <f t="shared" si="274"/>
        <v>-0.11214953271028039</v>
      </c>
      <c r="I125" s="43">
        <f>+IFERROR(I124/H124-1,"nm")</f>
        <v>0.23157894736842111</v>
      </c>
      <c r="J125" s="74">
        <f>J126+J127</f>
        <v>0.06</v>
      </c>
      <c r="K125" s="74">
        <f t="shared" ref="K125:N125" si="275">K126+K127</f>
        <v>0.06</v>
      </c>
      <c r="L125" s="74">
        <f t="shared" si="275"/>
        <v>0.06</v>
      </c>
      <c r="M125" s="74">
        <f t="shared" si="275"/>
        <v>0.06</v>
      </c>
      <c r="N125" s="74">
        <f t="shared" si="275"/>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6">+IFERROR(B125-B126,"nm")</f>
        <v>nm</v>
      </c>
      <c r="C127" s="43">
        <f t="shared" si="276"/>
        <v>-0.20472491909385115</v>
      </c>
      <c r="D127" s="43">
        <f t="shared" si="276"/>
        <v>-3.6124567474048387E-2</v>
      </c>
      <c r="E127" s="43">
        <f t="shared" si="276"/>
        <v>-6.1423220973782638E-3</v>
      </c>
      <c r="F127" s="43">
        <f t="shared" si="276"/>
        <v>-0.10868852459016391</v>
      </c>
      <c r="G127" s="43">
        <f t="shared" si="276"/>
        <v>-5.704641350210974E-2</v>
      </c>
      <c r="H127" s="43">
        <f t="shared" si="276"/>
        <v>-2.214953271028039E-2</v>
      </c>
      <c r="I127" s="43">
        <f>+IFERROR(I125-I126,"nm")</f>
        <v>-4.842105263157892E-2</v>
      </c>
      <c r="J127" s="27">
        <v>0</v>
      </c>
      <c r="K127" s="27">
        <v>0</v>
      </c>
      <c r="L127" s="27">
        <v>0</v>
      </c>
      <c r="M127" s="27">
        <v>0</v>
      </c>
      <c r="N127" s="27">
        <v>0</v>
      </c>
    </row>
    <row r="128" spans="1:15">
      <c r="A128" s="9" t="s">
        <v>130</v>
      </c>
      <c r="B128" s="44">
        <f t="shared" ref="B128:H128" si="277">+B135+B131</f>
        <v>967</v>
      </c>
      <c r="C128" s="44">
        <f t="shared" si="277"/>
        <v>1044</v>
      </c>
      <c r="D128" s="44">
        <f t="shared" si="277"/>
        <v>1034</v>
      </c>
      <c r="E128" s="44">
        <f t="shared" si="277"/>
        <v>1244</v>
      </c>
      <c r="F128" s="44">
        <f t="shared" si="277"/>
        <v>1376</v>
      </c>
      <c r="G128" s="44">
        <f t="shared" si="277"/>
        <v>1230</v>
      </c>
      <c r="H128" s="44">
        <f t="shared" si="277"/>
        <v>1573</v>
      </c>
      <c r="I128" s="44">
        <f>+I135+I131</f>
        <v>1938</v>
      </c>
      <c r="J128" s="44">
        <f>I128-(0.16*I128)</f>
        <v>1627.92</v>
      </c>
      <c r="K128" s="44">
        <f>J128+(0.1*J128)</f>
        <v>1790.712</v>
      </c>
      <c r="L128" s="44">
        <f t="shared" ref="L128:N128" si="278">K128+(0.1*K128)</f>
        <v>1969.7832000000001</v>
      </c>
      <c r="M128" s="44">
        <f t="shared" si="278"/>
        <v>2166.76152</v>
      </c>
      <c r="N128" s="44">
        <f t="shared" si="278"/>
        <v>2383.437672</v>
      </c>
    </row>
    <row r="129" spans="1:15">
      <c r="A129" s="42" t="s">
        <v>129</v>
      </c>
      <c r="B129" s="43" t="str">
        <f t="shared" ref="B129:H129" si="279">+IFERROR(B128/A128-1,"nm")</f>
        <v>nm</v>
      </c>
      <c r="C129" s="43">
        <f t="shared" si="279"/>
        <v>7.962771458117901E-2</v>
      </c>
      <c r="D129" s="43">
        <f t="shared" si="279"/>
        <v>-9.5785440613026518E-3</v>
      </c>
      <c r="E129" s="43">
        <f t="shared" si="279"/>
        <v>0.20309477756286265</v>
      </c>
      <c r="F129" s="43">
        <f t="shared" si="279"/>
        <v>0.10610932475884249</v>
      </c>
      <c r="G129" s="43">
        <f t="shared" si="279"/>
        <v>-0.10610465116279066</v>
      </c>
      <c r="H129" s="43">
        <f t="shared" si="279"/>
        <v>0.27886178861788613</v>
      </c>
      <c r="I129" s="43">
        <f>+IFERROR(I128/H128-1,"nm")</f>
        <v>0.23204068658614108</v>
      </c>
      <c r="J129" s="43">
        <f t="shared" ref="J129:N129" si="280">+IFERROR(J128/I128-1,"nm")</f>
        <v>-0.15999999999999992</v>
      </c>
      <c r="K129" s="43">
        <f t="shared" si="280"/>
        <v>9.9999999999999867E-2</v>
      </c>
      <c r="L129" s="43">
        <f t="shared" si="280"/>
        <v>0.10000000000000009</v>
      </c>
      <c r="M129" s="43">
        <f t="shared" si="280"/>
        <v>9.9999999999999867E-2</v>
      </c>
      <c r="N129" s="43">
        <f t="shared" si="280"/>
        <v>0.10000000000000009</v>
      </c>
    </row>
    <row r="130" spans="1:15">
      <c r="A130" s="50" t="s">
        <v>131</v>
      </c>
      <c r="B130" s="51">
        <f>+IFERROR(B128/B$114,"nm")</f>
        <v>0.20782290995056951</v>
      </c>
      <c r="C130" s="51">
        <f t="shared" ref="C130:I130" si="281">+IFERROR(C128/C$114,"nm")</f>
        <v>0.22844638949671772</v>
      </c>
      <c r="D130" s="51">
        <f t="shared" si="281"/>
        <v>0.21828161283512773</v>
      </c>
      <c r="E130" s="51">
        <f t="shared" si="281"/>
        <v>0.2408052651955091</v>
      </c>
      <c r="F130" s="51">
        <f t="shared" si="281"/>
        <v>0.26189569851541683</v>
      </c>
      <c r="G130" s="51">
        <f t="shared" si="281"/>
        <v>0.24463007159904535</v>
      </c>
      <c r="H130" s="51">
        <f t="shared" si="281"/>
        <v>0.2944038929440389</v>
      </c>
      <c r="I130" s="51">
        <f t="shared" si="281"/>
        <v>0.32544080604534004</v>
      </c>
      <c r="J130" s="74">
        <f>I130</f>
        <v>0.32544080604534004</v>
      </c>
      <c r="K130" s="74">
        <f t="shared" ref="K130:N130" si="282">J130</f>
        <v>0.32544080604534004</v>
      </c>
      <c r="L130" s="74">
        <f t="shared" si="282"/>
        <v>0.32544080604534004</v>
      </c>
      <c r="M130" s="74">
        <f t="shared" si="282"/>
        <v>0.32544080604534004</v>
      </c>
      <c r="N130" s="74">
        <f t="shared" si="282"/>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3">J131-(0.16*J131)</f>
        <v>29.635200000000001</v>
      </c>
      <c r="L131" s="101">
        <f t="shared" si="283"/>
        <v>24.893568000000002</v>
      </c>
      <c r="M131" s="101">
        <f t="shared" si="283"/>
        <v>20.910597120000002</v>
      </c>
      <c r="N131" s="101">
        <f t="shared" si="283"/>
        <v>17.564901580800001</v>
      </c>
    </row>
    <row r="132" spans="1:15">
      <c r="A132" s="42" t="s">
        <v>129</v>
      </c>
      <c r="B132" s="43" t="str">
        <f t="shared" ref="B132:H132" si="284">+IFERROR(B131/A131-1,"nm")</f>
        <v>nm</v>
      </c>
      <c r="C132" s="43">
        <f t="shared" si="284"/>
        <v>-0.1428571428571429</v>
      </c>
      <c r="D132" s="43">
        <f t="shared" si="284"/>
        <v>0.28571428571428581</v>
      </c>
      <c r="E132" s="43">
        <f t="shared" si="284"/>
        <v>1.8518518518518601E-2</v>
      </c>
      <c r="F132" s="43">
        <f t="shared" si="284"/>
        <v>-3.6363636363636376E-2</v>
      </c>
      <c r="G132" s="43">
        <f t="shared" si="284"/>
        <v>-0.13207547169811318</v>
      </c>
      <c r="H132" s="43">
        <f t="shared" si="284"/>
        <v>-6.5217391304347783E-2</v>
      </c>
      <c r="I132" s="43">
        <f>+IFERROR(I131/H131-1,"nm")</f>
        <v>-2.3255813953488413E-2</v>
      </c>
      <c r="J132" s="43">
        <f t="shared" ref="J132:N132" si="285">+IFERROR(J131/I131-1,"nm")</f>
        <v>-0.15999999999999992</v>
      </c>
      <c r="K132" s="43">
        <f t="shared" si="285"/>
        <v>-0.16000000000000003</v>
      </c>
      <c r="L132" s="43">
        <f t="shared" si="285"/>
        <v>-0.15999999999999992</v>
      </c>
      <c r="M132" s="43">
        <f t="shared" si="285"/>
        <v>-0.16000000000000003</v>
      </c>
      <c r="N132" s="43">
        <f t="shared" si="285"/>
        <v>-0.16000000000000003</v>
      </c>
    </row>
    <row r="133" spans="1:15">
      <c r="A133" s="50" t="s">
        <v>133</v>
      </c>
      <c r="B133" s="51">
        <f>+IFERROR(B131/B$114,"nm")</f>
        <v>1.053084031807436E-2</v>
      </c>
      <c r="C133" s="51">
        <f t="shared" ref="C133:I133" si="286">+IFERROR(C131/C$114,"nm")</f>
        <v>9.1903719912472641E-3</v>
      </c>
      <c r="D133" s="51">
        <f t="shared" si="286"/>
        <v>1.1399620012666244E-2</v>
      </c>
      <c r="E133" s="51">
        <f t="shared" si="286"/>
        <v>1.064653503677894E-2</v>
      </c>
      <c r="F133" s="51">
        <f t="shared" si="286"/>
        <v>1.0087552341073468E-2</v>
      </c>
      <c r="G133" s="51">
        <f t="shared" si="286"/>
        <v>9.148766905330152E-3</v>
      </c>
      <c r="H133" s="51">
        <f t="shared" si="286"/>
        <v>8.0479131574022079E-3</v>
      </c>
      <c r="I133" s="51">
        <f t="shared" si="286"/>
        <v>7.0528967254408059E-3</v>
      </c>
      <c r="J133" s="74">
        <f>I133</f>
        <v>7.0528967254408059E-3</v>
      </c>
      <c r="K133" s="74">
        <f t="shared" ref="K133:N133" si="287">J133</f>
        <v>7.0528967254408059E-3</v>
      </c>
      <c r="L133" s="74">
        <f t="shared" si="287"/>
        <v>7.0528967254408059E-3</v>
      </c>
      <c r="M133" s="74">
        <f t="shared" si="287"/>
        <v>7.0528967254408059E-3</v>
      </c>
      <c r="N133" s="74">
        <f t="shared" si="287"/>
        <v>7.0528967254408059E-3</v>
      </c>
    </row>
    <row r="134" spans="1:15">
      <c r="A134" s="50" t="s">
        <v>140</v>
      </c>
      <c r="B134" s="51">
        <f>IFERROR(B131/B141,"nm")</f>
        <v>0.15909090909090909</v>
      </c>
      <c r="C134" s="51">
        <f t="shared" ref="C134:I134" si="288">IFERROR(C131/C141,"nm")</f>
        <v>0.12650602409638553</v>
      </c>
      <c r="D134" s="51">
        <f t="shared" si="288"/>
        <v>0.1588235294117647</v>
      </c>
      <c r="E134" s="51">
        <f t="shared" si="288"/>
        <v>0.16224188790560473</v>
      </c>
      <c r="F134" s="51">
        <f t="shared" si="288"/>
        <v>0.16257668711656442</v>
      </c>
      <c r="G134" s="51">
        <f t="shared" si="288"/>
        <v>0.1554054054054054</v>
      </c>
      <c r="H134" s="51">
        <f t="shared" si="288"/>
        <v>0.14144736842105263</v>
      </c>
      <c r="I134" s="51">
        <f t="shared" si="288"/>
        <v>0.15328467153284672</v>
      </c>
      <c r="J134" s="74">
        <f>I134</f>
        <v>0.15328467153284672</v>
      </c>
      <c r="K134" s="74">
        <f t="shared" ref="K134:N134" si="289">J134</f>
        <v>0.15328467153284672</v>
      </c>
      <c r="L134" s="74">
        <f t="shared" si="289"/>
        <v>0.15328467153284672</v>
      </c>
      <c r="M134" s="74">
        <f t="shared" si="289"/>
        <v>0.15328467153284672</v>
      </c>
      <c r="N134" s="74">
        <f t="shared" si="289"/>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0">K128-K131</f>
        <v>1761.0768</v>
      </c>
      <c r="L135" s="44">
        <f t="shared" si="290"/>
        <v>1944.8896320000001</v>
      </c>
      <c r="M135" s="44">
        <f t="shared" si="290"/>
        <v>2145.8509228799999</v>
      </c>
      <c r="N135" s="44">
        <f t="shared" si="290"/>
        <v>2365.8727704192002</v>
      </c>
      <c r="O135" t="s">
        <v>208</v>
      </c>
    </row>
    <row r="136" spans="1:15">
      <c r="A136" s="42" t="s">
        <v>129</v>
      </c>
      <c r="B136" s="43" t="str">
        <f t="shared" ref="B136:H136" si="291">+IFERROR(B135/A135-1,"nm")</f>
        <v>nm</v>
      </c>
      <c r="C136" s="43">
        <f t="shared" si="291"/>
        <v>9.1503267973856106E-2</v>
      </c>
      <c r="D136" s="43">
        <f t="shared" si="291"/>
        <v>-2.1956087824351322E-2</v>
      </c>
      <c r="E136" s="43">
        <f t="shared" si="291"/>
        <v>0.21326530612244898</v>
      </c>
      <c r="F136" s="43">
        <f t="shared" si="291"/>
        <v>0.11269974768713209</v>
      </c>
      <c r="G136" s="43">
        <f t="shared" si="291"/>
        <v>-0.1050642479213908</v>
      </c>
      <c r="H136" s="43">
        <f t="shared" si="291"/>
        <v>0.29222972972972983</v>
      </c>
      <c r="I136" s="43">
        <f>+IFERROR(I135/H135-1,"nm")</f>
        <v>0.23921568627450984</v>
      </c>
      <c r="J136" s="43">
        <f t="shared" ref="J136:N136" si="292">+IFERROR(J135/I135-1,"nm")</f>
        <v>-0.15999999999999992</v>
      </c>
      <c r="K136" s="43">
        <f t="shared" si="292"/>
        <v>0.10575949367088611</v>
      </c>
      <c r="L136" s="43">
        <f t="shared" si="292"/>
        <v>0.10437525041497353</v>
      </c>
      <c r="M136" s="43">
        <f t="shared" si="292"/>
        <v>0.10332786373761693</v>
      </c>
      <c r="N136" s="43">
        <f t="shared" si="292"/>
        <v>0.10253361274692074</v>
      </c>
    </row>
    <row r="137" spans="1:15">
      <c r="A137" s="42" t="s">
        <v>131</v>
      </c>
      <c r="B137" s="43">
        <f>+IFERROR(B135/B$114,"nm")</f>
        <v>0.19729206963249515</v>
      </c>
      <c r="C137" s="43">
        <f t="shared" ref="C137:I137" si="293">+IFERROR(C135/C$114,"nm")</f>
        <v>0.21925601750547047</v>
      </c>
      <c r="D137" s="43">
        <f t="shared" si="293"/>
        <v>0.20688199282246147</v>
      </c>
      <c r="E137" s="43">
        <f t="shared" si="293"/>
        <v>0.23015873015873015</v>
      </c>
      <c r="F137" s="43">
        <f t="shared" si="293"/>
        <v>0.25180814617434338</v>
      </c>
      <c r="G137" s="43">
        <f t="shared" si="293"/>
        <v>0.2354813046937152</v>
      </c>
      <c r="H137" s="43">
        <f t="shared" si="293"/>
        <v>0.28635597978663674</v>
      </c>
      <c r="I137" s="43">
        <f t="shared" si="293"/>
        <v>0.31838790931989924</v>
      </c>
      <c r="J137" s="74">
        <f>I137</f>
        <v>0.31838790931989924</v>
      </c>
      <c r="K137" s="74">
        <f t="shared" ref="K137:N137" si="294">J137</f>
        <v>0.31838790931989924</v>
      </c>
      <c r="L137" s="74">
        <f t="shared" si="294"/>
        <v>0.31838790931989924</v>
      </c>
      <c r="M137" s="74">
        <f t="shared" si="294"/>
        <v>0.31838790931989924</v>
      </c>
      <c r="N137" s="74">
        <f t="shared" si="294"/>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5">K114*K140</f>
        <v>62.921600000000005</v>
      </c>
      <c r="L138" s="101">
        <f t="shared" si="295"/>
        <v>66.69689600000001</v>
      </c>
      <c r="M138" s="101">
        <f t="shared" si="295"/>
        <v>70.698709760000014</v>
      </c>
      <c r="N138" s="101">
        <f t="shared" si="295"/>
        <v>74.940632345600008</v>
      </c>
    </row>
    <row r="139" spans="1:15">
      <c r="A139" s="42" t="s">
        <v>129</v>
      </c>
      <c r="B139" s="43" t="str">
        <f t="shared" ref="B139:H139" si="296">+IFERROR(B138/A138-1,"nm")</f>
        <v>nm</v>
      </c>
      <c r="C139" s="43">
        <f t="shared" si="296"/>
        <v>0.19230769230769229</v>
      </c>
      <c r="D139" s="43">
        <f t="shared" si="296"/>
        <v>-4.8387096774193505E-2</v>
      </c>
      <c r="E139" s="43">
        <f t="shared" si="296"/>
        <v>-0.16949152542372881</v>
      </c>
      <c r="F139" s="43">
        <f t="shared" si="296"/>
        <v>-4.081632653061229E-2</v>
      </c>
      <c r="G139" s="43">
        <f t="shared" si="296"/>
        <v>-0.12765957446808507</v>
      </c>
      <c r="H139" s="43">
        <f t="shared" si="296"/>
        <v>0.31707317073170738</v>
      </c>
      <c r="I139" s="43">
        <f>+IFERROR(I138/H138-1,"nm")</f>
        <v>3.7037037037036979E-2</v>
      </c>
      <c r="J139" s="43">
        <f t="shared" ref="J139:N139" si="297">+IFERROR(J138/I138-1,"nm")</f>
        <v>6.0000000000000053E-2</v>
      </c>
      <c r="K139" s="43">
        <f t="shared" si="297"/>
        <v>6.0000000000000053E-2</v>
      </c>
      <c r="L139" s="43">
        <f t="shared" si="297"/>
        <v>6.0000000000000053E-2</v>
      </c>
      <c r="M139" s="43">
        <f t="shared" si="297"/>
        <v>6.0000000000000053E-2</v>
      </c>
      <c r="N139" s="43">
        <f t="shared" si="297"/>
        <v>5.9999999999999831E-2</v>
      </c>
    </row>
    <row r="140" spans="1:15">
      <c r="A140" s="50" t="s">
        <v>133</v>
      </c>
      <c r="B140" s="51">
        <f>+IFERROR(B138/B$114,"nm")</f>
        <v>1.117558564367075E-2</v>
      </c>
      <c r="C140" s="51">
        <f t="shared" ref="C140:I140" si="298">+IFERROR(C138/C$114,"nm")</f>
        <v>1.3566739606126914E-2</v>
      </c>
      <c r="D140" s="51">
        <f t="shared" si="298"/>
        <v>1.2455140384209416E-2</v>
      </c>
      <c r="E140" s="51">
        <f t="shared" si="298"/>
        <v>9.485094850948509E-3</v>
      </c>
      <c r="F140" s="51">
        <f t="shared" si="298"/>
        <v>8.9455652835934533E-3</v>
      </c>
      <c r="G140" s="51">
        <f t="shared" si="298"/>
        <v>8.1543357199681775E-3</v>
      </c>
      <c r="H140" s="51">
        <f t="shared" si="298"/>
        <v>1.0106681639528355E-2</v>
      </c>
      <c r="I140" s="51">
        <f t="shared" si="298"/>
        <v>9.4038623005877411E-3</v>
      </c>
      <c r="J140" s="74">
        <f>I140</f>
        <v>9.4038623005877411E-3</v>
      </c>
      <c r="K140" s="74">
        <f t="shared" ref="K140:N140" si="299">J140</f>
        <v>9.4038623005877411E-3</v>
      </c>
      <c r="L140" s="74">
        <f t="shared" si="299"/>
        <v>9.4038623005877411E-3</v>
      </c>
      <c r="M140" s="74">
        <f t="shared" si="299"/>
        <v>9.4038623005877411E-3</v>
      </c>
      <c r="N140" s="74">
        <f t="shared" si="299"/>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0">K114*K143</f>
        <v>307.8664</v>
      </c>
      <c r="L141" s="101">
        <f t="shared" si="300"/>
        <v>326.33838400000008</v>
      </c>
      <c r="M141" s="101">
        <f t="shared" si="300"/>
        <v>345.91868704000007</v>
      </c>
      <c r="N141" s="101">
        <f t="shared" si="300"/>
        <v>366.67380826240009</v>
      </c>
    </row>
    <row r="142" spans="1:15">
      <c r="A142" s="50" t="s">
        <v>129</v>
      </c>
      <c r="B142" s="71" t="str">
        <f>IFERROR(B141/A141-1,"nm")</f>
        <v>nm</v>
      </c>
      <c r="C142" s="71">
        <f t="shared" ref="C142:I142" si="301">IFERROR(C141/B141-1,"nm")</f>
        <v>7.7922077922077948E-2</v>
      </c>
      <c r="D142" s="71">
        <f t="shared" si="301"/>
        <v>2.4096385542168752E-2</v>
      </c>
      <c r="E142" s="71">
        <f t="shared" si="301"/>
        <v>-2.9411764705882248E-3</v>
      </c>
      <c r="F142" s="71">
        <f t="shared" si="301"/>
        <v>-3.8348082595870192E-2</v>
      </c>
      <c r="G142" s="71">
        <f t="shared" si="301"/>
        <v>-9.2024539877300637E-2</v>
      </c>
      <c r="H142" s="71">
        <f t="shared" si="301"/>
        <v>2.7027027027026973E-2</v>
      </c>
      <c r="I142" s="71">
        <f t="shared" si="301"/>
        <v>-9.8684210526315819E-2</v>
      </c>
      <c r="J142" s="71">
        <f t="shared" ref="J142" si="302">IFERROR(J141/I141-1,"nm")</f>
        <v>6.0000000000000053E-2</v>
      </c>
      <c r="K142" s="71">
        <f t="shared" ref="K142" si="303">IFERROR(K141/J141-1,"nm")</f>
        <v>6.0000000000000053E-2</v>
      </c>
      <c r="L142" s="71">
        <f t="shared" ref="L142" si="304">IFERROR(L141/K141-1,"nm")</f>
        <v>6.0000000000000275E-2</v>
      </c>
      <c r="M142" s="71">
        <f t="shared" ref="M142" si="305">IFERROR(M141/L141-1,"nm")</f>
        <v>6.0000000000000053E-2</v>
      </c>
      <c r="N142" s="71">
        <f t="shared" ref="N142" si="306">IFERROR(N141/M141-1,"nm")</f>
        <v>6.0000000000000053E-2</v>
      </c>
    </row>
    <row r="143" spans="1:15">
      <c r="A143" s="50" t="s">
        <v>155</v>
      </c>
      <c r="B143" s="71">
        <f>IFERROR(B141/B$114,"nm")</f>
        <v>6.6193853427895979E-2</v>
      </c>
      <c r="C143" s="71">
        <f t="shared" ref="C143:I143" si="307">IFERROR(C141/C$114,"nm")</f>
        <v>7.264770240700219E-2</v>
      </c>
      <c r="D143" s="71">
        <f t="shared" si="307"/>
        <v>7.1775385264935612E-2</v>
      </c>
      <c r="E143" s="71">
        <f t="shared" si="307"/>
        <v>6.5621370499419282E-2</v>
      </c>
      <c r="F143" s="71">
        <f t="shared" si="307"/>
        <v>6.2047963456414161E-2</v>
      </c>
      <c r="G143" s="71">
        <f t="shared" si="307"/>
        <v>5.88703261734288E-2</v>
      </c>
      <c r="H143" s="71">
        <f t="shared" si="307"/>
        <v>5.6896874415122589E-2</v>
      </c>
      <c r="I143" s="71">
        <f t="shared" si="307"/>
        <v>4.6011754827875735E-2</v>
      </c>
      <c r="J143" s="74">
        <f>I143</f>
        <v>4.6011754827875735E-2</v>
      </c>
      <c r="K143" s="74">
        <f t="shared" ref="K143:N143" si="308">J143</f>
        <v>4.6011754827875735E-2</v>
      </c>
      <c r="L143" s="74">
        <f t="shared" si="308"/>
        <v>4.6011754827875735E-2</v>
      </c>
      <c r="M143" s="74">
        <f t="shared" si="308"/>
        <v>4.6011754827875735E-2</v>
      </c>
      <c r="N143" s="74">
        <f t="shared" si="308"/>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09">J145*(1+K146)</f>
        <v>2621.0661539999996</v>
      </c>
      <c r="L145" s="100">
        <f t="shared" si="309"/>
        <v>2770.4669247779993</v>
      </c>
      <c r="M145" s="100">
        <f t="shared" si="309"/>
        <v>2928.3835394903454</v>
      </c>
      <c r="N145" s="100">
        <f t="shared" si="309"/>
        <v>3095.301401241295</v>
      </c>
    </row>
    <row r="146" spans="1:15">
      <c r="A146" s="53" t="s">
        <v>129</v>
      </c>
      <c r="B146" s="43" t="str">
        <f>IFERROR(B145/A145-1,"nm")</f>
        <v>nm</v>
      </c>
      <c r="C146" s="27">
        <f t="shared" ref="C146:I146" si="310">IFERROR(C145/B145-1,"nm")</f>
        <v>-1.3622603430877955E-2</v>
      </c>
      <c r="D146" s="27">
        <f t="shared" si="310"/>
        <v>4.4501278772378416E-2</v>
      </c>
      <c r="E146" s="27">
        <f t="shared" si="310"/>
        <v>-7.6395690499510338E-2</v>
      </c>
      <c r="F146" s="27">
        <f t="shared" si="310"/>
        <v>1.0604453870625585E-2</v>
      </c>
      <c r="G146" s="27">
        <f t="shared" si="310"/>
        <v>-3.147953830010497E-2</v>
      </c>
      <c r="H146" s="27">
        <f t="shared" si="310"/>
        <v>0.19447453954496208</v>
      </c>
      <c r="I146" s="27">
        <f t="shared" si="310"/>
        <v>6.3945578231292544E-2</v>
      </c>
      <c r="J146" s="74">
        <f>J147+J148</f>
        <v>5.7000000000000002E-2</v>
      </c>
      <c r="K146" s="74">
        <f t="shared" ref="K146:N146" si="311">K147+K148</f>
        <v>5.7000000000000002E-2</v>
      </c>
      <c r="L146" s="74">
        <f t="shared" si="311"/>
        <v>5.7000000000000002E-2</v>
      </c>
      <c r="M146" s="74">
        <f t="shared" si="311"/>
        <v>5.7000000000000002E-2</v>
      </c>
      <c r="N146" s="74">
        <f t="shared" si="311"/>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2">IFERROR(C146-C147,"nm")</f>
        <v>-3.3622603430877959E-2</v>
      </c>
      <c r="D148" s="55">
        <f t="shared" si="312"/>
        <v>-1.5498721227621581E-2</v>
      </c>
      <c r="E148" s="55">
        <f t="shared" si="312"/>
        <v>3.3604309500489662E-2</v>
      </c>
      <c r="F148" s="55">
        <f t="shared" si="312"/>
        <v>-1.9395546129374414E-2</v>
      </c>
      <c r="G148" s="55">
        <f t="shared" si="312"/>
        <v>-2.1479538300104968E-2</v>
      </c>
      <c r="H148" s="55">
        <f t="shared" si="312"/>
        <v>3.4474539544962074E-2</v>
      </c>
      <c r="I148" s="55">
        <f t="shared" si="312"/>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3">K159-K155</f>
        <v>747.43958099999986</v>
      </c>
      <c r="L149" s="101">
        <f t="shared" si="313"/>
        <v>790.04363711699978</v>
      </c>
      <c r="M149" s="101">
        <f t="shared" si="313"/>
        <v>835.07612443266885</v>
      </c>
      <c r="N149" s="101">
        <f t="shared" si="313"/>
        <v>882.675463525331</v>
      </c>
    </row>
    <row r="150" spans="1:15" s="56" customFormat="1">
      <c r="A150" s="42" t="s">
        <v>129</v>
      </c>
      <c r="B150" s="55" t="str">
        <f>IFERROR(B149/A149-1,"nm")</f>
        <v>nm</v>
      </c>
      <c r="C150" s="55">
        <f t="shared" ref="C150:I150" si="314">IFERROR(C149/B149-1,"nm")</f>
        <v>-5.8027079303675011E-2</v>
      </c>
      <c r="D150" s="55">
        <f t="shared" si="314"/>
        <v>-2.0533880903490731E-2</v>
      </c>
      <c r="E150" s="55">
        <f t="shared" si="314"/>
        <v>-0.35010482180293501</v>
      </c>
      <c r="F150" s="55">
        <f t="shared" si="314"/>
        <v>-2.2580645161290325E-2</v>
      </c>
      <c r="G150" s="55">
        <f t="shared" si="314"/>
        <v>-1.980198019801982E-2</v>
      </c>
      <c r="H150" s="55">
        <f t="shared" si="314"/>
        <v>0.82828282828282829</v>
      </c>
      <c r="I150" s="55">
        <f t="shared" si="314"/>
        <v>0.2320441988950277</v>
      </c>
      <c r="J150" s="55">
        <f t="shared" ref="J150" si="315">IFERROR(J149/I149-1,"nm")</f>
        <v>5.699999999999994E-2</v>
      </c>
      <c r="K150" s="55">
        <f t="shared" ref="K150" si="316">IFERROR(K149/J149-1,"nm")</f>
        <v>5.699999999999994E-2</v>
      </c>
      <c r="L150" s="55">
        <f t="shared" ref="L150" si="317">IFERROR(L149/K149-1,"nm")</f>
        <v>5.699999999999994E-2</v>
      </c>
      <c r="M150" s="55">
        <f t="shared" ref="M150" si="318">IFERROR(M149/L149-1,"nm")</f>
        <v>5.7000000000000162E-2</v>
      </c>
      <c r="N150" s="55">
        <f t="shared" ref="N150" si="319">IFERROR(N149/M149-1,"nm")</f>
        <v>5.699999999999994E-2</v>
      </c>
    </row>
    <row r="151" spans="1:15" s="56" customFormat="1">
      <c r="A151" s="42" t="s">
        <v>131</v>
      </c>
      <c r="B151" s="55">
        <f>IFERROR(B149/B145,"nm")</f>
        <v>0.26084762865792127</v>
      </c>
      <c r="C151" s="55">
        <f t="shared" ref="C151:I151" si="320">IFERROR(C149/C145,"nm")</f>
        <v>0.24910485933503837</v>
      </c>
      <c r="D151" s="55">
        <f t="shared" si="320"/>
        <v>0.23359451518119489</v>
      </c>
      <c r="E151" s="55">
        <f t="shared" si="320"/>
        <v>0.16436903499469777</v>
      </c>
      <c r="F151" s="55">
        <f t="shared" si="320"/>
        <v>0.1589716684155299</v>
      </c>
      <c r="G151" s="55">
        <f t="shared" si="320"/>
        <v>0.16088840736728061</v>
      </c>
      <c r="H151" s="55">
        <f t="shared" si="320"/>
        <v>0.24625850340136055</v>
      </c>
      <c r="I151" s="55">
        <f t="shared" si="320"/>
        <v>0.28516624040920718</v>
      </c>
      <c r="J151" s="83">
        <f>I151</f>
        <v>0.28516624040920718</v>
      </c>
      <c r="K151" s="83">
        <f t="shared" ref="K151:N151" si="321">J151</f>
        <v>0.28516624040920718</v>
      </c>
      <c r="L151" s="83">
        <f t="shared" si="321"/>
        <v>0.28516624040920718</v>
      </c>
      <c r="M151" s="83">
        <f t="shared" si="321"/>
        <v>0.28516624040920718</v>
      </c>
      <c r="N151" s="83">
        <f t="shared" si="321"/>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2">K145*K154</f>
        <v>10.055240999999999</v>
      </c>
      <c r="L152" s="101">
        <f t="shared" si="322"/>
        <v>10.628389736999997</v>
      </c>
      <c r="M152" s="101">
        <f t="shared" si="322"/>
        <v>11.234207952008997</v>
      </c>
      <c r="N152" s="101">
        <f t="shared" si="322"/>
        <v>11.874557805273511</v>
      </c>
    </row>
    <row r="153" spans="1:15" s="56" customFormat="1">
      <c r="A153" s="42" t="s">
        <v>129</v>
      </c>
      <c r="B153" s="55" t="str">
        <f>IFERROR(B152/A152-1,"nm")</f>
        <v>nm</v>
      </c>
      <c r="C153" s="55">
        <f t="shared" ref="C153:I153" si="323">IFERROR(C152/B152-1,"nm")</f>
        <v>-0.43478260869565222</v>
      </c>
      <c r="D153" s="55">
        <f t="shared" si="323"/>
        <v>-0.23076923076923073</v>
      </c>
      <c r="E153" s="55">
        <f t="shared" si="323"/>
        <v>-0.26666666666666672</v>
      </c>
      <c r="F153" s="55">
        <f t="shared" si="323"/>
        <v>-0.18181818181818177</v>
      </c>
      <c r="G153" s="55">
        <f t="shared" si="323"/>
        <v>-0.33333333333333337</v>
      </c>
      <c r="H153" s="55">
        <f t="shared" si="323"/>
        <v>-0.41666666666666663</v>
      </c>
      <c r="I153" s="55">
        <f t="shared" si="323"/>
        <v>0.28571428571428581</v>
      </c>
      <c r="J153" s="55">
        <f t="shared" ref="J153" si="324">IFERROR(J152/I152-1,"nm")</f>
        <v>5.699999999999994E-2</v>
      </c>
      <c r="K153" s="55">
        <f t="shared" ref="K153" si="325">IFERROR(K152/J152-1,"nm")</f>
        <v>5.699999999999994E-2</v>
      </c>
      <c r="L153" s="55">
        <f t="shared" ref="L153" si="326">IFERROR(L152/K152-1,"nm")</f>
        <v>5.699999999999994E-2</v>
      </c>
      <c r="M153" s="55">
        <f t="shared" ref="M153" si="327">IFERROR(M152/L152-1,"nm")</f>
        <v>5.699999999999994E-2</v>
      </c>
      <c r="N153" s="55">
        <f t="shared" ref="N153" si="328">IFERROR(N152/M152-1,"nm")</f>
        <v>5.7000000000000162E-2</v>
      </c>
    </row>
    <row r="154" spans="1:15" s="56" customFormat="1">
      <c r="A154" s="42" t="s">
        <v>133</v>
      </c>
      <c r="B154" s="55">
        <f>IFERROR(B152/B145,"nm")</f>
        <v>3.481331987891019E-2</v>
      </c>
      <c r="C154" s="55">
        <f t="shared" ref="C154:I154" si="329">IFERROR(C152/C145,"nm")</f>
        <v>1.9948849104859334E-2</v>
      </c>
      <c r="D154" s="55">
        <f t="shared" si="329"/>
        <v>1.4691478942213516E-2</v>
      </c>
      <c r="E154" s="55">
        <f t="shared" si="329"/>
        <v>1.166489925768823E-2</v>
      </c>
      <c r="F154" s="55">
        <f t="shared" si="329"/>
        <v>9.4438614900314802E-3</v>
      </c>
      <c r="G154" s="55">
        <f t="shared" si="329"/>
        <v>6.5005417118093175E-3</v>
      </c>
      <c r="H154" s="55">
        <f t="shared" si="329"/>
        <v>3.1746031746031746E-3</v>
      </c>
      <c r="I154" s="55">
        <f t="shared" si="329"/>
        <v>3.8363171355498722E-3</v>
      </c>
      <c r="J154" s="82">
        <f>I154</f>
        <v>3.8363171355498722E-3</v>
      </c>
      <c r="K154" s="82">
        <f t="shared" ref="K154:N154" si="330">J154</f>
        <v>3.8363171355498722E-3</v>
      </c>
      <c r="L154" s="82">
        <f t="shared" si="330"/>
        <v>3.8363171355498722E-3</v>
      </c>
      <c r="M154" s="82">
        <f t="shared" si="330"/>
        <v>3.8363171355498722E-3</v>
      </c>
      <c r="N154" s="82">
        <f t="shared" si="330"/>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1">K158*K162</f>
        <v>24.579477999999998</v>
      </c>
      <c r="L155" s="102">
        <f t="shared" si="331"/>
        <v>25.980508245999996</v>
      </c>
      <c r="M155" s="102">
        <f t="shared" si="331"/>
        <v>27.461397216021997</v>
      </c>
      <c r="N155" s="102">
        <f t="shared" si="331"/>
        <v>29.026696857335249</v>
      </c>
    </row>
    <row r="156" spans="1:15" s="56" customFormat="1">
      <c r="A156" s="42" t="s">
        <v>129</v>
      </c>
      <c r="B156" s="58" t="str">
        <f>IFERROR(B155/A155-1,"nm")</f>
        <v>nm</v>
      </c>
      <c r="C156" s="58">
        <f t="shared" ref="C156:I156" si="332">IFERROR(C155/B155-1,"nm")</f>
        <v>0.5</v>
      </c>
      <c r="D156" s="58">
        <f t="shared" si="332"/>
        <v>3.7037037037036979E-2</v>
      </c>
      <c r="E156" s="58">
        <f t="shared" si="332"/>
        <v>0.1785714285714286</v>
      </c>
      <c r="F156" s="58">
        <f t="shared" si="332"/>
        <v>-6.0606060606060552E-2</v>
      </c>
      <c r="G156" s="58">
        <f t="shared" si="332"/>
        <v>-0.19354838709677424</v>
      </c>
      <c r="H156" s="58">
        <f t="shared" si="332"/>
        <v>4.0000000000000036E-2</v>
      </c>
      <c r="I156" s="58">
        <f t="shared" si="332"/>
        <v>-0.15384615384615385</v>
      </c>
      <c r="J156" s="58">
        <f t="shared" ref="J156" si="333">IFERROR(J155/I155-1,"nm")</f>
        <v>5.7000000000000162E-2</v>
      </c>
      <c r="K156" s="58">
        <f t="shared" ref="K156" si="334">IFERROR(K155/J155-1,"nm")</f>
        <v>5.699999999999994E-2</v>
      </c>
      <c r="L156" s="58">
        <f t="shared" ref="L156" si="335">IFERROR(L155/K155-1,"nm")</f>
        <v>5.699999999999994E-2</v>
      </c>
      <c r="M156" s="58">
        <f t="shared" ref="M156" si="336">IFERROR(M155/L155-1,"nm")</f>
        <v>5.699999999999994E-2</v>
      </c>
      <c r="N156" s="58">
        <f t="shared" ref="N156" si="337">IFERROR(N155/M155-1,"nm")</f>
        <v>5.699999999999994E-2</v>
      </c>
    </row>
    <row r="157" spans="1:15" s="56" customFormat="1">
      <c r="A157" s="42" t="s">
        <v>133</v>
      </c>
      <c r="B157" s="59">
        <f>IFERROR(B155/B145,"nm")</f>
        <v>9.0817356205852677E-3</v>
      </c>
      <c r="C157" s="59">
        <f t="shared" ref="C157:N157" si="338">IFERROR(C155/C145,"nm")</f>
        <v>1.3810741687979539E-2</v>
      </c>
      <c r="D157" s="59">
        <f t="shared" si="338"/>
        <v>1.3712047012732615E-2</v>
      </c>
      <c r="E157" s="59">
        <f t="shared" si="338"/>
        <v>1.7497348886532343E-2</v>
      </c>
      <c r="F157" s="59">
        <f t="shared" si="338"/>
        <v>1.6264428121720881E-2</v>
      </c>
      <c r="G157" s="59">
        <f t="shared" si="338"/>
        <v>1.3542795232936078E-2</v>
      </c>
      <c r="H157" s="59">
        <f t="shared" si="338"/>
        <v>1.1791383219954649E-2</v>
      </c>
      <c r="I157" s="59">
        <f t="shared" si="338"/>
        <v>9.3776641091219103E-3</v>
      </c>
      <c r="J157" s="59">
        <f t="shared" si="338"/>
        <v>9.3776641091219103E-3</v>
      </c>
      <c r="K157" s="59">
        <f t="shared" si="338"/>
        <v>9.3776641091219103E-3</v>
      </c>
      <c r="L157" s="59">
        <f t="shared" si="338"/>
        <v>9.3776641091219103E-3</v>
      </c>
      <c r="M157" s="59">
        <f t="shared" si="338"/>
        <v>9.3776641091219103E-3</v>
      </c>
      <c r="N157" s="59">
        <f t="shared" si="338"/>
        <v>9.3776641091219103E-3</v>
      </c>
    </row>
    <row r="158" spans="1:15" s="56" customFormat="1">
      <c r="A158" s="42" t="s">
        <v>140</v>
      </c>
      <c r="B158" s="59">
        <f>IFERROR(B155/B162,"nm")</f>
        <v>0.14754098360655737</v>
      </c>
      <c r="C158" s="59">
        <f t="shared" ref="C158:I158" si="339">IFERROR(C155/C162,"nm")</f>
        <v>0.216</v>
      </c>
      <c r="D158" s="59">
        <f t="shared" si="339"/>
        <v>0.224</v>
      </c>
      <c r="E158" s="59">
        <f t="shared" si="339"/>
        <v>0.28695652173913044</v>
      </c>
      <c r="F158" s="59">
        <f t="shared" si="339"/>
        <v>0.31</v>
      </c>
      <c r="G158" s="59">
        <f t="shared" si="339"/>
        <v>0.3125</v>
      </c>
      <c r="H158" s="59">
        <f t="shared" si="339"/>
        <v>0.41269841269841268</v>
      </c>
      <c r="I158" s="59">
        <f t="shared" si="339"/>
        <v>0.44897959183673469</v>
      </c>
      <c r="J158" s="81">
        <f>I158</f>
        <v>0.44897959183673469</v>
      </c>
      <c r="K158" s="81">
        <f t="shared" ref="K158:N158" si="340">J158</f>
        <v>0.44897959183673469</v>
      </c>
      <c r="L158" s="81">
        <f t="shared" si="340"/>
        <v>0.44897959183673469</v>
      </c>
      <c r="M158" s="81">
        <f t="shared" si="340"/>
        <v>0.44897959183673469</v>
      </c>
      <c r="N158" s="81">
        <f t="shared" si="340"/>
        <v>0.44897959183673469</v>
      </c>
    </row>
    <row r="159" spans="1:15" s="78" customFormat="1">
      <c r="A159" s="52" t="s">
        <v>130</v>
      </c>
      <c r="B159" s="68">
        <f>B149+B155</f>
        <v>535</v>
      </c>
      <c r="C159" s="68">
        <f t="shared" ref="C159:I159" si="341">C149+C155</f>
        <v>514</v>
      </c>
      <c r="D159" s="68">
        <f t="shared" si="341"/>
        <v>505</v>
      </c>
      <c r="E159" s="68">
        <f t="shared" si="341"/>
        <v>343</v>
      </c>
      <c r="F159" s="68">
        <f t="shared" si="341"/>
        <v>334</v>
      </c>
      <c r="G159" s="68">
        <f t="shared" si="341"/>
        <v>322</v>
      </c>
      <c r="H159" s="68">
        <f t="shared" si="341"/>
        <v>569</v>
      </c>
      <c r="I159" s="68">
        <f t="shared" si="341"/>
        <v>691</v>
      </c>
      <c r="J159" s="102">
        <f>J145*J161</f>
        <v>730.38699999999994</v>
      </c>
      <c r="K159" s="102">
        <f t="shared" ref="K159:N159" si="342">K145*K161</f>
        <v>772.01905899999986</v>
      </c>
      <c r="L159" s="102">
        <f t="shared" si="342"/>
        <v>816.02414536299977</v>
      </c>
      <c r="M159" s="102">
        <f t="shared" si="342"/>
        <v>862.53752164869081</v>
      </c>
      <c r="N159" s="102">
        <f t="shared" si="342"/>
        <v>911.70216038266619</v>
      </c>
    </row>
    <row r="160" spans="1:15" s="56" customFormat="1">
      <c r="A160" s="42" t="s">
        <v>129</v>
      </c>
      <c r="B160" s="58" t="str">
        <f t="shared" ref="B160:I160" si="343">IFERROR(B159/A159-1,"nm")</f>
        <v>nm</v>
      </c>
      <c r="C160" s="58">
        <f t="shared" si="343"/>
        <v>-3.9252336448598157E-2</v>
      </c>
      <c r="D160" s="58">
        <f t="shared" si="343"/>
        <v>-1.7509727626459193E-2</v>
      </c>
      <c r="E160" s="58">
        <f t="shared" si="343"/>
        <v>-0.32079207920792074</v>
      </c>
      <c r="F160" s="58">
        <f t="shared" si="343"/>
        <v>-2.6239067055393583E-2</v>
      </c>
      <c r="G160" s="58">
        <f t="shared" si="343"/>
        <v>-3.59281437125748E-2</v>
      </c>
      <c r="H160" s="58">
        <f t="shared" si="343"/>
        <v>0.76708074534161486</v>
      </c>
      <c r="I160" s="58">
        <f t="shared" si="343"/>
        <v>0.21441124780316345</v>
      </c>
      <c r="J160" s="58">
        <f t="shared" ref="J160" si="344">IFERROR(J159/I159-1,"nm")</f>
        <v>5.699999999999994E-2</v>
      </c>
      <c r="K160" s="58">
        <f t="shared" ref="K160" si="345">IFERROR(K159/J159-1,"nm")</f>
        <v>5.699999999999994E-2</v>
      </c>
      <c r="L160" s="58">
        <f t="shared" ref="L160" si="346">IFERROR(L159/K159-1,"nm")</f>
        <v>5.699999999999994E-2</v>
      </c>
      <c r="M160" s="58">
        <f t="shared" ref="M160" si="347">IFERROR(M159/L159-1,"nm")</f>
        <v>5.7000000000000162E-2</v>
      </c>
      <c r="N160" s="58">
        <f t="shared" ref="N160" si="348">IFERROR(N159/M159-1,"nm")</f>
        <v>5.699999999999994E-2</v>
      </c>
    </row>
    <row r="161" spans="1:15" s="56" customFormat="1">
      <c r="A161" s="42" t="s">
        <v>131</v>
      </c>
      <c r="B161" s="58">
        <f>IFERROR(B159/B145,"nm")</f>
        <v>0.26992936427850656</v>
      </c>
      <c r="C161" s="58">
        <f t="shared" ref="C161:I161" si="349">IFERROR(C159/C145,"nm")</f>
        <v>0.26291560102301792</v>
      </c>
      <c r="D161" s="58">
        <f t="shared" si="349"/>
        <v>0.24730656219392752</v>
      </c>
      <c r="E161" s="58">
        <f t="shared" si="349"/>
        <v>0.18186638388123011</v>
      </c>
      <c r="F161" s="58">
        <f t="shared" si="349"/>
        <v>0.17523609653725078</v>
      </c>
      <c r="G161" s="58">
        <f t="shared" si="349"/>
        <v>0.17443120260021669</v>
      </c>
      <c r="H161" s="58">
        <f t="shared" si="349"/>
        <v>0.25804988662131517</v>
      </c>
      <c r="I161" s="58">
        <f t="shared" si="349"/>
        <v>0.29454390451832907</v>
      </c>
      <c r="J161" s="79">
        <f>I161</f>
        <v>0.29454390451832907</v>
      </c>
      <c r="K161" s="79">
        <f t="shared" ref="K161:N161" si="350">J161</f>
        <v>0.29454390451832907</v>
      </c>
      <c r="L161" s="79">
        <f t="shared" si="350"/>
        <v>0.29454390451832907</v>
      </c>
      <c r="M161" s="79">
        <f t="shared" si="350"/>
        <v>0.29454390451832907</v>
      </c>
      <c r="N161" s="79">
        <f t="shared" si="350"/>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1">K145*K164</f>
        <v>54.745200999999994</v>
      </c>
      <c r="L162" s="102">
        <f t="shared" si="351"/>
        <v>57.86567745699999</v>
      </c>
      <c r="M162" s="102">
        <f t="shared" si="351"/>
        <v>61.164021072048989</v>
      </c>
      <c r="N162" s="102">
        <f t="shared" si="351"/>
        <v>64.650370273155787</v>
      </c>
    </row>
    <row r="163" spans="1:15" s="56" customFormat="1">
      <c r="A163" s="42" t="s">
        <v>129</v>
      </c>
      <c r="B163" s="66" t="str">
        <f>IFERROR(B162/A162-1,"nm")</f>
        <v>nm</v>
      </c>
      <c r="C163" s="66">
        <f t="shared" ref="C163:I163" si="352">IFERROR(C162/B162-1,"nm")</f>
        <v>2.4590163934426146E-2</v>
      </c>
      <c r="D163" s="66">
        <f t="shared" si="352"/>
        <v>0</v>
      </c>
      <c r="E163" s="66">
        <f t="shared" si="352"/>
        <v>-7.999999999999996E-2</v>
      </c>
      <c r="F163" s="66">
        <f t="shared" si="352"/>
        <v>-0.13043478260869568</v>
      </c>
      <c r="G163" s="66">
        <f t="shared" si="352"/>
        <v>-0.19999999999999996</v>
      </c>
      <c r="H163" s="66">
        <f t="shared" si="352"/>
        <v>-0.21250000000000002</v>
      </c>
      <c r="I163" s="66">
        <f t="shared" si="352"/>
        <v>-0.22222222222222221</v>
      </c>
      <c r="J163" s="66">
        <f t="shared" ref="J163" si="353">IFERROR(J162/I162-1,"nm")</f>
        <v>5.699999999999994E-2</v>
      </c>
      <c r="K163" s="66">
        <f t="shared" ref="K163" si="354">IFERROR(K162/J162-1,"nm")</f>
        <v>5.699999999999994E-2</v>
      </c>
      <c r="L163" s="66">
        <f t="shared" ref="L163" si="355">IFERROR(L162/K162-1,"nm")</f>
        <v>5.699999999999994E-2</v>
      </c>
      <c r="M163" s="66">
        <f t="shared" ref="M163" si="356">IFERROR(M162/L162-1,"nm")</f>
        <v>5.699999999999994E-2</v>
      </c>
      <c r="N163" s="66">
        <f t="shared" ref="N163" si="357">IFERROR(N162/M162-1,"nm")</f>
        <v>5.7000000000000162E-2</v>
      </c>
    </row>
    <row r="164" spans="1:15" s="56" customFormat="1">
      <c r="A164" s="42" t="s">
        <v>155</v>
      </c>
      <c r="B164" s="66">
        <f>IFERROR(B162/B$145,"nm")</f>
        <v>6.1553985872855703E-2</v>
      </c>
      <c r="C164" s="66">
        <f t="shared" ref="C164:I164" si="358">IFERROR(C162/C$145,"nm")</f>
        <v>6.3938618925831206E-2</v>
      </c>
      <c r="D164" s="66">
        <f t="shared" si="358"/>
        <v>6.1214495592556317E-2</v>
      </c>
      <c r="E164" s="66">
        <f t="shared" si="358"/>
        <v>6.097560975609756E-2</v>
      </c>
      <c r="F164" s="66">
        <f t="shared" si="358"/>
        <v>5.2465897166841552E-2</v>
      </c>
      <c r="G164" s="66">
        <f t="shared" si="358"/>
        <v>4.3336944745395449E-2</v>
      </c>
      <c r="H164" s="66">
        <f t="shared" si="358"/>
        <v>2.8571428571428571E-2</v>
      </c>
      <c r="I164" s="66">
        <f t="shared" si="358"/>
        <v>2.0886615515771527E-2</v>
      </c>
      <c r="J164" s="77">
        <f>I164</f>
        <v>2.0886615515771527E-2</v>
      </c>
      <c r="K164" s="77">
        <f t="shared" ref="K164:N164" si="359">J164</f>
        <v>2.0886615515771527E-2</v>
      </c>
      <c r="L164" s="77">
        <f t="shared" si="359"/>
        <v>2.0886615515771527E-2</v>
      </c>
      <c r="M164" s="77">
        <f t="shared" si="359"/>
        <v>2.0886615515771527E-2</v>
      </c>
      <c r="N164" s="77">
        <f t="shared" si="359"/>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0">J166*(1+K167)</f>
        <v>113.95939799999999</v>
      </c>
      <c r="L166" s="85">
        <f t="shared" si="360"/>
        <v>120.45508368599998</v>
      </c>
      <c r="M166" s="85">
        <f t="shared" si="360"/>
        <v>127.32102345610197</v>
      </c>
      <c r="N166" s="85">
        <f t="shared" si="360"/>
        <v>134.57832179309978</v>
      </c>
    </row>
    <row r="167" spans="1:15" s="56" customFormat="1">
      <c r="A167" s="42" t="s">
        <v>129</v>
      </c>
      <c r="B167" s="55" t="str">
        <f>IFERROR(B166/A166-1,"nm")</f>
        <v>nm</v>
      </c>
      <c r="C167" s="55">
        <f t="shared" ref="C167:I167" si="361">IFERROR(C166/B166-1,"nm")</f>
        <v>-0.36521739130434783</v>
      </c>
      <c r="D167" s="55">
        <f t="shared" si="361"/>
        <v>0</v>
      </c>
      <c r="E167" s="55">
        <f t="shared" si="361"/>
        <v>0.20547945205479445</v>
      </c>
      <c r="F167" s="55">
        <f t="shared" si="361"/>
        <v>-0.52272727272727271</v>
      </c>
      <c r="G167" s="55">
        <f t="shared" si="361"/>
        <v>-0.2857142857142857</v>
      </c>
      <c r="H167" s="55">
        <f t="shared" si="361"/>
        <v>-0.16666666666666663</v>
      </c>
      <c r="I167" s="55">
        <f t="shared" si="361"/>
        <v>3.08</v>
      </c>
      <c r="J167" s="55">
        <f>J168+J169</f>
        <v>5.7000000000000002E-2</v>
      </c>
      <c r="K167" s="55">
        <f t="shared" ref="K167:N167" si="362">K168+K169</f>
        <v>5.7000000000000002E-2</v>
      </c>
      <c r="L167" s="55">
        <f t="shared" si="362"/>
        <v>5.7000000000000002E-2</v>
      </c>
      <c r="M167" s="55">
        <f t="shared" si="362"/>
        <v>5.7000000000000002E-2</v>
      </c>
      <c r="N167" s="55">
        <f t="shared" si="362"/>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3">IFERROR(C167-C168,"nm")</f>
        <v>-6.5217391304347838E-2</v>
      </c>
      <c r="D169" s="55">
        <f t="shared" si="363"/>
        <v>-0.02</v>
      </c>
      <c r="E169" s="55">
        <f t="shared" si="363"/>
        <v>8.5479452054794458E-2</v>
      </c>
      <c r="F169" s="55">
        <f t="shared" si="363"/>
        <v>7.2727272727273196E-3</v>
      </c>
      <c r="G169" s="55">
        <f t="shared" si="363"/>
        <v>-2.571428571428569E-2</v>
      </c>
      <c r="H169" s="55">
        <f t="shared" si="363"/>
        <v>3.3333333333333826E-3</v>
      </c>
      <c r="I169" s="55">
        <f t="shared" si="363"/>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4">K180-K176</f>
        <v>-4761.7152379999998</v>
      </c>
      <c r="L170" s="86">
        <f t="shared" si="364"/>
        <v>-5033.1330065659986</v>
      </c>
      <c r="M170" s="86">
        <f t="shared" si="364"/>
        <v>-5320.0215879402604</v>
      </c>
      <c r="N170" s="86">
        <f t="shared" si="364"/>
        <v>-5623.2628184528548</v>
      </c>
    </row>
    <row r="171" spans="1:15" s="56" customFormat="1">
      <c r="A171" s="42" t="s">
        <v>129</v>
      </c>
      <c r="B171" s="62" t="str">
        <f>IFERROR(B170/A170-1,"nm")</f>
        <v>nm</v>
      </c>
      <c r="C171" s="58">
        <f t="shared" ref="C171:I171" si="365">IFERROR(C170/B170-1,"nm")</f>
        <v>0.145125716806352</v>
      </c>
      <c r="D171" s="58">
        <f t="shared" si="365"/>
        <v>3.1201848998459125E-2</v>
      </c>
      <c r="E171" s="58">
        <f t="shared" si="365"/>
        <v>-7.097497198356395E-3</v>
      </c>
      <c r="F171" s="58">
        <f t="shared" si="365"/>
        <v>0.22723852520692245</v>
      </c>
      <c r="G171" s="58">
        <f t="shared" si="365"/>
        <v>6.3151440833844275E-2</v>
      </c>
      <c r="H171" s="58">
        <f t="shared" si="365"/>
        <v>5.4209919261822392E-2</v>
      </c>
      <c r="I171" s="58">
        <f t="shared" si="365"/>
        <v>0.16575492341356668</v>
      </c>
      <c r="J171" s="58">
        <f t="shared" ref="J171" si="366">IFERROR(J170/I170-1,"nm")</f>
        <v>5.699999999999994E-2</v>
      </c>
      <c r="K171" s="58">
        <f t="shared" ref="K171" si="367">IFERROR(K170/J170-1,"nm")</f>
        <v>5.7000000000000162E-2</v>
      </c>
      <c r="L171" s="58">
        <f t="shared" ref="L171" si="368">IFERROR(L170/K170-1,"nm")</f>
        <v>5.6999999999999718E-2</v>
      </c>
      <c r="M171" s="58">
        <f t="shared" ref="M171" si="369">IFERROR(M170/L170-1,"nm")</f>
        <v>5.699999999999994E-2</v>
      </c>
      <c r="N171" s="58">
        <f t="shared" ref="N171" si="370">IFERROR(N170/M170-1,"nm")</f>
        <v>5.699999999999994E-2</v>
      </c>
    </row>
    <row r="172" spans="1:15" s="56" customFormat="1">
      <c r="A172" s="42" t="s">
        <v>131</v>
      </c>
      <c r="B172" s="63">
        <f>IFERROR(B170/B166,"nm")</f>
        <v>-19.713043478260868</v>
      </c>
      <c r="C172" s="63">
        <f t="shared" ref="C172:N172" si="371">IFERROR(C170/C166,"nm")</f>
        <v>-35.561643835616437</v>
      </c>
      <c r="D172" s="63">
        <f t="shared" si="371"/>
        <v>-36.671232876712331</v>
      </c>
      <c r="E172" s="63">
        <f t="shared" si="371"/>
        <v>-30.204545454545453</v>
      </c>
      <c r="F172" s="63">
        <f t="shared" si="371"/>
        <v>-77.666666666666671</v>
      </c>
      <c r="G172" s="63">
        <f t="shared" si="371"/>
        <v>-115.6</v>
      </c>
      <c r="H172" s="63">
        <f t="shared" si="371"/>
        <v>-146.24</v>
      </c>
      <c r="I172" s="63">
        <f t="shared" si="371"/>
        <v>-41.784313725490193</v>
      </c>
      <c r="J172" s="63">
        <f t="shared" si="371"/>
        <v>-41.784313725490193</v>
      </c>
      <c r="K172" s="63">
        <f t="shared" si="371"/>
        <v>-41.784313725490193</v>
      </c>
      <c r="L172" s="63">
        <f t="shared" si="371"/>
        <v>-41.784313725490193</v>
      </c>
      <c r="M172" s="63">
        <f t="shared" si="371"/>
        <v>-41.784313725490193</v>
      </c>
      <c r="N172" s="63">
        <f t="shared" si="371"/>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2">K166*K175</f>
        <v>248.02927799999998</v>
      </c>
      <c r="L173" s="85">
        <f t="shared" si="372"/>
        <v>262.16694684599992</v>
      </c>
      <c r="M173" s="85">
        <f t="shared" si="372"/>
        <v>277.11046281622191</v>
      </c>
      <c r="N173" s="85">
        <f t="shared" si="372"/>
        <v>292.90575919674654</v>
      </c>
    </row>
    <row r="174" spans="1:15" s="56" customFormat="1">
      <c r="A174" s="42" t="s">
        <v>129</v>
      </c>
      <c r="B174" s="58" t="str">
        <f>IFERROR(B173/A173-1,"nm")</f>
        <v>nm</v>
      </c>
      <c r="C174" s="58">
        <f t="shared" ref="C174:I174" si="373">IFERROR(C173/B173-1,"nm")</f>
        <v>0.14666666666666672</v>
      </c>
      <c r="D174" s="58">
        <f t="shared" si="373"/>
        <v>7.7519379844961156E-2</v>
      </c>
      <c r="E174" s="58">
        <f t="shared" si="373"/>
        <v>2.877697841726623E-2</v>
      </c>
      <c r="F174" s="58">
        <f t="shared" si="373"/>
        <v>-2.7972027972028024E-2</v>
      </c>
      <c r="G174" s="58">
        <f t="shared" si="373"/>
        <v>0.57553956834532372</v>
      </c>
      <c r="H174" s="58">
        <f t="shared" si="373"/>
        <v>-0.36529680365296802</v>
      </c>
      <c r="I174" s="58">
        <f t="shared" si="373"/>
        <v>-0.20143884892086328</v>
      </c>
      <c r="J174" s="58">
        <f t="shared" ref="J174" si="374">IFERROR(J173/I173-1,"nm")</f>
        <v>5.699999999999994E-2</v>
      </c>
      <c r="K174" s="58">
        <f t="shared" ref="K174" si="375">IFERROR(K173/J173-1,"nm")</f>
        <v>5.699999999999994E-2</v>
      </c>
      <c r="L174" s="58">
        <f t="shared" ref="L174" si="376">IFERROR(L173/K173-1,"nm")</f>
        <v>5.6999999999999718E-2</v>
      </c>
      <c r="M174" s="58">
        <f t="shared" ref="M174" si="377">IFERROR(M173/L173-1,"nm")</f>
        <v>5.699999999999994E-2</v>
      </c>
      <c r="N174" s="58">
        <f t="shared" ref="N174" si="378">IFERROR(N173/M173-1,"nm")</f>
        <v>5.699999999999994E-2</v>
      </c>
    </row>
    <row r="175" spans="1:15" s="56" customFormat="1">
      <c r="A175" s="42" t="s">
        <v>131</v>
      </c>
      <c r="B175" s="58">
        <f>IFERROR(B173/B166,"nm")</f>
        <v>1.9565217391304348</v>
      </c>
      <c r="C175" s="58">
        <f t="shared" ref="C175:I175" si="379">IFERROR(C173/C166,"nm")</f>
        <v>3.5342465753424657</v>
      </c>
      <c r="D175" s="58">
        <f t="shared" si="379"/>
        <v>3.8082191780821919</v>
      </c>
      <c r="E175" s="58">
        <f t="shared" si="379"/>
        <v>3.25</v>
      </c>
      <c r="F175" s="58">
        <f t="shared" si="379"/>
        <v>6.6190476190476186</v>
      </c>
      <c r="G175" s="58">
        <f t="shared" si="379"/>
        <v>14.6</v>
      </c>
      <c r="H175" s="58">
        <f t="shared" si="379"/>
        <v>11.12</v>
      </c>
      <c r="I175" s="58">
        <f t="shared" si="379"/>
        <v>2.1764705882352939</v>
      </c>
      <c r="J175" s="79">
        <f>I175</f>
        <v>2.1764705882352939</v>
      </c>
      <c r="K175" s="79">
        <f t="shared" ref="K175:N175" si="380">J175</f>
        <v>2.1764705882352939</v>
      </c>
      <c r="L175" s="79">
        <f t="shared" si="380"/>
        <v>2.1764705882352939</v>
      </c>
      <c r="M175" s="79">
        <f t="shared" si="380"/>
        <v>2.1764705882352939</v>
      </c>
      <c r="N175" s="79">
        <f t="shared" si="380"/>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1">K179*K183</f>
        <v>245.79477999999997</v>
      </c>
      <c r="L176" s="86">
        <f t="shared" si="381"/>
        <v>259.80508245999994</v>
      </c>
      <c r="M176" s="86">
        <f t="shared" si="381"/>
        <v>274.61397216021993</v>
      </c>
      <c r="N176" s="86">
        <f t="shared" si="381"/>
        <v>290.26696857335241</v>
      </c>
    </row>
    <row r="177" spans="1:15" s="56" customFormat="1">
      <c r="A177" s="42" t="s">
        <v>129</v>
      </c>
      <c r="B177" s="58" t="str">
        <f>IFERROR(B176/A176-1,"nm")</f>
        <v>nm</v>
      </c>
      <c r="C177" s="58">
        <f t="shared" ref="C177:I177" si="382">IFERROR(C176/B176-1,"nm")</f>
        <v>9.5238095238095344E-2</v>
      </c>
      <c r="D177" s="58">
        <f t="shared" si="382"/>
        <v>1.304347826086949E-2</v>
      </c>
      <c r="E177" s="58">
        <f t="shared" si="382"/>
        <v>-6.8669527896995763E-2</v>
      </c>
      <c r="F177" s="58">
        <f t="shared" si="382"/>
        <v>-0.10138248847926268</v>
      </c>
      <c r="G177" s="58">
        <f t="shared" si="382"/>
        <v>9.7435897435897534E-2</v>
      </c>
      <c r="H177" s="58">
        <f t="shared" si="382"/>
        <v>3.7383177570093462E-2</v>
      </c>
      <c r="I177" s="58">
        <f t="shared" si="382"/>
        <v>-9.009009009009028E-3</v>
      </c>
      <c r="J177" s="58">
        <f t="shared" ref="J177" si="383">IFERROR(J176/I176-1,"nm")</f>
        <v>5.699999999999994E-2</v>
      </c>
      <c r="K177" s="58">
        <f t="shared" ref="K177" si="384">IFERROR(K176/J176-1,"nm")</f>
        <v>5.7000000000000162E-2</v>
      </c>
      <c r="L177" s="58">
        <f t="shared" ref="L177" si="385">IFERROR(L176/K176-1,"nm")</f>
        <v>5.699999999999994E-2</v>
      </c>
      <c r="M177" s="58">
        <f t="shared" ref="M177" si="386">IFERROR(M176/L176-1,"nm")</f>
        <v>5.699999999999994E-2</v>
      </c>
      <c r="N177" s="58">
        <f t="shared" ref="N177" si="387">IFERROR(N176/M176-1,"nm")</f>
        <v>5.6999999999999718E-2</v>
      </c>
    </row>
    <row r="178" spans="1:15" s="56" customFormat="1">
      <c r="A178" s="42" t="s">
        <v>133</v>
      </c>
      <c r="B178" s="58">
        <f>IFERROR(B176/B166,"nm")</f>
        <v>1.826086956521739</v>
      </c>
      <c r="C178" s="58">
        <f t="shared" ref="C178:I178" si="388">IFERROR(C176/C166,"nm")</f>
        <v>3.1506849315068495</v>
      </c>
      <c r="D178" s="58">
        <f t="shared" si="388"/>
        <v>3.1917808219178081</v>
      </c>
      <c r="E178" s="58">
        <f t="shared" si="388"/>
        <v>2.4659090909090908</v>
      </c>
      <c r="F178" s="58">
        <f t="shared" si="388"/>
        <v>4.6428571428571432</v>
      </c>
      <c r="G178" s="58">
        <f t="shared" si="388"/>
        <v>7.1333333333333337</v>
      </c>
      <c r="H178" s="58">
        <f t="shared" si="388"/>
        <v>8.8800000000000008</v>
      </c>
      <c r="I178" s="58">
        <f t="shared" si="388"/>
        <v>2.1568627450980391</v>
      </c>
      <c r="J178" s="79">
        <f>I178</f>
        <v>2.1568627450980391</v>
      </c>
      <c r="K178" s="79">
        <f t="shared" ref="K178:N178" si="389">J178</f>
        <v>2.1568627450980391</v>
      </c>
      <c r="L178" s="79">
        <f t="shared" si="389"/>
        <v>2.1568627450980391</v>
      </c>
      <c r="M178" s="79">
        <f t="shared" si="389"/>
        <v>2.1568627450980391</v>
      </c>
      <c r="N178" s="79">
        <f t="shared" si="389"/>
        <v>2.1568627450980391</v>
      </c>
    </row>
    <row r="179" spans="1:15" s="56" customFormat="1">
      <c r="A179" s="42" t="s">
        <v>140</v>
      </c>
      <c r="B179" s="58">
        <f>IFERROR(B176/B183,"nm")</f>
        <v>0.43388429752066116</v>
      </c>
      <c r="C179" s="58">
        <f t="shared" ref="C179:I179" si="390">IFERROR(C176/C183,"nm")</f>
        <v>0.45009784735812131</v>
      </c>
      <c r="D179" s="58">
        <f t="shared" si="390"/>
        <v>0.43714821763602252</v>
      </c>
      <c r="E179" s="58">
        <f t="shared" si="390"/>
        <v>0.36348408710217756</v>
      </c>
      <c r="F179" s="58">
        <f t="shared" si="390"/>
        <v>0.2932330827067669</v>
      </c>
      <c r="G179" s="58">
        <f t="shared" si="390"/>
        <v>0.25783132530120484</v>
      </c>
      <c r="H179" s="58">
        <f t="shared" si="390"/>
        <v>0.2846153846153846</v>
      </c>
      <c r="I179" s="58">
        <f t="shared" si="390"/>
        <v>0.27883396704689478</v>
      </c>
      <c r="J179" s="79">
        <f>I179</f>
        <v>0.27883396704689478</v>
      </c>
      <c r="K179" s="79">
        <f t="shared" ref="K179:N179" si="391">J179</f>
        <v>0.27883396704689478</v>
      </c>
      <c r="L179" s="79">
        <f t="shared" si="391"/>
        <v>0.27883396704689478</v>
      </c>
      <c r="M179" s="79">
        <f t="shared" si="391"/>
        <v>0.27883396704689478</v>
      </c>
      <c r="N179" s="79">
        <f t="shared" si="391"/>
        <v>0.27883396704689478</v>
      </c>
    </row>
    <row r="180" spans="1:15" s="56" customFormat="1">
      <c r="A180" s="52" t="s">
        <v>130</v>
      </c>
      <c r="B180" s="57">
        <f>B170+B176</f>
        <v>-2057</v>
      </c>
      <c r="C180" s="57">
        <f t="shared" ref="C180:I180" si="392">C170+C176</f>
        <v>-2366</v>
      </c>
      <c r="D180" s="57">
        <f t="shared" si="392"/>
        <v>-2444</v>
      </c>
      <c r="E180" s="57">
        <f t="shared" si="392"/>
        <v>-2441</v>
      </c>
      <c r="F180" s="57">
        <f t="shared" si="392"/>
        <v>-3067</v>
      </c>
      <c r="G180" s="57">
        <f t="shared" si="392"/>
        <v>-3254</v>
      </c>
      <c r="H180" s="57">
        <f t="shared" si="392"/>
        <v>-3434</v>
      </c>
      <c r="I180" s="57">
        <f t="shared" si="392"/>
        <v>-4042</v>
      </c>
      <c r="J180" s="86">
        <f>J166*J182</f>
        <v>-4272.3939999999993</v>
      </c>
      <c r="K180" s="86">
        <f t="shared" ref="K180:N180" si="393">K166*K182</f>
        <v>-4515.9204579999996</v>
      </c>
      <c r="L180" s="86">
        <f t="shared" si="393"/>
        <v>-4773.327924105999</v>
      </c>
      <c r="M180" s="86">
        <f t="shared" si="393"/>
        <v>-5045.40761578004</v>
      </c>
      <c r="N180" s="86">
        <f t="shared" si="393"/>
        <v>-5332.9958498795022</v>
      </c>
    </row>
    <row r="181" spans="1:15" s="56" customFormat="1">
      <c r="A181" s="42" t="s">
        <v>129</v>
      </c>
      <c r="B181" s="58" t="str">
        <f>IFERROR(B180/A180-1,"nm")</f>
        <v>nm</v>
      </c>
      <c r="C181" s="58">
        <f t="shared" ref="C181:I181" si="394">IFERROR(C180/B180-1,"nm")</f>
        <v>0.15021876519202726</v>
      </c>
      <c r="D181" s="58">
        <f t="shared" si="394"/>
        <v>3.2967032967033072E-2</v>
      </c>
      <c r="E181" s="58">
        <f t="shared" si="394"/>
        <v>-1.2274959083469206E-3</v>
      </c>
      <c r="F181" s="58">
        <f t="shared" si="394"/>
        <v>0.25645227365833678</v>
      </c>
      <c r="G181" s="58">
        <f t="shared" si="394"/>
        <v>6.0971633518095869E-2</v>
      </c>
      <c r="H181" s="58">
        <f t="shared" si="394"/>
        <v>5.5316533497234088E-2</v>
      </c>
      <c r="I181" s="58">
        <f t="shared" si="394"/>
        <v>0.1770529994175889</v>
      </c>
      <c r="J181" s="58">
        <f t="shared" ref="J181" si="395">IFERROR(J180/I180-1,"nm")</f>
        <v>5.699999999999994E-2</v>
      </c>
      <c r="K181" s="58">
        <f t="shared" ref="K181" si="396">IFERROR(K180/J180-1,"nm")</f>
        <v>5.7000000000000162E-2</v>
      </c>
      <c r="L181" s="58">
        <f t="shared" ref="L181" si="397">IFERROR(L180/K180-1,"nm")</f>
        <v>5.699999999999994E-2</v>
      </c>
      <c r="M181" s="58">
        <f t="shared" ref="M181" si="398">IFERROR(M180/L180-1,"nm")</f>
        <v>5.6999999999999718E-2</v>
      </c>
      <c r="N181" s="58">
        <f t="shared" ref="N181" si="399">IFERROR(N180/M180-1,"nm")</f>
        <v>5.699999999999994E-2</v>
      </c>
    </row>
    <row r="182" spans="1:15" s="56" customFormat="1">
      <c r="A182" s="42" t="s">
        <v>131</v>
      </c>
      <c r="B182" s="58">
        <f>IFERROR(B180/B166,"nm")</f>
        <v>-17.88695652173913</v>
      </c>
      <c r="C182" s="58">
        <f t="shared" ref="C182:I182" si="400">IFERROR(C180/C166,"nm")</f>
        <v>-32.410958904109592</v>
      </c>
      <c r="D182" s="58">
        <f t="shared" si="400"/>
        <v>-33.479452054794521</v>
      </c>
      <c r="E182" s="58">
        <f t="shared" si="400"/>
        <v>-27.738636363636363</v>
      </c>
      <c r="F182" s="58">
        <f t="shared" si="400"/>
        <v>-73.023809523809518</v>
      </c>
      <c r="G182" s="58">
        <f t="shared" si="400"/>
        <v>-108.46666666666667</v>
      </c>
      <c r="H182" s="58">
        <f t="shared" si="400"/>
        <v>-137.36000000000001</v>
      </c>
      <c r="I182" s="58">
        <f t="shared" si="400"/>
        <v>-39.627450980392155</v>
      </c>
      <c r="J182" s="79">
        <f>I182</f>
        <v>-39.627450980392155</v>
      </c>
      <c r="K182" s="79">
        <f t="shared" ref="K182:N182" si="401">J182</f>
        <v>-39.627450980392155</v>
      </c>
      <c r="L182" s="79">
        <f t="shared" si="401"/>
        <v>-39.627450980392155</v>
      </c>
      <c r="M182" s="79">
        <f t="shared" si="401"/>
        <v>-39.627450980392155</v>
      </c>
      <c r="N182" s="79">
        <f t="shared" si="401"/>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2">K166*K185</f>
        <v>881.50946099999999</v>
      </c>
      <c r="L183" s="102">
        <f t="shared" si="402"/>
        <v>931.7555002769999</v>
      </c>
      <c r="M183" s="102">
        <f t="shared" si="402"/>
        <v>984.86556379278875</v>
      </c>
      <c r="N183" s="102">
        <f t="shared" si="402"/>
        <v>1041.0029009289776</v>
      </c>
    </row>
    <row r="184" spans="1:15" s="56" customFormat="1">
      <c r="A184" s="42" t="s">
        <v>129</v>
      </c>
      <c r="B184" s="66" t="str">
        <f>IFERROR(B183/A183-1,"nm")</f>
        <v>nm</v>
      </c>
      <c r="C184" s="66">
        <f t="shared" ref="C184:I184" si="403">IFERROR(C183/B183-1,"nm")</f>
        <v>5.5785123966942241E-2</v>
      </c>
      <c r="D184" s="66">
        <f t="shared" si="403"/>
        <v>4.3052837573385627E-2</v>
      </c>
      <c r="E184" s="66">
        <f t="shared" si="403"/>
        <v>0.12007504690431525</v>
      </c>
      <c r="F184" s="66">
        <f t="shared" si="403"/>
        <v>0.11390284757118918</v>
      </c>
      <c r="G184" s="66">
        <f t="shared" si="403"/>
        <v>0.24812030075187974</v>
      </c>
      <c r="H184" s="66">
        <f t="shared" si="403"/>
        <v>-6.0240963855421659E-2</v>
      </c>
      <c r="I184" s="66">
        <f t="shared" si="403"/>
        <v>1.1538461538461497E-2</v>
      </c>
      <c r="J184" s="66">
        <f t="shared" ref="J184" si="404">IFERROR(J183/I183-1,"nm")</f>
        <v>5.699999999999994E-2</v>
      </c>
      <c r="K184" s="66">
        <f t="shared" ref="K184" si="405">IFERROR(K183/J183-1,"nm")</f>
        <v>5.699999999999994E-2</v>
      </c>
      <c r="L184" s="66">
        <f t="shared" ref="L184" si="406">IFERROR(L183/K183-1,"nm")</f>
        <v>5.699999999999994E-2</v>
      </c>
      <c r="M184" s="66">
        <f t="shared" ref="M184" si="407">IFERROR(M183/L183-1,"nm")</f>
        <v>5.699999999999994E-2</v>
      </c>
      <c r="N184" s="66">
        <f t="shared" ref="N184" si="408">IFERROR(N183/M183-1,"nm")</f>
        <v>5.699999999999994E-2</v>
      </c>
    </row>
    <row r="185" spans="1:15" s="56" customFormat="1">
      <c r="A185" s="42" t="s">
        <v>155</v>
      </c>
      <c r="B185" s="66">
        <f>IFERROR(B183/B$166,"nm")</f>
        <v>4.2086956521739127</v>
      </c>
      <c r="C185" s="66">
        <f t="shared" ref="C185:I185" si="409">IFERROR(C183/C$166,"nm")</f>
        <v>7</v>
      </c>
      <c r="D185" s="66">
        <f t="shared" si="409"/>
        <v>7.3013698630136989</v>
      </c>
      <c r="E185" s="66">
        <f t="shared" si="409"/>
        <v>6.7840909090909092</v>
      </c>
      <c r="F185" s="66">
        <f t="shared" si="409"/>
        <v>15.833333333333334</v>
      </c>
      <c r="G185" s="66">
        <f t="shared" si="409"/>
        <v>27.666666666666668</v>
      </c>
      <c r="H185" s="66">
        <f t="shared" si="409"/>
        <v>31.2</v>
      </c>
      <c r="I185" s="66">
        <f t="shared" si="409"/>
        <v>7.7352941176470589</v>
      </c>
      <c r="J185" s="83">
        <f>I185</f>
        <v>7.7352941176470589</v>
      </c>
      <c r="K185" s="83">
        <f t="shared" ref="K185:N185" si="410">J185</f>
        <v>7.7352941176470589</v>
      </c>
      <c r="L185" s="83">
        <f t="shared" si="410"/>
        <v>7.7352941176470589</v>
      </c>
      <c r="M185" s="83">
        <f t="shared" si="410"/>
        <v>7.7352941176470589</v>
      </c>
      <c r="N185" s="83">
        <f t="shared" si="410"/>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1">J187*(1+K188)</f>
        <v>-80.44192799999999</v>
      </c>
      <c r="L187" s="85">
        <f t="shared" si="411"/>
        <v>-85.027117895999979</v>
      </c>
      <c r="M187" s="85">
        <f t="shared" si="411"/>
        <v>-89.873663616071966</v>
      </c>
      <c r="N187" s="85">
        <f t="shared" si="411"/>
        <v>-94.996462442188061</v>
      </c>
    </row>
    <row r="188" spans="1:15">
      <c r="A188" s="53" t="s">
        <v>129</v>
      </c>
      <c r="B188" s="43" t="str">
        <f>IFERROR(B187/A187-1,"nm")</f>
        <v>nm</v>
      </c>
      <c r="C188" s="43">
        <f t="shared" ref="C188:I188" si="412">IFERROR(C187/B187-1,"nm")</f>
        <v>4.8780487804878092E-2</v>
      </c>
      <c r="D188" s="43">
        <f t="shared" si="412"/>
        <v>-1.8720930232558139</v>
      </c>
      <c r="E188" s="43">
        <f t="shared" si="412"/>
        <v>-0.65333333333333332</v>
      </c>
      <c r="F188" s="43">
        <f t="shared" si="412"/>
        <v>-1.2692307692307692</v>
      </c>
      <c r="G188" s="43">
        <f t="shared" si="412"/>
        <v>0.5714285714285714</v>
      </c>
      <c r="H188" s="43">
        <f t="shared" si="412"/>
        <v>-4.6363636363636367</v>
      </c>
      <c r="I188" s="43">
        <f t="shared" si="412"/>
        <v>-2.8</v>
      </c>
      <c r="J188" s="74">
        <f>J189+J190</f>
        <v>5.7000000000000002E-2</v>
      </c>
      <c r="K188" s="74">
        <f t="shared" ref="K188:N188" si="413">K189+K190</f>
        <v>5.7000000000000002E-2</v>
      </c>
      <c r="L188" s="74">
        <f t="shared" si="413"/>
        <v>5.7000000000000002E-2</v>
      </c>
      <c r="M188" s="74">
        <f t="shared" si="413"/>
        <v>5.7000000000000002E-2</v>
      </c>
      <c r="N188" s="74">
        <f t="shared" si="413"/>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4">IFERROR(C188-C189,"nm")</f>
        <v>4.8780487804878092E-2</v>
      </c>
      <c r="D190" s="43">
        <f t="shared" si="414"/>
        <v>-1.8720930232558139</v>
      </c>
      <c r="E190" s="43">
        <f t="shared" si="414"/>
        <v>-0.65333333333333332</v>
      </c>
      <c r="F190" s="43">
        <f t="shared" si="414"/>
        <v>-1.2692307692307692</v>
      </c>
      <c r="G190" s="43">
        <f t="shared" si="414"/>
        <v>0.5714285714285714</v>
      </c>
      <c r="H190" s="43">
        <f t="shared" si="414"/>
        <v>-4.6363636363636367</v>
      </c>
      <c r="I190" s="43">
        <f t="shared" si="414"/>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5">K201-K197</f>
        <v>-2479.1755309999994</v>
      </c>
      <c r="L191" s="84">
        <f t="shared" si="415"/>
        <v>-2620.4885362669993</v>
      </c>
      <c r="M191" s="84">
        <f t="shared" si="415"/>
        <v>-2769.8563828342176</v>
      </c>
      <c r="N191" s="84">
        <f t="shared" si="415"/>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6">IFERROR(K191/J191-1,"nm")</f>
        <v>5.699999999999994E-2</v>
      </c>
      <c r="L192" s="89">
        <f t="shared" si="416"/>
        <v>5.699999999999994E-2</v>
      </c>
      <c r="M192" s="89">
        <f t="shared" si="416"/>
        <v>5.6999999999999718E-2</v>
      </c>
      <c r="N192" s="89">
        <f t="shared" si="416"/>
        <v>5.699999999999994E-2</v>
      </c>
    </row>
    <row r="193" spans="1:14" s="56" customFormat="1">
      <c r="A193" s="42" t="s">
        <v>131</v>
      </c>
      <c r="B193" s="55">
        <f>IFERROR(B191/B$187,"nm")</f>
        <v>13.378048780487806</v>
      </c>
      <c r="C193" s="55">
        <f t="shared" ref="C193:I193" si="417">IFERROR(C191/C$187,"nm")</f>
        <v>13.63953488372093</v>
      </c>
      <c r="D193" s="55">
        <f t="shared" si="417"/>
        <v>-9.6533333333333342</v>
      </c>
      <c r="E193" s="55">
        <f t="shared" si="417"/>
        <v>-56</v>
      </c>
      <c r="F193" s="55">
        <f t="shared" si="417"/>
        <v>258.57142857142856</v>
      </c>
      <c r="G193" s="55">
        <f t="shared" si="417"/>
        <v>178.81818181818181</v>
      </c>
      <c r="H193" s="55">
        <f t="shared" si="417"/>
        <v>-56.524999999999999</v>
      </c>
      <c r="I193" s="55">
        <f t="shared" si="417"/>
        <v>30.819444444444443</v>
      </c>
      <c r="J193" s="76">
        <f>I193</f>
        <v>30.819444444444443</v>
      </c>
      <c r="K193" s="76">
        <f t="shared" ref="K193:N193" si="418">J193</f>
        <v>30.819444444444443</v>
      </c>
      <c r="L193" s="76">
        <f t="shared" si="418"/>
        <v>30.819444444444443</v>
      </c>
      <c r="M193" s="76">
        <f t="shared" si="418"/>
        <v>30.819444444444443</v>
      </c>
      <c r="N193" s="76">
        <f t="shared" si="418"/>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19">K187*K196</f>
        <v>55.862449999999988</v>
      </c>
      <c r="L194" s="64">
        <f t="shared" si="419"/>
        <v>59.046609649999986</v>
      </c>
      <c r="M194" s="64">
        <f t="shared" si="419"/>
        <v>62.412266400049973</v>
      </c>
      <c r="N194" s="64">
        <f t="shared" si="419"/>
        <v>65.969765584852823</v>
      </c>
    </row>
    <row r="195" spans="1:14" s="56" customFormat="1">
      <c r="A195" s="42" t="s">
        <v>129</v>
      </c>
      <c r="B195" s="66" t="str">
        <f>IFERROR(B194/A194-1,"nm")</f>
        <v>nm</v>
      </c>
      <c r="C195" s="66">
        <f t="shared" ref="C195:I195" si="420">IFERROR(C194/B194-1,"nm")</f>
        <v>1.5384615384615383</v>
      </c>
      <c r="D195" s="66">
        <f t="shared" si="420"/>
        <v>0.10227272727272729</v>
      </c>
      <c r="E195" s="66">
        <f t="shared" si="420"/>
        <v>-0.45360824742268047</v>
      </c>
      <c r="F195" s="66">
        <f t="shared" si="420"/>
        <v>1.3710691823899372</v>
      </c>
      <c r="G195" s="66">
        <f t="shared" si="420"/>
        <v>-0.156498673740053</v>
      </c>
      <c r="H195" s="66">
        <f t="shared" si="420"/>
        <v>-0.96540880503144655</v>
      </c>
      <c r="I195" s="66">
        <f t="shared" si="420"/>
        <v>3.5454545454545459</v>
      </c>
      <c r="J195" s="66">
        <f t="shared" ref="J195" si="421">IFERROR(J194/I194-1,"nm")</f>
        <v>5.699999999999994E-2</v>
      </c>
      <c r="K195" s="66">
        <f t="shared" ref="K195" si="422">IFERROR(K194/J194-1,"nm")</f>
        <v>5.699999999999994E-2</v>
      </c>
      <c r="L195" s="66">
        <f t="shared" ref="L195" si="423">IFERROR(L194/K194-1,"nm")</f>
        <v>5.699999999999994E-2</v>
      </c>
      <c r="M195" s="66">
        <f t="shared" ref="M195" si="424">IFERROR(M194/L194-1,"nm")</f>
        <v>5.6999999999999718E-2</v>
      </c>
      <c r="N195" s="66">
        <f t="shared" ref="N195" si="425">IFERROR(N194/M194-1,"nm")</f>
        <v>5.699999999999994E-2</v>
      </c>
    </row>
    <row r="196" spans="1:14">
      <c r="A196" s="42" t="s">
        <v>133</v>
      </c>
      <c r="B196" s="67">
        <f>IFERROR(B194/B187,"nm")</f>
        <v>-1.2682926829268293</v>
      </c>
      <c r="C196" s="67">
        <f t="shared" ref="C196:I196" si="426">IFERROR(C194/C187,"nm")</f>
        <v>-3.0697674418604652</v>
      </c>
      <c r="D196" s="67">
        <f t="shared" si="426"/>
        <v>3.88</v>
      </c>
      <c r="E196" s="67">
        <f t="shared" si="426"/>
        <v>6.115384615384615</v>
      </c>
      <c r="F196" s="67">
        <f t="shared" si="426"/>
        <v>-53.857142857142854</v>
      </c>
      <c r="G196" s="67">
        <f t="shared" si="426"/>
        <v>-28.90909090909091</v>
      </c>
      <c r="H196" s="67">
        <f t="shared" si="426"/>
        <v>0.27500000000000002</v>
      </c>
      <c r="I196" s="67">
        <f t="shared" si="426"/>
        <v>-0.69444444444444442</v>
      </c>
      <c r="J196" s="79">
        <f>I196</f>
        <v>-0.69444444444444442</v>
      </c>
      <c r="K196" s="79">
        <f t="shared" ref="K196:N196" si="427">J196</f>
        <v>-0.69444444444444442</v>
      </c>
      <c r="L196" s="79">
        <f t="shared" si="427"/>
        <v>-0.69444444444444442</v>
      </c>
      <c r="M196" s="79">
        <f t="shared" si="427"/>
        <v>-0.69444444444444442</v>
      </c>
      <c r="N196" s="79">
        <f t="shared" si="427"/>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8">K200*K204</f>
        <v>149.71136599999997</v>
      </c>
      <c r="L197" s="64">
        <f t="shared" si="428"/>
        <v>158.24491386199995</v>
      </c>
      <c r="M197" s="64">
        <f t="shared" si="428"/>
        <v>167.26487395213394</v>
      </c>
      <c r="N197" s="64">
        <f t="shared" si="428"/>
        <v>176.79897176740556</v>
      </c>
    </row>
    <row r="198" spans="1:14">
      <c r="A198" s="42" t="s">
        <v>129</v>
      </c>
      <c r="B198" s="58" t="str">
        <f>IFERROR(B197/A197-1,"nm")</f>
        <v>nm</v>
      </c>
      <c r="C198" s="58">
        <f t="shared" ref="C198:I198" si="429">IFERROR(C197/B197-1,"nm")</f>
        <v>0.12000000000000011</v>
      </c>
      <c r="D198" s="58">
        <f t="shared" si="429"/>
        <v>8.3333333333333259E-2</v>
      </c>
      <c r="E198" s="58">
        <f t="shared" si="429"/>
        <v>0.20879120879120872</v>
      </c>
      <c r="F198" s="58">
        <f t="shared" si="429"/>
        <v>5.4545454545454453E-2</v>
      </c>
      <c r="G198" s="58">
        <f t="shared" si="429"/>
        <v>-3.4482758620689613E-2</v>
      </c>
      <c r="H198" s="58">
        <f t="shared" si="429"/>
        <v>0.2589285714285714</v>
      </c>
      <c r="I198" s="58">
        <f t="shared" si="429"/>
        <v>-4.9645390070921946E-2</v>
      </c>
      <c r="J198" s="58">
        <f t="shared" ref="J198" si="430">IFERROR(J197/I197-1,"nm")</f>
        <v>5.699999999999994E-2</v>
      </c>
      <c r="K198" s="58">
        <f t="shared" ref="K198" si="431">IFERROR(K197/J197-1,"nm")</f>
        <v>5.6999999999999718E-2</v>
      </c>
      <c r="L198" s="58">
        <f t="shared" ref="L198" si="432">IFERROR(L197/K197-1,"nm")</f>
        <v>5.699999999999994E-2</v>
      </c>
      <c r="M198" s="58">
        <f t="shared" ref="M198" si="433">IFERROR(M197/L197-1,"nm")</f>
        <v>5.699999999999994E-2</v>
      </c>
      <c r="N198" s="58">
        <f t="shared" ref="N198" si="434">IFERROR(N197/M197-1,"nm")</f>
        <v>5.699999999999994E-2</v>
      </c>
    </row>
    <row r="199" spans="1:14">
      <c r="A199" s="42" t="s">
        <v>133</v>
      </c>
      <c r="B199" s="67">
        <f>IFERROR(B197/B187,"nm")</f>
        <v>-0.91463414634146345</v>
      </c>
      <c r="C199" s="67">
        <f t="shared" ref="C199:I199" si="435">IFERROR(C197/C187,"nm")</f>
        <v>-0.97674418604651159</v>
      </c>
      <c r="D199" s="67">
        <f t="shared" si="435"/>
        <v>1.2133333333333334</v>
      </c>
      <c r="E199" s="67">
        <f t="shared" si="435"/>
        <v>4.2307692307692308</v>
      </c>
      <c r="F199" s="67">
        <f t="shared" si="435"/>
        <v>-16.571428571428573</v>
      </c>
      <c r="G199" s="67">
        <f t="shared" si="435"/>
        <v>-10.181818181818182</v>
      </c>
      <c r="H199" s="67">
        <f t="shared" si="435"/>
        <v>3.5249999999999999</v>
      </c>
      <c r="I199" s="67">
        <f t="shared" si="435"/>
        <v>-1.8611111111111112</v>
      </c>
      <c r="J199" s="87">
        <f>I199</f>
        <v>-1.8611111111111112</v>
      </c>
      <c r="K199" s="87">
        <f t="shared" ref="K199:N199" si="436">J199</f>
        <v>-1.8611111111111112</v>
      </c>
      <c r="L199" s="87">
        <f t="shared" si="436"/>
        <v>-1.8611111111111112</v>
      </c>
      <c r="M199" s="87">
        <f t="shared" si="436"/>
        <v>-1.8611111111111112</v>
      </c>
      <c r="N199" s="87">
        <f t="shared" si="436"/>
        <v>-1.8611111111111112</v>
      </c>
    </row>
    <row r="200" spans="1:14">
      <c r="A200" s="42" t="s">
        <v>140</v>
      </c>
      <c r="B200" s="67">
        <f>IFERROR(B197/B204,"nm")</f>
        <v>0.10518934081346423</v>
      </c>
      <c r="C200" s="67">
        <f t="shared" ref="C200:I200" si="437">IFERROR(C197/C204,"nm")</f>
        <v>8.9647812166488788E-2</v>
      </c>
      <c r="D200" s="67">
        <f t="shared" si="437"/>
        <v>7.3505654281098551E-2</v>
      </c>
      <c r="E200" s="67">
        <f t="shared" si="437"/>
        <v>7.586206896551724E-2</v>
      </c>
      <c r="F200" s="67">
        <f t="shared" si="437"/>
        <v>6.9336521219366412E-2</v>
      </c>
      <c r="G200" s="67">
        <f t="shared" si="437"/>
        <v>5.845511482254697E-2</v>
      </c>
      <c r="H200" s="67">
        <f t="shared" si="437"/>
        <v>7.5401069518716571E-2</v>
      </c>
      <c r="I200" s="67">
        <f t="shared" si="437"/>
        <v>7.374793615850303E-2</v>
      </c>
      <c r="J200" s="87">
        <f>I200</f>
        <v>7.374793615850303E-2</v>
      </c>
      <c r="K200" s="87">
        <f t="shared" ref="K200:N200" si="438">J200</f>
        <v>7.374793615850303E-2</v>
      </c>
      <c r="L200" s="87">
        <f t="shared" si="438"/>
        <v>7.374793615850303E-2</v>
      </c>
      <c r="M200" s="87">
        <f t="shared" si="438"/>
        <v>7.374793615850303E-2</v>
      </c>
      <c r="N200" s="87">
        <f t="shared" si="438"/>
        <v>7.374793615850303E-2</v>
      </c>
    </row>
    <row r="201" spans="1:14">
      <c r="A201" s="52" t="s">
        <v>130</v>
      </c>
      <c r="B201">
        <f>B191+B197</f>
        <v>-1022</v>
      </c>
      <c r="C201">
        <f t="shared" ref="C201:I201" si="439">C191+C197</f>
        <v>-1089</v>
      </c>
      <c r="D201">
        <f t="shared" si="439"/>
        <v>-633</v>
      </c>
      <c r="E201">
        <f t="shared" si="439"/>
        <v>-1346</v>
      </c>
      <c r="F201">
        <f t="shared" si="439"/>
        <v>-1694</v>
      </c>
      <c r="G201">
        <f t="shared" si="439"/>
        <v>-1855</v>
      </c>
      <c r="H201">
        <f t="shared" si="439"/>
        <v>-2120</v>
      </c>
      <c r="I201">
        <f t="shared" si="439"/>
        <v>-2085</v>
      </c>
      <c r="J201" s="100">
        <f>J187*J203</f>
        <v>-2203.8449999999998</v>
      </c>
      <c r="K201" s="100">
        <f t="shared" ref="K201:N201" si="440">K187*K203</f>
        <v>-2329.4641649999994</v>
      </c>
      <c r="L201" s="100">
        <f t="shared" si="440"/>
        <v>-2462.2436224049993</v>
      </c>
      <c r="M201" s="100">
        <f t="shared" si="440"/>
        <v>-2602.5915088820839</v>
      </c>
      <c r="N201" s="100">
        <f t="shared" si="440"/>
        <v>-2750.9392248883623</v>
      </c>
    </row>
    <row r="202" spans="1:14">
      <c r="A202" s="42" t="s">
        <v>129</v>
      </c>
      <c r="B202" s="58" t="str">
        <f>IFERROR(B201/A201-1,"nm")</f>
        <v>nm</v>
      </c>
      <c r="C202" s="58">
        <f t="shared" ref="C202:I202" si="441">IFERROR(C201/B201-1,"nm")</f>
        <v>6.5557729941291498E-2</v>
      </c>
      <c r="D202" s="58">
        <f t="shared" si="441"/>
        <v>-0.41873278236914602</v>
      </c>
      <c r="E202" s="58">
        <f t="shared" si="441"/>
        <v>1.126382306477093</v>
      </c>
      <c r="F202" s="58">
        <f t="shared" si="441"/>
        <v>0.25854383358098065</v>
      </c>
      <c r="G202" s="58">
        <f t="shared" si="441"/>
        <v>9.5041322314049603E-2</v>
      </c>
      <c r="H202" s="58">
        <f t="shared" si="441"/>
        <v>0.14285714285714279</v>
      </c>
      <c r="I202" s="58">
        <f t="shared" si="441"/>
        <v>-1.650943396226412E-2</v>
      </c>
      <c r="J202" s="58">
        <f t="shared" ref="J202" si="442">IFERROR(J201/I201-1,"nm")</f>
        <v>5.699999999999994E-2</v>
      </c>
      <c r="K202" s="58">
        <f t="shared" ref="K202" si="443">IFERROR(K201/J201-1,"nm")</f>
        <v>5.699999999999994E-2</v>
      </c>
      <c r="L202" s="58">
        <f t="shared" ref="L202" si="444">IFERROR(L201/K201-1,"nm")</f>
        <v>5.699999999999994E-2</v>
      </c>
      <c r="M202" s="58">
        <f t="shared" ref="M202" si="445">IFERROR(M201/L201-1,"nm")</f>
        <v>5.699999999999994E-2</v>
      </c>
      <c r="N202" s="58">
        <f t="shared" ref="N202" si="446">IFERROR(N201/M201-1,"nm")</f>
        <v>5.699999999999994E-2</v>
      </c>
    </row>
    <row r="203" spans="1:14">
      <c r="A203" s="42" t="s">
        <v>131</v>
      </c>
      <c r="B203" s="67">
        <f>IFERROR(B201/B187,"nm")</f>
        <v>12.463414634146341</v>
      </c>
      <c r="C203" s="67">
        <f t="shared" ref="C203:I203" si="447">IFERROR(C201/C187,"nm")</f>
        <v>12.662790697674419</v>
      </c>
      <c r="D203" s="67">
        <f t="shared" si="447"/>
        <v>-8.44</v>
      </c>
      <c r="E203" s="67">
        <f t="shared" si="447"/>
        <v>-51.769230769230766</v>
      </c>
      <c r="F203" s="67">
        <f t="shared" si="447"/>
        <v>242</v>
      </c>
      <c r="G203" s="67">
        <f t="shared" si="447"/>
        <v>168.63636363636363</v>
      </c>
      <c r="H203" s="67">
        <f t="shared" si="447"/>
        <v>-53</v>
      </c>
      <c r="I203" s="67">
        <f t="shared" si="447"/>
        <v>28.958333333333332</v>
      </c>
      <c r="J203" s="87">
        <f>I203</f>
        <v>28.958333333333332</v>
      </c>
      <c r="K203" s="87">
        <f t="shared" ref="K203:N203" si="448">J203</f>
        <v>28.958333333333332</v>
      </c>
      <c r="L203" s="87">
        <f t="shared" si="448"/>
        <v>28.958333333333332</v>
      </c>
      <c r="M203" s="87">
        <f t="shared" si="448"/>
        <v>28.958333333333332</v>
      </c>
      <c r="N203" s="87">
        <f t="shared" si="448"/>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49">K206*K187</f>
        <v>2030.0414329999996</v>
      </c>
      <c r="L204" s="44">
        <f t="shared" si="449"/>
        <v>2145.7537946809994</v>
      </c>
      <c r="M204" s="44">
        <f t="shared" si="449"/>
        <v>2268.061760977816</v>
      </c>
      <c r="N204" s="44">
        <f t="shared" si="449"/>
        <v>2397.3412813535515</v>
      </c>
    </row>
    <row r="205" spans="1:14">
      <c r="A205" s="42" t="s">
        <v>129</v>
      </c>
      <c r="B205" s="66" t="str">
        <f>IFERROR(B204/A$204-1,"nm")</f>
        <v>nm</v>
      </c>
      <c r="C205" s="66">
        <f t="shared" ref="C205:I205" si="450">IFERROR(C204/B$204-1,"nm")</f>
        <v>0.31416549789621318</v>
      </c>
      <c r="D205" s="66">
        <f t="shared" si="450"/>
        <v>0.32123799359658478</v>
      </c>
      <c r="E205" s="66">
        <f t="shared" si="450"/>
        <v>0.17124394184168024</v>
      </c>
      <c r="F205" s="66">
        <f t="shared" si="450"/>
        <v>0.15379310344827579</v>
      </c>
      <c r="G205" s="66">
        <f t="shared" si="450"/>
        <v>0.14524805738194857</v>
      </c>
      <c r="H205" s="66">
        <f t="shared" si="450"/>
        <v>-2.4008350730688965E-2</v>
      </c>
      <c r="I205" s="66">
        <f t="shared" si="450"/>
        <v>-2.8342245989304793E-2</v>
      </c>
      <c r="J205" s="66">
        <f t="shared" ref="J205" si="451">IFERROR(J204/I$204-1,"nm")</f>
        <v>5.699999999999994E-2</v>
      </c>
      <c r="K205" s="66">
        <f t="shared" ref="K205" si="452">IFERROR(K204/J$204-1,"nm")</f>
        <v>5.699999999999994E-2</v>
      </c>
      <c r="L205" s="66">
        <f t="shared" ref="L205" si="453">IFERROR(L204/K$204-1,"nm")</f>
        <v>5.699999999999994E-2</v>
      </c>
      <c r="M205" s="66">
        <f t="shared" ref="M205" si="454">IFERROR(M204/L$204-1,"nm")</f>
        <v>5.699999999999994E-2</v>
      </c>
      <c r="N205" s="66">
        <f t="shared" ref="N205" si="455">IFERROR(N204/M$204-1,"nm")</f>
        <v>5.699999999999994E-2</v>
      </c>
    </row>
    <row r="206" spans="1:14">
      <c r="A206" s="42" t="s">
        <v>155</v>
      </c>
      <c r="B206" s="67">
        <f>IFERROR(B204/B$187,"nm")</f>
        <v>-8.6951219512195124</v>
      </c>
      <c r="C206" s="67">
        <f t="shared" ref="C206:I206" si="456">IFERROR(C204/C$187,"nm")</f>
        <v>-10.895348837209303</v>
      </c>
      <c r="D206" s="67">
        <f t="shared" si="456"/>
        <v>16.506666666666668</v>
      </c>
      <c r="E206" s="67">
        <f t="shared" si="456"/>
        <v>55.769230769230766</v>
      </c>
      <c r="F206" s="67">
        <f t="shared" si="456"/>
        <v>-239</v>
      </c>
      <c r="G206" s="67">
        <f t="shared" si="456"/>
        <v>-174.18181818181819</v>
      </c>
      <c r="H206" s="67">
        <f t="shared" si="456"/>
        <v>46.75</v>
      </c>
      <c r="I206" s="67">
        <f t="shared" si="456"/>
        <v>-25.236111111111111</v>
      </c>
      <c r="J206" s="87">
        <f>I206</f>
        <v>-25.236111111111111</v>
      </c>
      <c r="K206" s="87">
        <f t="shared" ref="K206:N206" si="457">J206</f>
        <v>-25.236111111111111</v>
      </c>
      <c r="L206" s="87">
        <f t="shared" si="457"/>
        <v>-25.236111111111111</v>
      </c>
      <c r="M206" s="87">
        <f t="shared" si="457"/>
        <v>-25.236111111111111</v>
      </c>
      <c r="N206" s="87">
        <f t="shared" si="457"/>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B45" zoomScaleNormal="100" workbookViewId="0">
      <selection activeCell="M50" sqref="M50"/>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12746.700186</v>
      </c>
      <c r="L5" s="92">
        <f>'Segmental forecast'!L5</f>
        <v>13163.505416352005</v>
      </c>
      <c r="M5" s="92">
        <f>'Segmental forecast'!M5</f>
        <v>13613.289257961565</v>
      </c>
      <c r="N5" s="92">
        <f>'Segmental forecast'!N5</f>
        <v>14098.850435220553</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11967.498362</v>
      </c>
      <c r="L7" s="108">
        <f>'Segmental forecast'!L11</f>
        <v>12301.916525784005</v>
      </c>
      <c r="M7" s="108">
        <f>'Segmental forecast'!M11</f>
        <v>12607.02116673319</v>
      </c>
      <c r="N7" s="108">
        <f>'Segmental forecast'!N11</f>
        <v>12845.259024290259</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11702.561762000001</v>
      </c>
      <c r="L11" s="108">
        <f t="shared" si="5"/>
        <v>12029.031827784005</v>
      </c>
      <c r="M11" s="108">
        <f t="shared" si="5"/>
        <v>12325.94992779319</v>
      </c>
      <c r="N11" s="108">
        <f t="shared" si="5"/>
        <v>12555.755648182059</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11035.549262</v>
      </c>
      <c r="L14" s="90">
        <f t="shared" si="7"/>
        <v>11328.668702784005</v>
      </c>
      <c r="M14" s="90">
        <f t="shared" si="7"/>
        <v>11590.56864654319</v>
      </c>
      <c r="N14" s="90">
        <f t="shared" si="7"/>
        <v>11783.605302869559</v>
      </c>
      <c r="O14" s="91"/>
      <c r="P14" s="91"/>
      <c r="Q14" s="91"/>
      <c r="R14" s="91"/>
      <c r="S14" s="91"/>
      <c r="T14" s="91"/>
      <c r="U14" s="91"/>
      <c r="V14" s="114"/>
      <c r="W14" s="91"/>
      <c r="X14" s="91"/>
      <c r="Y14" s="91"/>
    </row>
    <row r="15" spans="1:25" ht="28.9"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12747.829518118306</v>
      </c>
      <c r="L21" s="88">
        <f t="shared" si="19"/>
        <v>19328.597187348503</v>
      </c>
      <c r="M21" s="88">
        <f t="shared" si="19"/>
        <v>21774.616892771926</v>
      </c>
      <c r="N21" s="88">
        <f t="shared" si="19"/>
        <v>23168.46012781424</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8424.0419578795209</v>
      </c>
      <c r="M23" s="88">
        <f t="shared" si="21"/>
        <v>9310.6540755382539</v>
      </c>
      <c r="N23" s="88">
        <f t="shared" si="21"/>
        <v>10348.331239608633</v>
      </c>
      <c r="O23" s="88"/>
      <c r="P23" s="88"/>
      <c r="Q23" s="88"/>
      <c r="R23" s="88"/>
      <c r="S23" s="88"/>
      <c r="T23" s="88"/>
      <c r="U23" s="88"/>
      <c r="V23" s="114"/>
      <c r="W23" s="88"/>
      <c r="X23" s="88"/>
      <c r="Y23" s="88"/>
    </row>
    <row r="24" spans="1:25" s="145" customFormat="1">
      <c r="A24" s="163" t="s">
        <v>155</v>
      </c>
      <c r="B24" s="164">
        <f>IFERROR(B23/B3,"nm")</f>
        <v>0.18182412339466031</v>
      </c>
      <c r="C24" s="164">
        <f t="shared" ref="C24:I24" si="22">IFERROR(C23/C3,"nm")</f>
        <v>0.1818631084754139</v>
      </c>
      <c r="D24" s="164">
        <f t="shared" si="22"/>
        <v>0.19458515283842795</v>
      </c>
      <c r="E24" s="164">
        <f t="shared" si="22"/>
        <v>0.17803665137236585</v>
      </c>
      <c r="F24" s="164">
        <f t="shared" si="22"/>
        <v>0.18615947030702765</v>
      </c>
      <c r="G24" s="164">
        <f t="shared" si="22"/>
        <v>0.21035745795791783</v>
      </c>
      <c r="H24" s="164">
        <f t="shared" si="22"/>
        <v>0.19042166240064665</v>
      </c>
      <c r="I24" s="164">
        <f t="shared" si="22"/>
        <v>0.20828516377649325</v>
      </c>
      <c r="J24" s="164">
        <v>0.2</v>
      </c>
      <c r="K24" s="164">
        <v>0.2</v>
      </c>
      <c r="L24" s="164">
        <v>0.14000000000000001</v>
      </c>
      <c r="M24" s="164">
        <v>0.14000000000000001</v>
      </c>
      <c r="N24" s="164">
        <v>0.14000000000000001</v>
      </c>
      <c r="O24" s="164"/>
      <c r="P24" s="164"/>
      <c r="Q24" s="164"/>
      <c r="R24" s="164"/>
      <c r="S24" s="142"/>
      <c r="T24" s="165"/>
      <c r="U24" s="165"/>
      <c r="V24" s="166"/>
      <c r="W24" s="165"/>
      <c r="X24" s="165"/>
      <c r="Y24" s="16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42512.655587918307</v>
      </c>
      <c r="L31" s="90">
        <f t="shared" si="25"/>
        <v>46656.413141893026</v>
      </c>
      <c r="M31" s="90">
        <f t="shared" si="25"/>
        <v>50013.459591675084</v>
      </c>
      <c r="N31" s="90">
        <f t="shared" si="25"/>
        <v>52319.680326259957</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20830.655587918311</v>
      </c>
      <c r="L39" s="88">
        <f t="shared" si="29"/>
        <v>24974.413141893023</v>
      </c>
      <c r="M39" s="88">
        <f t="shared" si="29"/>
        <v>28331.459591675084</v>
      </c>
      <c r="N39" s="88">
        <f t="shared" si="29"/>
        <v>30637.680326259957</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9025.6555879183106</v>
      </c>
      <c r="L41" s="88">
        <f t="shared" si="30"/>
        <v>13169.413141893023</v>
      </c>
      <c r="M41" s="88">
        <f t="shared" si="30"/>
        <v>16526.459591675084</v>
      </c>
      <c r="N41" s="88">
        <f t="shared" si="30"/>
        <v>18832.680326259957</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42512.655587918314</v>
      </c>
      <c r="L43" s="90">
        <f t="shared" si="31"/>
        <v>46656.413141893019</v>
      </c>
      <c r="M43" s="90">
        <f t="shared" si="31"/>
        <v>50013.459591675084</v>
      </c>
      <c r="N43" s="90">
        <f t="shared" si="31"/>
        <v>52319.680326259957</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11967.498362</v>
      </c>
      <c r="L46" s="92">
        <f>'Segmental forecast'!L11</f>
        <v>12301.916525784005</v>
      </c>
      <c r="M46" s="92">
        <f>'Segmental forecast'!M11</f>
        <v>12607.02116673319</v>
      </c>
      <c r="N46" s="92">
        <f>'Segmental forecast'!N11</f>
        <v>12845.259024290259</v>
      </c>
      <c r="O46" s="92"/>
      <c r="P46" s="92"/>
      <c r="Q46" s="92"/>
      <c r="R46" s="92"/>
      <c r="S46" s="92"/>
      <c r="T46" s="92"/>
      <c r="U46" s="92"/>
      <c r="V46" s="92"/>
      <c r="W46" s="92"/>
      <c r="X46" s="92"/>
      <c r="Y46" s="92"/>
    </row>
    <row r="47" spans="1:25" s="144" customFormat="1">
      <c r="A47" s="144" t="s">
        <v>132</v>
      </c>
      <c r="B47" s="168">
        <f>'Segmental forecast'!B8</f>
        <v>606</v>
      </c>
      <c r="C47" s="168">
        <f>'Segmental forecast'!C8</f>
        <v>649</v>
      </c>
      <c r="D47" s="168">
        <f>'Segmental forecast'!D8</f>
        <v>706</v>
      </c>
      <c r="E47" s="168">
        <f>'Segmental forecast'!E8</f>
        <v>747</v>
      </c>
      <c r="F47" s="168">
        <f>'Segmental forecast'!F8</f>
        <v>705</v>
      </c>
      <c r="G47" s="168">
        <f>'Segmental forecast'!G8</f>
        <v>721</v>
      </c>
      <c r="H47" s="168">
        <f>'Segmental forecast'!H8</f>
        <v>744</v>
      </c>
      <c r="I47" s="168">
        <f>'Segmental forecast'!I8</f>
        <v>717</v>
      </c>
      <c r="J47" s="168">
        <f>'Segmental forecast'!J8</f>
        <v>735.55200000000002</v>
      </c>
      <c r="K47" s="168">
        <f>'Segmental forecast'!K8</f>
        <v>779.20182399999999</v>
      </c>
      <c r="L47" s="168">
        <f>'Segmental forecast'!L8</f>
        <v>861.5888905679999</v>
      </c>
      <c r="M47" s="168">
        <f>'Segmental forecast'!M8</f>
        <v>1006.2680912283759</v>
      </c>
      <c r="N47" s="168">
        <f>'Segmental forecast'!N8</f>
        <v>1253.5914109302933</v>
      </c>
      <c r="O47" s="168"/>
      <c r="P47" s="168"/>
      <c r="Q47" s="168"/>
      <c r="R47" s="168"/>
      <c r="S47" s="168"/>
      <c r="T47" s="168"/>
      <c r="U47" s="168"/>
      <c r="V47" s="168"/>
      <c r="W47" s="168"/>
      <c r="X47" s="168"/>
      <c r="Y47" s="168"/>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s="144" customFormat="1">
      <c r="A49" s="118" t="s">
        <v>185</v>
      </c>
      <c r="B49" s="143">
        <f>B46-B48</f>
        <v>3301</v>
      </c>
      <c r="C49" s="143">
        <f t="shared" ref="C49:I49" si="35">C46-C48</f>
        <v>3779</v>
      </c>
      <c r="D49" s="143">
        <f t="shared" si="35"/>
        <v>4299</v>
      </c>
      <c r="E49" s="143">
        <f t="shared" si="35"/>
        <v>1987</v>
      </c>
      <c r="F49" s="143">
        <f t="shared" si="35"/>
        <v>4078</v>
      </c>
      <c r="G49" s="143">
        <f t="shared" si="35"/>
        <v>2628</v>
      </c>
      <c r="H49" s="143">
        <f t="shared" si="35"/>
        <v>5989</v>
      </c>
      <c r="I49" s="143">
        <f t="shared" si="35"/>
        <v>6251</v>
      </c>
      <c r="J49" s="143">
        <f>J46-J48</f>
        <v>6506.6760000000013</v>
      </c>
      <c r="K49" s="143">
        <f t="shared" ref="K49:M49" si="36">K46-K48</f>
        <v>11300.485862</v>
      </c>
      <c r="L49" s="143">
        <f t="shared" si="36"/>
        <v>11601.553400784005</v>
      </c>
      <c r="M49" s="143">
        <f t="shared" si="36"/>
        <v>11871.63988548319</v>
      </c>
      <c r="N49" s="143">
        <f>N46-N48</f>
        <v>12073.108678977758</v>
      </c>
      <c r="O49" s="143"/>
      <c r="P49" s="143"/>
      <c r="Q49" s="143"/>
      <c r="R49" s="143"/>
      <c r="S49" s="143"/>
      <c r="T49" s="143"/>
      <c r="U49" s="143"/>
      <c r="V49" s="143"/>
      <c r="W49" s="143"/>
      <c r="X49" s="143"/>
      <c r="Y49" s="143"/>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s="144" customFormat="1">
      <c r="A52" s="144" t="s">
        <v>187</v>
      </c>
      <c r="B52" s="167">
        <v>3434</v>
      </c>
      <c r="C52" s="167">
        <f>B22-C22</f>
        <v>-247</v>
      </c>
      <c r="D52" s="167">
        <f t="shared" ref="D52:I52" si="41">C22-D22</f>
        <v>-52</v>
      </c>
      <c r="E52" s="167">
        <f t="shared" si="41"/>
        <v>1375</v>
      </c>
      <c r="F52" s="167">
        <f t="shared" si="41"/>
        <v>799</v>
      </c>
      <c r="G52" s="167">
        <f t="shared" si="41"/>
        <v>-242</v>
      </c>
      <c r="H52" s="167">
        <f t="shared" si="41"/>
        <v>-3148</v>
      </c>
      <c r="I52" s="167">
        <f t="shared" si="41"/>
        <v>-836</v>
      </c>
      <c r="J52" s="167">
        <f>-(J23-I23)</f>
        <v>-272.4264000000021</v>
      </c>
      <c r="K52" s="167">
        <f t="shared" ref="K52:N52" si="42">-(K23-J23)</f>
        <v>-943.47792479999953</v>
      </c>
      <c r="L52" s="167">
        <f t="shared" si="42"/>
        <v>2520.8623669204808</v>
      </c>
      <c r="M52" s="167">
        <f t="shared" si="42"/>
        <v>-886.61211765873304</v>
      </c>
      <c r="N52" s="167">
        <f t="shared" si="42"/>
        <v>-1037.6771640703791</v>
      </c>
      <c r="O52" s="167"/>
      <c r="P52" s="167"/>
      <c r="Q52" s="167"/>
      <c r="R52" s="167"/>
      <c r="S52" s="167"/>
      <c r="T52" s="167"/>
      <c r="U52" s="167"/>
      <c r="V52" s="167"/>
      <c r="W52" s="167"/>
      <c r="X52" s="167"/>
      <c r="Y52" s="167"/>
    </row>
    <row r="53" spans="1:25" s="144" customFormat="1">
      <c r="A53" s="144" t="s">
        <v>135</v>
      </c>
      <c r="B53" s="167">
        <f>-'Segmental forecast'!B14</f>
        <v>-963</v>
      </c>
      <c r="C53" s="167">
        <f>-'Segmental forecast'!C14</f>
        <v>-1143</v>
      </c>
      <c r="D53" s="167">
        <f>-'Segmental forecast'!D14</f>
        <v>-1105</v>
      </c>
      <c r="E53" s="167">
        <f>-'Segmental forecast'!E14</f>
        <v>-1028</v>
      </c>
      <c r="F53" s="167">
        <f>-'Segmental forecast'!F14</f>
        <v>-1119</v>
      </c>
      <c r="G53" s="167">
        <f>-'Segmental forecast'!G14</f>
        <v>-1086</v>
      </c>
      <c r="H53" s="167">
        <f>-'Segmental forecast'!H14</f>
        <v>-695</v>
      </c>
      <c r="I53" s="167">
        <f>-'Segmental forecast'!I14</f>
        <v>-758</v>
      </c>
      <c r="J53" s="167">
        <f>-'Segmental forecast'!J14</f>
        <v>-804.17700000000002</v>
      </c>
      <c r="K53" s="167">
        <f>-'Segmental forecast'!K14</f>
        <v>-870.49856899999997</v>
      </c>
      <c r="L53" s="167">
        <f>-'Segmental forecast'!L14</f>
        <v>-945.44114223299994</v>
      </c>
      <c r="M53" s="167">
        <f>-'Segmental forecast'!M14</f>
        <v>-1030.6827179282809</v>
      </c>
      <c r="N53" s="167">
        <f>-'Segmental forecast'!N14</f>
        <v>-1128.2917464024729</v>
      </c>
      <c r="O53" s="167"/>
      <c r="P53" s="167"/>
      <c r="Q53" s="167"/>
      <c r="R53" s="167"/>
      <c r="S53" s="167"/>
      <c r="T53" s="167"/>
      <c r="U53" s="167"/>
      <c r="V53" s="167"/>
      <c r="W53" s="167"/>
      <c r="X53" s="167"/>
      <c r="Y53" s="167"/>
    </row>
    <row r="54" spans="1:25" s="145" customFormat="1">
      <c r="A54" s="169" t="s">
        <v>188</v>
      </c>
      <c r="B54" s="155">
        <f>B49+B52+B53-B47</f>
        <v>5166</v>
      </c>
      <c r="C54" s="155">
        <f t="shared" ref="C54:N54" si="43">C49+C52+C53-C47</f>
        <v>1740</v>
      </c>
      <c r="D54" s="155">
        <f t="shared" si="43"/>
        <v>2436</v>
      </c>
      <c r="E54" s="155">
        <f t="shared" si="43"/>
        <v>1587</v>
      </c>
      <c r="F54" s="155">
        <f t="shared" si="43"/>
        <v>3053</v>
      </c>
      <c r="G54" s="155">
        <f t="shared" si="43"/>
        <v>579</v>
      </c>
      <c r="H54" s="155">
        <f t="shared" si="43"/>
        <v>1402</v>
      </c>
      <c r="I54" s="155">
        <f t="shared" si="43"/>
        <v>3940</v>
      </c>
      <c r="J54" s="155">
        <f t="shared" si="43"/>
        <v>4694.5205999999998</v>
      </c>
      <c r="K54" s="155">
        <f t="shared" si="43"/>
        <v>8707.3075442000008</v>
      </c>
      <c r="L54" s="155">
        <f t="shared" si="43"/>
        <v>12315.385734903486</v>
      </c>
      <c r="M54" s="155">
        <f t="shared" si="43"/>
        <v>8948.0769586677998</v>
      </c>
      <c r="N54" s="155">
        <f t="shared" si="43"/>
        <v>8653.548357574613</v>
      </c>
      <c r="O54" s="155"/>
      <c r="P54" s="155"/>
      <c r="Q54" s="155"/>
      <c r="R54" s="155"/>
      <c r="S54" s="155"/>
      <c r="T54" s="155"/>
      <c r="U54" s="155"/>
      <c r="V54" s="155"/>
      <c r="W54" s="155"/>
      <c r="X54" s="155"/>
      <c r="Y54" s="155"/>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11136.2097612</v>
      </c>
      <c r="L56" s="93">
        <f t="shared" si="45"/>
        <v>14984.004658272486</v>
      </c>
      <c r="M56" s="93">
        <f t="shared" si="45"/>
        <v>11991.295859052832</v>
      </c>
      <c r="N56" s="93">
        <f t="shared" si="45"/>
        <v>12289.022925837673</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3700.2462445654555</v>
      </c>
      <c r="L67" s="93">
        <f t="shared" si="52"/>
        <v>6580.7676692301957</v>
      </c>
      <c r="M67" s="93">
        <f t="shared" si="52"/>
        <v>2446.0197054234231</v>
      </c>
      <c r="N67" s="93">
        <f t="shared" si="52"/>
        <v>1393.8432350423136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12747.829518118306</v>
      </c>
      <c r="M68" s="88">
        <f t="shared" si="54"/>
        <v>19328.597187348503</v>
      </c>
      <c r="N68" s="88">
        <f t="shared" si="54"/>
        <v>21774.616892771926</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12747.829518118306</v>
      </c>
      <c r="L69" s="90">
        <f t="shared" si="56"/>
        <v>19328.597187348503</v>
      </c>
      <c r="M69" s="90">
        <f t="shared" si="56"/>
        <v>21774.616892771926</v>
      </c>
      <c r="N69" s="90">
        <f t="shared" si="56"/>
        <v>23168.46012781424</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F1" workbookViewId="0">
      <selection activeCell="M15" sqref="M15"/>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26.7109375" customWidth="1"/>
    <col min="11" max="11" width="11.5703125" bestFit="1" customWidth="1"/>
    <col min="12" max="15" width="10.5703125" bestFit="1" customWidth="1"/>
    <col min="16" max="18" width="10.140625" bestFit="1" customWidth="1"/>
    <col min="21" max="21" width="9.5703125" bestFit="1" customWidth="1"/>
  </cols>
  <sheetData>
    <row r="1" spans="1:21" ht="45">
      <c r="A1" s="132"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258</v>
      </c>
      <c r="K1" s="127">
        <f>+I1+1</f>
        <v>2023</v>
      </c>
      <c r="L1" s="127">
        <f>+K1+1</f>
        <v>2024</v>
      </c>
      <c r="M1" s="127">
        <f t="shared" si="0"/>
        <v>2025</v>
      </c>
      <c r="N1" s="127">
        <f t="shared" si="0"/>
        <v>2026</v>
      </c>
      <c r="O1" s="127">
        <f t="shared" si="0"/>
        <v>2027</v>
      </c>
      <c r="P1" s="127">
        <f t="shared" si="0"/>
        <v>2028</v>
      </c>
      <c r="Q1" s="127">
        <f t="shared" si="0"/>
        <v>2029</v>
      </c>
      <c r="R1" s="127">
        <f t="shared" si="0"/>
        <v>2030</v>
      </c>
      <c r="S1" s="127">
        <f t="shared" si="0"/>
        <v>2031</v>
      </c>
      <c r="T1" s="127">
        <f t="shared" si="0"/>
        <v>2032</v>
      </c>
      <c r="U1" s="128" t="s">
        <v>226</v>
      </c>
    </row>
    <row r="2" spans="1:21">
      <c r="A2" s="14" t="s">
        <v>227</v>
      </c>
      <c r="B2" s="14"/>
      <c r="C2" s="14"/>
      <c r="D2" s="14"/>
      <c r="E2" s="14"/>
      <c r="F2" s="14"/>
      <c r="G2" s="14"/>
      <c r="H2" s="14"/>
      <c r="I2" s="14"/>
      <c r="J2" s="14"/>
      <c r="K2" s="14"/>
      <c r="L2" s="14"/>
      <c r="M2" s="14"/>
      <c r="N2" s="14"/>
      <c r="O2" s="14"/>
      <c r="P2" s="129"/>
      <c r="Q2" s="129"/>
      <c r="R2" s="129"/>
      <c r="S2" s="129"/>
      <c r="T2" s="129"/>
      <c r="U2" s="129"/>
    </row>
    <row r="3" spans="1:21">
      <c r="A3" t="s">
        <v>228</v>
      </c>
      <c r="B3" s="130">
        <v>50.02</v>
      </c>
      <c r="C3" s="130">
        <v>51.63</v>
      </c>
      <c r="D3" s="130">
        <v>52.6</v>
      </c>
      <c r="E3" s="130">
        <v>70.239999999999995</v>
      </c>
      <c r="F3" s="130">
        <v>83.79</v>
      </c>
      <c r="G3" s="130">
        <v>103.56</v>
      </c>
      <c r="H3" s="130">
        <v>146.88</v>
      </c>
      <c r="I3" s="130">
        <v>113.8</v>
      </c>
      <c r="J3" s="130"/>
      <c r="K3" s="130"/>
      <c r="L3" s="48"/>
      <c r="M3" s="48"/>
      <c r="N3" s="48"/>
      <c r="O3" s="48"/>
    </row>
    <row r="4" spans="1:21">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s="88"/>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s="98"/>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1">
        <f>'The Statements'!B36/'The Statements'!B39</f>
        <v>8.4913827024474697E-2</v>
      </c>
      <c r="C9" s="131">
        <f>'The Statements'!C36/'The Statements'!C39</f>
        <v>0.16397454723445912</v>
      </c>
      <c r="D9" s="131">
        <f>'The Statements'!D36/'The Statements'!D39</f>
        <v>0.27976142500201501</v>
      </c>
      <c r="E9" s="131">
        <f>'The Statements'!E36/'The Statements'!E39</f>
        <v>0.35344476151651039</v>
      </c>
      <c r="F9" s="131">
        <f>'The Statements'!F36/'The Statements'!F39</f>
        <v>0.38318584070796458</v>
      </c>
      <c r="G9" s="131">
        <f>'The Statements'!G36/'The Statements'!G39</f>
        <v>1.1677219118559901</v>
      </c>
      <c r="H9" s="131">
        <f>'The Statements'!H36/'The Statements'!H39</f>
        <v>0.73729145453121325</v>
      </c>
      <c r="I9" s="131">
        <f>('The Statements'!I43-'The Statements'!I39)/'The Statements'!I39</f>
        <v>1.4188861985472154</v>
      </c>
      <c r="J9" s="131"/>
      <c r="K9" t="s">
        <v>254</v>
      </c>
    </row>
    <row r="10" spans="1:21">
      <c r="A10" t="s">
        <v>235</v>
      </c>
      <c r="B10" s="131">
        <f>'The Statements'!B36/('The Statements'!B36+'The Statements'!B39)</f>
        <v>7.826780792107936E-2</v>
      </c>
      <c r="C10" s="131">
        <f>'The Statements'!C36/('The Statements'!C36+'The Statements'!C39)</f>
        <v>0.14087468460891506</v>
      </c>
      <c r="D10" s="131">
        <f>'The Statements'!D36/('The Statements'!D36+'The Statements'!D39)</f>
        <v>0.21860435823151531</v>
      </c>
      <c r="E10" s="131">
        <f>'The Statements'!E36/('The Statements'!E36+'The Statements'!E39)</f>
        <v>0.261144578313253</v>
      </c>
      <c r="F10" s="131">
        <f>'The Statements'!F36/('The Statements'!F36+'The Statements'!F39)</f>
        <v>0.27703134996801021</v>
      </c>
      <c r="G10" s="131">
        <f>'The Statements'!G36/('The Statements'!G36+'The Statements'!G39)</f>
        <v>0.53868621499341385</v>
      </c>
      <c r="H10" s="131">
        <f>'The Statements'!H36/('The Statements'!H36+'The Statements'!H39)</f>
        <v>0.42439134355275021</v>
      </c>
      <c r="I10" s="131">
        <f>'The Statements'!I36/('The Statements'!I36+'The Statements'!I39)</f>
        <v>0.36857981075162183</v>
      </c>
      <c r="J10" s="131"/>
      <c r="K10" t="s">
        <v>255</v>
      </c>
    </row>
    <row r="11" spans="1:21">
      <c r="A11" t="s">
        <v>236</v>
      </c>
      <c r="B11" s="131">
        <f>'The Statements'!B14/'The Statements'!B39</f>
        <v>0.25757456520028332</v>
      </c>
      <c r="C11" s="131">
        <f>'The Statements'!C14/'The Statements'!C39</f>
        <v>0.3067384565181922</v>
      </c>
      <c r="D11" s="131">
        <f>'The Statements'!D14/'The Statements'!D39</f>
        <v>0.34174256468122832</v>
      </c>
      <c r="E11" s="131">
        <f>'The Statements'!E14/'The Statements'!E39</f>
        <v>0.19700366897676314</v>
      </c>
      <c r="F11" s="131">
        <f>'The Statements'!F14/'The Statements'!F39</f>
        <v>0.44568584070796458</v>
      </c>
      <c r="G11" s="131">
        <f>'The Statements'!G14/'The Statements'!G39</f>
        <v>0.31520794537554314</v>
      </c>
      <c r="H11" s="131">
        <f>'The Statements'!H14/'The Statements'!H39</f>
        <v>0.44857836610010182</v>
      </c>
      <c r="I11" s="131">
        <f>'The Statements'!I14/'The Statements'!I39</f>
        <v>0.3956547346377855</v>
      </c>
      <c r="J11" s="131"/>
    </row>
    <row r="14" spans="1:21">
      <c r="M14"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35">
        <f>'The Statements'!J54</f>
        <v>4694.5205999999998</v>
      </c>
      <c r="L15" s="3">
        <f>'The Statements'!K54</f>
        <v>8707.3075442000008</v>
      </c>
      <c r="M15" s="88">
        <f>'The Statements'!L54</f>
        <v>12315.385734903486</v>
      </c>
      <c r="N15" s="88">
        <f>'The Statements'!M54</f>
        <v>8948.0769586677998</v>
      </c>
      <c r="O15" s="88">
        <f>'The Statements'!N54</f>
        <v>8653.548357574613</v>
      </c>
      <c r="P15" s="138">
        <f>O15*(1+P16)</f>
        <v>9259.2967426048363</v>
      </c>
      <c r="Q15" s="138">
        <f t="shared" ref="Q15:T15" si="1">P15*(1+Q16)</f>
        <v>9907.4475145871747</v>
      </c>
      <c r="R15" s="138">
        <f t="shared" si="1"/>
        <v>10600.968840608277</v>
      </c>
      <c r="S15" s="138">
        <f t="shared" si="1"/>
        <v>11343.036659450858</v>
      </c>
      <c r="T15" s="138">
        <f t="shared" si="1"/>
        <v>12137.049225612418</v>
      </c>
      <c r="U15" s="138">
        <f>(T15*(1+U16))/(I17-U16)</f>
        <v>229099.73421386836</v>
      </c>
    </row>
    <row r="16" spans="1:21" s="162" customFormat="1" ht="12">
      <c r="A16" s="160" t="s">
        <v>129</v>
      </c>
      <c r="B16" s="161" t="str">
        <f>IFERROR(B15/A15-1,"nm")</f>
        <v>nm</v>
      </c>
      <c r="C16" s="161">
        <f t="shared" ref="C16:I16" si="2">IFERROR(C15/B15-1,"nm")</f>
        <v>-0.66318234610917537</v>
      </c>
      <c r="D16" s="161">
        <f t="shared" si="2"/>
        <v>0.39999999999999991</v>
      </c>
      <c r="E16" s="161">
        <f t="shared" si="2"/>
        <v>-0.34852216748768472</v>
      </c>
      <c r="F16" s="161">
        <f t="shared" si="2"/>
        <v>0.92375551354757413</v>
      </c>
      <c r="G16" s="161">
        <f t="shared" si="2"/>
        <v>-0.81035047494267931</v>
      </c>
      <c r="H16" s="161">
        <f t="shared" si="2"/>
        <v>1.4214162348877375</v>
      </c>
      <c r="I16" s="161">
        <f t="shared" si="2"/>
        <v>1.810271041369472</v>
      </c>
      <c r="J16" s="161"/>
      <c r="K16" s="161">
        <f>IFERROR(K15/I15-1,"nm")</f>
        <v>0.19150269035532985</v>
      </c>
      <c r="L16" s="161">
        <f>IFERROR(L15/K15-1,"nm")</f>
        <v>0.85478098534704516</v>
      </c>
      <c r="M16" s="161">
        <f t="shared" ref="M16" si="3">IFERROR(M15/L15-1,"nm")</f>
        <v>0.41437357901833294</v>
      </c>
      <c r="N16" s="161">
        <f t="shared" ref="N16" si="4">IFERROR(N15/M15-1,"nm")</f>
        <v>-0.2734229238709327</v>
      </c>
      <c r="O16" s="161">
        <f t="shared" ref="O16" si="5">IFERROR(O15/N15-1,"nm")</f>
        <v>-3.2915295929354271E-2</v>
      </c>
      <c r="P16" s="161">
        <v>7.0000000000000007E-2</v>
      </c>
      <c r="Q16" s="161">
        <v>7.0000000000000007E-2</v>
      </c>
      <c r="R16" s="161">
        <v>7.0000000000000007E-2</v>
      </c>
      <c r="S16" s="161">
        <v>7.0000000000000007E-2</v>
      </c>
      <c r="T16" s="161">
        <v>7.0000000000000007E-2</v>
      </c>
      <c r="U16" s="161">
        <v>0.03</v>
      </c>
    </row>
    <row r="17" spans="1:21">
      <c r="A17" t="s">
        <v>238</v>
      </c>
      <c r="B17" s="133">
        <f>(B19*(1-B23))+(B22*B23)</f>
        <v>-2.6782489482083277E-3</v>
      </c>
      <c r="C17" s="133">
        <f t="shared" ref="C17:I17" si="6">(C19*(1-C23))+(C22*C23)</f>
        <v>5.454256433978133E-2</v>
      </c>
      <c r="D17" s="133">
        <f t="shared" si="6"/>
        <v>8.1586823781332668E-2</v>
      </c>
      <c r="E17" s="133">
        <f t="shared" si="6"/>
        <v>-2.0933215662650596E-2</v>
      </c>
      <c r="F17" s="133">
        <f t="shared" si="6"/>
        <v>0.15082910108765193</v>
      </c>
      <c r="G17" s="133">
        <f t="shared" si="6"/>
        <v>6.7562219804134918E-2</v>
      </c>
      <c r="H17" s="133">
        <f t="shared" si="6"/>
        <v>0.13899891393146976</v>
      </c>
      <c r="I17" s="141">
        <f t="shared" si="6"/>
        <v>8.4566456592702774E-2</v>
      </c>
      <c r="J17" s="141"/>
      <c r="K17" s="139"/>
      <c r="L17" s="88"/>
      <c r="M17" s="92"/>
      <c r="N17" s="92"/>
      <c r="O17" s="92"/>
      <c r="P17" s="92"/>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48" customFormat="1">
      <c r="A19" s="158" t="s">
        <v>240</v>
      </c>
      <c r="B19" s="131">
        <f>B20+B18*(B21-B20)</f>
        <v>-4.62E-3</v>
      </c>
      <c r="C19" s="131">
        <f t="shared" ref="C19:I19" si="7">C20+C18*(C21-C20)</f>
        <v>6.2226000000000004E-2</v>
      </c>
      <c r="D19" s="131">
        <f t="shared" si="7"/>
        <v>0.10028400000000001</v>
      </c>
      <c r="E19" s="131">
        <f t="shared" si="7"/>
        <v>-3.0791999999999993E-2</v>
      </c>
      <c r="F19" s="131">
        <f t="shared" si="7"/>
        <v>0.20407699999999995</v>
      </c>
      <c r="G19" s="131">
        <f t="shared" si="7"/>
        <v>0.13674399999999998</v>
      </c>
      <c r="H19" s="131">
        <f t="shared" si="7"/>
        <v>0.22383299999999995</v>
      </c>
      <c r="I19" s="131">
        <f t="shared" si="7"/>
        <v>0.121736</v>
      </c>
      <c r="J19" s="131" t="s">
        <v>257</v>
      </c>
      <c r="K19" s="159">
        <f>K15/(1+I17)^1</f>
        <v>4328.4766659190318</v>
      </c>
      <c r="L19" s="159">
        <f>L15/(1+I17)^2</f>
        <v>7402.3829214551906</v>
      </c>
      <c r="M19" s="159">
        <f>M15/(1+I17)^3</f>
        <v>9653.3824757725815</v>
      </c>
      <c r="N19" s="159">
        <f>N15/(1+I17)^4</f>
        <v>6467.0323993215889</v>
      </c>
      <c r="O19" s="159">
        <f>O15/(1+I17)^5</f>
        <v>5766.5144225107479</v>
      </c>
      <c r="P19" s="159">
        <f>P15/(1+I17)^6</f>
        <v>5689.0662573788622</v>
      </c>
      <c r="Q19" s="159">
        <f>Q15/(1+I17)^7</f>
        <v>5612.6582731678582</v>
      </c>
      <c r="R19" s="159">
        <f>R15/(1+I17)^8</f>
        <v>5537.2764995487296</v>
      </c>
      <c r="S19" s="159">
        <f>S15/(1+I17)^9</f>
        <v>5462.907153823372</v>
      </c>
      <c r="T19" s="159">
        <f>T15/(1+I17)^10</f>
        <v>5389.5366384045856</v>
      </c>
      <c r="U19" s="159">
        <f>U15/(1+I17)^11</f>
        <v>93800.840989369128</v>
      </c>
    </row>
    <row r="20" spans="1:21">
      <c r="A20" s="2" t="s">
        <v>241</v>
      </c>
      <c r="B20" s="140">
        <v>6.1000000000000004E-3</v>
      </c>
      <c r="C20" s="140">
        <v>8.0999999999999996E-3</v>
      </c>
      <c r="D20" s="140">
        <v>1.7000000000000001E-2</v>
      </c>
      <c r="E20" s="140">
        <v>2.5399999999999999E-2</v>
      </c>
      <c r="F20" s="140">
        <v>1.55E-2</v>
      </c>
      <c r="G20" s="140">
        <v>1E-3</v>
      </c>
      <c r="H20" s="140">
        <v>3.8E-3</v>
      </c>
      <c r="I20" s="131">
        <v>4.5100000000000001E-2</v>
      </c>
      <c r="J20" s="131"/>
      <c r="K20" s="136"/>
      <c r="L20" s="131"/>
      <c r="M20" s="131"/>
      <c r="N20" s="131"/>
      <c r="O20" s="131"/>
      <c r="P20" s="131"/>
      <c r="Q20" s="131"/>
      <c r="R20" s="131"/>
      <c r="S20" s="131"/>
      <c r="T20" s="131"/>
      <c r="U20" s="131"/>
    </row>
    <row r="21" spans="1:21">
      <c r="A21" s="2" t="s">
        <v>242</v>
      </c>
      <c r="B21" s="140">
        <v>-7.3000000000000001E-3</v>
      </c>
      <c r="C21" s="140">
        <v>9.5399999999999999E-2</v>
      </c>
      <c r="D21" s="140">
        <v>0.19420000000000001</v>
      </c>
      <c r="E21" s="140">
        <v>-6.2399999999999997E-2</v>
      </c>
      <c r="F21" s="140">
        <v>0.2888</v>
      </c>
      <c r="G21" s="140">
        <v>0.16259999999999999</v>
      </c>
      <c r="H21" s="140">
        <v>0.26889999999999997</v>
      </c>
      <c r="I21" s="140">
        <v>0.12839999999999999</v>
      </c>
      <c r="J21" s="140"/>
      <c r="K21" s="136"/>
      <c r="L21" s="131"/>
      <c r="M21" s="131"/>
      <c r="N21" s="131"/>
      <c r="O21" s="131"/>
      <c r="P21" s="131"/>
      <c r="Q21" s="131"/>
      <c r="R21" s="131"/>
      <c r="S21" s="131"/>
      <c r="T21" s="131"/>
      <c r="U21" s="131"/>
    </row>
    <row r="22" spans="1:21">
      <c r="A22" s="2" t="s">
        <v>243</v>
      </c>
      <c r="B22" s="131">
        <f>('The Statements'!B10*(1-'The Statements'!B13))/'The Statements'!B36</f>
        <v>2.0189063948100092E-2</v>
      </c>
      <c r="C22" s="131">
        <f>('The Statements'!C10*(1-'The Statements'!C13))/'The Statements'!C36</f>
        <v>7.6850746268656714E-3</v>
      </c>
      <c r="D22" s="131">
        <f>('The Statements'!D10*(1-'The Statements'!D13))/'The Statements'!D36</f>
        <v>1.4754249495822528E-2</v>
      </c>
      <c r="E22" s="131">
        <f>('The Statements'!E10*(1-'The Statements'!E13))/'The Statements'!E36</f>
        <v>6.9602076124567471E-3</v>
      </c>
      <c r="F22" s="131">
        <f>('The Statements'!F10*(1-'The Statements'!F13))/'The Statements'!F36</f>
        <v>1.1868071593533487E-2</v>
      </c>
      <c r="G22" s="131">
        <f>('The Statements'!G10*(1-'The Statements'!G13))/'The Statements'!G36</f>
        <v>8.3171379970231763E-3</v>
      </c>
      <c r="H22" s="131">
        <f>('The Statements'!H10*(1-'The Statements'!H13))/'The Statements'!H36</f>
        <v>2.3937108254541591E-2</v>
      </c>
      <c r="I22" s="131">
        <f>('The Statements'!I10*(1-'The Statements'!I13))/'The Statements'!I36</f>
        <v>2.0890695067264573E-2</v>
      </c>
      <c r="J22" s="131"/>
      <c r="K22" s="136"/>
      <c r="L22" s="131"/>
      <c r="M22" s="131"/>
      <c r="N22" s="131"/>
      <c r="O22" s="131"/>
      <c r="P22" s="131"/>
      <c r="Q22" s="131"/>
      <c r="R22" s="131"/>
      <c r="S22" s="131"/>
      <c r="T22" s="131"/>
      <c r="U22" s="131"/>
    </row>
    <row r="23" spans="1:21">
      <c r="A23" s="2" t="s">
        <v>244</v>
      </c>
      <c r="B23" s="131">
        <f>B10</f>
        <v>7.826780792107936E-2</v>
      </c>
      <c r="C23" s="131">
        <f t="shared" ref="C23:I23" si="8">C10</f>
        <v>0.14087468460891506</v>
      </c>
      <c r="D23" s="131">
        <f t="shared" si="8"/>
        <v>0.21860435823151531</v>
      </c>
      <c r="E23" s="131">
        <f t="shared" si="8"/>
        <v>0.261144578313253</v>
      </c>
      <c r="F23" s="131">
        <f t="shared" si="8"/>
        <v>0.27703134996801021</v>
      </c>
      <c r="G23" s="131">
        <f t="shared" si="8"/>
        <v>0.53868621499341385</v>
      </c>
      <c r="H23" s="131">
        <f t="shared" si="8"/>
        <v>0.42439134355275021</v>
      </c>
      <c r="I23" s="131">
        <f t="shared" si="8"/>
        <v>0.36857981075162183</v>
      </c>
      <c r="J23" s="131"/>
      <c r="K23" s="136"/>
      <c r="L23" s="131"/>
      <c r="M23" s="131"/>
      <c r="N23" s="131"/>
      <c r="O23" s="131"/>
      <c r="P23" s="131"/>
      <c r="Q23" s="131"/>
      <c r="R23" s="131"/>
      <c r="S23" s="131"/>
      <c r="T23" s="131"/>
      <c r="U23" s="131"/>
    </row>
    <row r="24" spans="1:21">
      <c r="A24" t="s">
        <v>245</v>
      </c>
      <c r="K24" s="135"/>
      <c r="L24" s="3"/>
      <c r="M24" s="3"/>
      <c r="N24" s="3"/>
      <c r="O24" s="3"/>
    </row>
    <row r="25" spans="1:21" ht="15.75" thickBot="1">
      <c r="K25" s="135"/>
      <c r="L25" s="3"/>
      <c r="M25" s="3"/>
      <c r="N25" s="3"/>
      <c r="O25" s="3"/>
    </row>
    <row r="26" spans="1:21" s="148" customFormat="1">
      <c r="A26" s="146" t="s">
        <v>246</v>
      </c>
      <c r="B26" s="147">
        <f>K19+L19+M19+N19+O19+P19+Q19+R19+S19+T19</f>
        <v>61309.233707302548</v>
      </c>
      <c r="C26" s="148" t="s">
        <v>259</v>
      </c>
      <c r="K26" s="139"/>
      <c r="L26" s="88"/>
      <c r="M26" s="88"/>
      <c r="N26" s="88"/>
      <c r="O26" s="88"/>
    </row>
    <row r="27" spans="1:21" s="148" customFormat="1">
      <c r="A27" s="149" t="s">
        <v>247</v>
      </c>
      <c r="B27" s="150">
        <f>U19</f>
        <v>93800.840989369128</v>
      </c>
      <c r="C27" s="151" t="s">
        <v>260</v>
      </c>
      <c r="D27" s="151"/>
      <c r="E27" s="151"/>
      <c r="F27" s="151"/>
      <c r="G27" s="151"/>
      <c r="H27" s="151"/>
      <c r="I27" s="151"/>
      <c r="J27" s="151"/>
      <c r="K27" s="139"/>
      <c r="L27" s="88"/>
      <c r="M27" s="88"/>
      <c r="N27" s="88"/>
      <c r="O27" s="88"/>
    </row>
    <row r="28" spans="1:21">
      <c r="A28" s="134" t="s">
        <v>248</v>
      </c>
      <c r="B28" s="137">
        <f>B26+B27</f>
        <v>155110.07469667168</v>
      </c>
      <c r="C28" s="100"/>
      <c r="D28" s="100"/>
      <c r="E28" s="100"/>
      <c r="F28" s="100"/>
      <c r="G28" s="100"/>
      <c r="H28" s="100"/>
      <c r="I28" s="100"/>
      <c r="J28" s="100"/>
    </row>
    <row r="29" spans="1:21" s="148" customFormat="1">
      <c r="A29" s="149" t="s">
        <v>249</v>
      </c>
      <c r="B29" s="150">
        <f>'The Statements'!I36</f>
        <v>8920</v>
      </c>
      <c r="C29" s="148" t="s">
        <v>261</v>
      </c>
    </row>
    <row r="30" spans="1:21" s="148" customFormat="1">
      <c r="A30" s="149" t="s">
        <v>250</v>
      </c>
      <c r="B30" s="150">
        <f>B28-B29</f>
        <v>146190.07469667168</v>
      </c>
      <c r="C30" s="148" t="s">
        <v>262</v>
      </c>
    </row>
    <row r="31" spans="1:21" s="148" customFormat="1" ht="15.75" thickBot="1">
      <c r="A31" s="152" t="s">
        <v>251</v>
      </c>
      <c r="B31" s="153">
        <f>B30/'The Statements'!I15</f>
        <v>90.756192386808848</v>
      </c>
      <c r="C31" s="154" t="s">
        <v>263</v>
      </c>
      <c r="D31" s="154"/>
      <c r="E31" s="154"/>
      <c r="F31" s="154"/>
      <c r="G31" s="154"/>
      <c r="H31" s="154"/>
      <c r="I31" s="154"/>
      <c r="J31" s="15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2023-12-08T19:10:12Z</dcterms:modified>
</cp:coreProperties>
</file>