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8676" activeTab="2"/>
  </bookViews>
  <sheets>
    <sheet name="Instructions" sheetId="1" r:id="rId1"/>
    <sheet name="Financial Statements" sheetId="2" r:id="rId2"/>
    <sheet name="List of Ratios" sheetId="3" r:id="rId3"/>
    <sheet name="Sheet1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8" i="3" l="1"/>
  <c r="D43" i="3" l="1"/>
  <c r="E43" i="3"/>
  <c r="C43" i="3"/>
  <c r="E10" i="3" l="1"/>
  <c r="D41" i="3"/>
  <c r="D40" i="3"/>
  <c r="C40" i="3"/>
  <c r="E41" i="3"/>
  <c r="E40" i="3"/>
  <c r="C42" i="3"/>
  <c r="E42" i="3"/>
  <c r="D51" i="3"/>
  <c r="E51" i="3"/>
  <c r="C51" i="3"/>
  <c r="C41" i="3"/>
  <c r="E3" i="3"/>
  <c r="D3" i="3"/>
  <c r="C3" i="3"/>
  <c r="D42" i="3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D118" i="2"/>
  <c r="E7" i="3" s="1"/>
  <c r="C118" i="2"/>
  <c r="D7" i="3" s="1"/>
  <c r="B118" i="2"/>
  <c r="C7" i="3" s="1"/>
  <c r="D108" i="2"/>
  <c r="C108" i="2"/>
  <c r="B108" i="2"/>
  <c r="D99" i="2"/>
  <c r="C99" i="2"/>
  <c r="B99" i="2"/>
  <c r="D68" i="2"/>
  <c r="C68" i="2"/>
  <c r="D27" i="3" s="1"/>
  <c r="B68" i="2"/>
  <c r="B69" i="2" s="1"/>
  <c r="D62" i="2"/>
  <c r="D69" i="2" s="1"/>
  <c r="D61" i="2"/>
  <c r="E27" i="3" s="1"/>
  <c r="C61" i="2"/>
  <c r="B61" i="2"/>
  <c r="C27" i="3" s="1"/>
  <c r="D56" i="2"/>
  <c r="C56" i="2"/>
  <c r="C62" i="2" s="1"/>
  <c r="B56" i="2"/>
  <c r="B62" i="2" s="1"/>
  <c r="D47" i="2"/>
  <c r="C47" i="2"/>
  <c r="B47" i="2"/>
  <c r="D42" i="2"/>
  <c r="D117" i="2" s="1"/>
  <c r="E6" i="3" s="1"/>
  <c r="C42" i="2"/>
  <c r="C117" i="2" s="1"/>
  <c r="D6" i="3" s="1"/>
  <c r="B42" i="2"/>
  <c r="C8" i="3" s="1"/>
  <c r="D33" i="2"/>
  <c r="D73" i="2" s="1"/>
  <c r="C33" i="2"/>
  <c r="C73" i="2" s="1"/>
  <c r="B33" i="2"/>
  <c r="B73" i="2" s="1"/>
  <c r="D17" i="2"/>
  <c r="D119" i="2" s="1"/>
  <c r="C17" i="2"/>
  <c r="C119" i="2" s="1"/>
  <c r="B17" i="2"/>
  <c r="B119" i="2" s="1"/>
  <c r="D12" i="2"/>
  <c r="E9" i="3" s="1"/>
  <c r="C12" i="2"/>
  <c r="D9" i="3" s="1"/>
  <c r="B12" i="2"/>
  <c r="C10" i="3" s="1"/>
  <c r="D8" i="2"/>
  <c r="D13" i="2" s="1"/>
  <c r="C8" i="2"/>
  <c r="C13" i="2" s="1"/>
  <c r="C18" i="2" s="1"/>
  <c r="C20" i="2" s="1"/>
  <c r="C22" i="2" s="1"/>
  <c r="C76" i="2" s="1"/>
  <c r="C91" i="2" s="1"/>
  <c r="C109" i="2" s="1"/>
  <c r="B8" i="2"/>
  <c r="B13" i="2" s="1"/>
  <c r="B18" i="2" s="1"/>
  <c r="B20" i="2" s="1"/>
  <c r="B22" i="2" s="1"/>
  <c r="B76" i="2" s="1"/>
  <c r="B91" i="2" s="1"/>
  <c r="B109" i="2" s="1"/>
  <c r="D50" i="3" l="1"/>
  <c r="C44" i="3"/>
  <c r="C45" i="3" s="1"/>
  <c r="C46" i="3" s="1"/>
  <c r="E36" i="3"/>
  <c r="C36" i="3"/>
  <c r="C28" i="3"/>
  <c r="D19" i="3"/>
  <c r="D18" i="3" s="1"/>
  <c r="E14" i="3"/>
  <c r="E13" i="3" s="1"/>
  <c r="D10" i="3"/>
  <c r="C47" i="3"/>
  <c r="E25" i="3"/>
  <c r="D11" i="3"/>
  <c r="D12" i="3" s="1"/>
  <c r="D28" i="3"/>
  <c r="E17" i="3"/>
  <c r="D21" i="3"/>
  <c r="E11" i="3"/>
  <c r="E12" i="3" s="1"/>
  <c r="C5" i="3"/>
  <c r="D35" i="3"/>
  <c r="D22" i="3"/>
  <c r="D14" i="3"/>
  <c r="D13" i="3" s="1"/>
  <c r="D5" i="3"/>
  <c r="C14" i="3"/>
  <c r="C13" i="3" s="1"/>
  <c r="D36" i="3"/>
  <c r="D31" i="3"/>
  <c r="D30" i="3" s="1"/>
  <c r="C17" i="3"/>
  <c r="E5" i="3"/>
  <c r="C22" i="3"/>
  <c r="D47" i="3"/>
  <c r="C25" i="3"/>
  <c r="C19" i="3"/>
  <c r="C50" i="3" s="1"/>
  <c r="D18" i="2"/>
  <c r="C11" i="3"/>
  <c r="B48" i="2"/>
  <c r="C34" i="3" s="1"/>
  <c r="B117" i="2"/>
  <c r="C6" i="3" s="1"/>
  <c r="C31" i="3"/>
  <c r="C30" i="3" s="1"/>
  <c r="D44" i="3"/>
  <c r="D45" i="3" s="1"/>
  <c r="D46" i="3" s="1"/>
  <c r="C21" i="3"/>
  <c r="C48" i="3" s="1"/>
  <c r="D8" i="3"/>
  <c r="C9" i="3"/>
  <c r="C69" i="2"/>
  <c r="E35" i="3"/>
  <c r="C35" i="3"/>
  <c r="D25" i="3"/>
  <c r="D17" i="3"/>
  <c r="E8" i="3"/>
  <c r="D29" i="3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D48" i="2"/>
  <c r="E34" i="3" s="1"/>
  <c r="C48" i="2"/>
  <c r="D26" i="3" s="1"/>
  <c r="C12" i="3" l="1"/>
  <c r="C49" i="3"/>
  <c r="D20" i="2"/>
  <c r="D22" i="2" s="1"/>
  <c r="E21" i="3"/>
  <c r="E28" i="3"/>
  <c r="E19" i="3"/>
  <c r="D49" i="3"/>
  <c r="D37" i="3"/>
  <c r="C26" i="3"/>
  <c r="C18" i="3"/>
  <c r="C29" i="3"/>
  <c r="D48" i="3"/>
  <c r="D20" i="3"/>
  <c r="C20" i="3"/>
  <c r="C37" i="3"/>
  <c r="E26" i="3"/>
  <c r="D34" i="3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E18" i="3" l="1"/>
  <c r="E29" i="3"/>
  <c r="E50" i="3"/>
  <c r="E20" i="3"/>
  <c r="D76" i="2"/>
  <c r="D91" i="2" s="1"/>
  <c r="E22" i="3"/>
  <c r="E49" i="3"/>
  <c r="E44" i="3"/>
  <c r="E45" i="3" s="1"/>
  <c r="E46" i="3" s="1"/>
  <c r="E47" i="3"/>
  <c r="E37" i="3"/>
  <c r="D109" i="2" l="1"/>
  <c r="E31" i="3"/>
  <c r="E30" i="3" s="1"/>
</calcChain>
</file>

<file path=xl/sharedStrings.xml><?xml version="1.0" encoding="utf-8"?>
<sst xmlns="http://schemas.openxmlformats.org/spreadsheetml/2006/main" count="211" uniqueCount="192">
  <si>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</si>
  <si>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</si>
  <si>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</si>
  <si>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</si>
  <si>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</si>
  <si>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</si>
  <si>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</si>
  <si>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</si>
  <si>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</si>
  <si>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</si>
  <si>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</si>
  <si>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</si>
  <si>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</si>
  <si>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</si>
  <si>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</si>
  <si>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</si>
  <si>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</si>
  <si>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</si>
  <si>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</si>
  <si>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</si>
  <si>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</si>
  <si>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</si>
  <si>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</si>
  <si>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</si>
  <si>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</si>
  <si>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</si>
  <si>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</si>
  <si>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</si>
  <si>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</si>
  <si>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</si>
  <si>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</si>
  <si>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</si>
  <si>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</si>
  <si>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</si>
  <si>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</si>
  <si>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</si>
  <si>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</si>
  <si>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</si>
  <si>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</si>
  <si>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</si>
  <si>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</si>
  <si>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</si>
  <si>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</si>
  <si>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</si>
  <si>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</si>
  <si>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</si>
  <si>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</si>
  <si>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</si>
  <si>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</si>
  <si>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</si>
  <si>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</si>
  <si>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</si>
  <si>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</si>
  <si>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</si>
  <si>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</si>
  <si>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</si>
  <si>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</si>
  <si>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</si>
  <si>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</si>
  <si>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</si>
  <si>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Years ended Dec.</t>
  </si>
  <si>
    <t>Net sales:</t>
  </si>
  <si>
    <t>Products</t>
  </si>
  <si>
    <t>Services</t>
  </si>
  <si>
    <t>Total net sales</t>
  </si>
  <si>
    <t>Cost of sales:</t>
  </si>
  <si>
    <t>Total cost of sales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</si>
  <si>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</si>
  <si>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</si>
  <si>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</si>
  <si>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</si>
  <si>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</si>
  <si>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</si>
  <si>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(18,184)</t>
  </si>
  <si>
    <t>Income before provision for income taxes</t>
  </si>
  <si>
    <t>Provision for income taxes</t>
  </si>
  <si>
    <t>Net income</t>
  </si>
  <si>
    <t>Earnings per share:</t>
  </si>
  <si>
    <t>Basic</t>
  </si>
  <si>
    <t>(0.27)</t>
  </si>
  <si>
    <t>Diluted</t>
  </si>
  <si>
    <t>Shares used in computing earnings per share:</t>
  </si>
  <si>
    <t>As at December,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</si>
  <si>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</si>
  <si>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</si>
  <si>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</si>
  <si>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</si>
  <si>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</si>
  <si>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</si>
  <si>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</si>
  <si>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</si>
  <si>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</si>
  <si>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</si>
  <si>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</si>
  <si>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</si>
  <si>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</si>
  <si>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</si>
  <si>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</si>
  <si>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</si>
  <si>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</si>
  <si>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</si>
  <si>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</si>
  <si>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</si>
  <si>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</si>
  <si>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</si>
  <si>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</si>
  <si>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</si>
  <si>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</si>
  <si>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</si>
  <si>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</si>
  <si>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</si>
  <si>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(4,487)</t>
  </si>
  <si>
    <t>(1,376)</t>
  </si>
  <si>
    <t>Total shareholders’ equity</t>
  </si>
  <si>
    <t>Total liabilities and shareholders’ equity</t>
  </si>
  <si>
    <t>Years ended December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</si>
  <si>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</si>
  <si>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</si>
  <si>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</si>
  <si>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</si>
  <si>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r>
      <rPr>
        <sz val="9"/>
        <color rgb="FF000000"/>
        <rFont val="Times New Roman"/>
        <family val="1"/>
      </rPr>
      <t>41,921</t>
    </r>
  </si>
  <si>
    <r>
      <rPr>
        <sz val="9"/>
        <color rgb="FF000000"/>
        <rFont val="Times New Roman"/>
        <family val="1"/>
      </rPr>
      <t>34,433</t>
    </r>
  </si>
  <si>
    <r>
      <rPr>
        <sz val="9"/>
        <color rgb="FF000000"/>
        <rFont val="Times New Roman"/>
        <family val="1"/>
      </rPr>
      <t>25,180</t>
    </r>
  </si>
  <si>
    <t>Share based compensation expense</t>
  </si>
  <si>
    <t>Deferred income tax expense/(benefit)</t>
  </si>
  <si>
    <t>(8,148)</t>
  </si>
  <si>
    <t>(310)</t>
  </si>
  <si>
    <t>(554)</t>
  </si>
  <si>
    <t>Other</t>
  </si>
  <si>
    <t>(14,306)</t>
  </si>
  <si>
    <t>(2,582)</t>
  </si>
  <si>
    <t>Changes in operating assets and liabilities:</t>
  </si>
  <si>
    <t>(21,897)</t>
  </si>
  <si>
    <t>(18,163)</t>
  </si>
  <si>
    <t>(8,169)</t>
  </si>
  <si>
    <t>(2,592)</t>
  </si>
  <si>
    <t>(9,487)</t>
  </si>
  <si>
    <t>(2,849)</t>
  </si>
  <si>
    <t>Other current and non current assets</t>
  </si>
  <si>
    <t>Other current and non current liabilities</t>
  </si>
  <si>
    <t>(1,558)</t>
  </si>
  <si>
    <t>Cash generated by operating activities</t>
  </si>
  <si>
    <t>Investing activities:</t>
  </si>
  <si>
    <t>Purchases of marketable securities</t>
  </si>
  <si>
    <t>(2,565)</t>
  </si>
  <si>
    <t>(60,157)</t>
  </si>
  <si>
    <t>(72,479)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</si>
  <si>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</si>
  <si>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</si>
  <si>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</si>
  <si>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</si>
  <si>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(8,316)</t>
  </si>
  <si>
    <t>(1,985)</t>
  </si>
  <si>
    <t>(2,325)</t>
  </si>
  <si>
    <t>Other(Proceeds from property and equipment sales)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</si>
  <si>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</si>
  <si>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</si>
  <si>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</si>
  <si>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</si>
  <si>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</si>
  <si>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(6,000)</t>
  </si>
  <si>
    <t>Proceeds from issuance of term debt, net</t>
  </si>
  <si>
    <t>Repayments of term debt</t>
  </si>
  <si>
    <t>(1,258)</t>
  </si>
  <si>
    <t>(1,590)</t>
  </si>
  <si>
    <t>(1,553)</t>
  </si>
  <si>
    <t>Proceeds from/(Repayments of) commercial paper, net</t>
  </si>
  <si>
    <t>Other(pricipal repayments of leases and financila obligations)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</si>
  <si>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</si>
  <si>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</si>
  <si>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</si>
  <si>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</si>
  <si>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</si>
  <si>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</si>
  <si>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current Assets- Inventories</t>
  </si>
  <si>
    <t>cash +cash  Equivalents</t>
  </si>
  <si>
    <t>Daily Operational expenses</t>
  </si>
  <si>
    <t>Other non current assets(operating leases,goddwill and other assets)</t>
  </si>
  <si>
    <t>other liabilities(accured expenses and other)</t>
  </si>
  <si>
    <t>term debt(long term lease facilities and long term debt)</t>
  </si>
  <si>
    <t>share price</t>
  </si>
  <si>
    <t>Years ended December,</t>
  </si>
  <si>
    <t>AMAZON Inc</t>
  </si>
  <si>
    <t>Company name-AMAZON INC</t>
  </si>
  <si>
    <t>Current Assets / Daily Operational Expenses where Daily Operational Expenses = (Annual Operating Expenses - Noncash Charges) / 365</t>
  </si>
  <si>
    <t>Include only Long term debt, other components are not considered capital calculations</t>
  </si>
  <si>
    <t>Net Operating Income/ (Interest + Debt repayment)</t>
  </si>
  <si>
    <t>Link Capex with + sign because it is already negative in the cash flow statement, same applies for repayments of debt\</t>
  </si>
  <si>
    <t>Denominator should be bracketed</t>
  </si>
  <si>
    <t>Not required to divide share count in this case</t>
  </si>
  <si>
    <t>Should be long term debt in non-current liabilities instead of row 54 and 55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</si>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</sst>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#######"/>
    <numFmt numFmtId="168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theme="1"/>
      <name val="Times New Roman"/>
      <family val="1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Fill="1"/>
    <xf numFmtId="3" fontId="8" fillId="0" borderId="3" xfId="0" applyNumberFormat="1" applyFont="1" applyFill="1" applyBorder="1" applyAlignment="1">
      <alignment horizontal="right" vertical="top" shrinkToFit="1"/>
    </xf>
    <xf numFmtId="3" fontId="8" fillId="0" borderId="4" xfId="0" applyNumberFormat="1" applyFont="1" applyFill="1" applyBorder="1" applyAlignment="1">
      <alignment horizontal="right" vertical="top" shrinkToFit="1"/>
    </xf>
    <xf numFmtId="165" fontId="2" fillId="0" borderId="1" xfId="1" applyNumberFormat="1" applyFont="1" applyFill="1" applyBorder="1" applyAlignment="1">
      <alignment horizontal="right"/>
    </xf>
    <xf numFmtId="165" fontId="1" fillId="0" borderId="0" xfId="1" applyNumberFormat="1" applyFont="1" applyFill="1" applyAlignment="1">
      <alignment horizontal="right"/>
    </xf>
    <xf numFmtId="3" fontId="8" fillId="0" borderId="0" xfId="0" applyNumberFormat="1" applyFont="1" applyFill="1" applyBorder="1" applyAlignment="1">
      <alignment horizontal="right" vertical="top" shrinkToFit="1"/>
    </xf>
    <xf numFmtId="165" fontId="1" fillId="0" borderId="0" xfId="1" applyNumberFormat="1" applyFont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8" fillId="0" borderId="5" xfId="0" applyFont="1" applyFill="1" applyBorder="1" applyAlignment="1">
      <alignment horizontal="right" vertical="top"/>
    </xf>
    <xf numFmtId="3" fontId="8" fillId="0" borderId="5" xfId="0" applyNumberFormat="1" applyFont="1" applyFill="1" applyBorder="1" applyAlignment="1">
      <alignment horizontal="right" vertical="top" shrinkToFit="1"/>
    </xf>
    <xf numFmtId="165" fontId="8" fillId="0" borderId="3" xfId="0" applyNumberFormat="1" applyFont="1" applyFill="1" applyBorder="1" applyAlignment="1">
      <alignment horizontal="right" vertical="top"/>
    </xf>
    <xf numFmtId="3" fontId="8" fillId="0" borderId="0" xfId="0" applyNumberFormat="1" applyFont="1" applyFill="1" applyBorder="1" applyAlignment="1">
      <alignment horizontal="right" vertical="top"/>
    </xf>
    <xf numFmtId="165" fontId="2" fillId="0" borderId="2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167" fontId="8" fillId="0" borderId="5" xfId="0" applyNumberFormat="1" applyFont="1" applyFill="1" applyBorder="1" applyAlignment="1">
      <alignment horizontal="right" vertical="top" shrinkToFit="1"/>
    </xf>
    <xf numFmtId="168" fontId="0" fillId="0" borderId="0" xfId="1" applyNumberFormat="1" applyFont="1" applyFill="1" applyAlignment="1">
      <alignment horizontal="right"/>
    </xf>
    <xf numFmtId="168" fontId="0" fillId="0" borderId="0" xfId="1" applyNumberFormat="1" applyFont="1" applyAlignment="1">
      <alignment horizontal="right"/>
    </xf>
    <xf numFmtId="168" fontId="0" fillId="0" borderId="0" xfId="1" applyNumberFormat="1" applyFont="1"/>
    <xf numFmtId="165" fontId="1" fillId="0" borderId="0" xfId="1" applyNumberFormat="1" applyFont="1"/>
    <xf numFmtId="168" fontId="8" fillId="0" borderId="0" xfId="1" applyNumberFormat="1" applyFont="1" applyFill="1" applyBorder="1" applyAlignment="1">
      <alignment horizontal="right" vertical="top"/>
    </xf>
    <xf numFmtId="168" fontId="8" fillId="0" borderId="0" xfId="1" applyNumberFormat="1" applyFont="1" applyFill="1" applyBorder="1" applyAlignment="1">
      <alignment horizontal="right" vertical="top" shrinkToFit="1"/>
    </xf>
    <xf numFmtId="0" fontId="2" fillId="0" borderId="6" xfId="0" applyFont="1" applyBorder="1" applyAlignment="1">
      <alignment horizontal="left"/>
    </xf>
    <xf numFmtId="165" fontId="1" fillId="0" borderId="6" xfId="1" applyNumberFormat="1" applyFont="1" applyBorder="1"/>
    <xf numFmtId="0" fontId="2" fillId="0" borderId="1" xfId="0" applyFont="1" applyFill="1" applyBorder="1"/>
    <xf numFmtId="165" fontId="2" fillId="0" borderId="1" xfId="1" applyNumberFormat="1" applyFont="1" applyFill="1" applyBorder="1"/>
    <xf numFmtId="0" fontId="9" fillId="0" borderId="0" xfId="0" applyFont="1" applyFill="1" applyBorder="1" applyAlignment="1">
      <alignment horizontal="right" vertical="top" wrapText="1"/>
    </xf>
    <xf numFmtId="3" fontId="9" fillId="0" borderId="0" xfId="0" applyNumberFormat="1" applyFont="1" applyFill="1" applyBorder="1" applyAlignment="1">
      <alignment horizontal="right" vertical="top" shrinkToFit="1"/>
    </xf>
    <xf numFmtId="0" fontId="9" fillId="0" borderId="0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/>
    </xf>
    <xf numFmtId="3" fontId="9" fillId="0" borderId="4" xfId="0" applyNumberFormat="1" applyFont="1" applyFill="1" applyBorder="1" applyAlignment="1">
      <alignment horizontal="right" vertical="top" shrinkToFit="1"/>
    </xf>
    <xf numFmtId="0" fontId="9" fillId="0" borderId="4" xfId="0" applyFont="1" applyFill="1" applyBorder="1" applyAlignment="1">
      <alignment horizontal="right" vertical="top"/>
    </xf>
    <xf numFmtId="0" fontId="0" fillId="4" borderId="0" xfId="0" applyFill="1"/>
    <xf numFmtId="165" fontId="0" fillId="0" borderId="0" xfId="0" applyNumberFormat="1"/>
    <xf numFmtId="43" fontId="0" fillId="0" borderId="0" xfId="0" applyNumberFormat="1"/>
    <xf numFmtId="2" fontId="0" fillId="0" borderId="0" xfId="0" applyNumberFormat="1"/>
    <xf numFmtId="2" fontId="1" fillId="0" borderId="0" xfId="1" applyNumberFormat="1" applyFont="1"/>
    <xf numFmtId="2" fontId="0" fillId="0" borderId="0" xfId="0" applyNumberFormat="1" applyAlignment="1">
      <alignment horizontal="right"/>
    </xf>
    <xf numFmtId="166" fontId="0" fillId="0" borderId="0" xfId="0" applyNumberFormat="1" applyFill="1"/>
    <xf numFmtId="0" fontId="0" fillId="0" borderId="0" xfId="0" applyFill="1" applyAlignment="1">
      <alignment horizontal="left" indent="1"/>
    </xf>
    <xf numFmtId="2" fontId="0" fillId="0" borderId="0" xfId="0" applyNumberFormat="1" applyFill="1"/>
    <xf numFmtId="1" fontId="2" fillId="0" borderId="0" xfId="0" applyNumberFormat="1" applyFont="1"/>
    <xf numFmtId="164" fontId="0" fillId="0" borderId="0" xfId="1" applyFont="1"/>
    <xf numFmtId="164" fontId="3" fillId="2" borderId="0" xfId="1" applyFont="1" applyFill="1" applyAlignment="1">
      <alignment horizontal="center"/>
    </xf>
    <xf numFmtId="164" fontId="1" fillId="0" borderId="0" xfId="1" applyFont="1"/>
    <xf numFmtId="164" fontId="0" fillId="0" borderId="0" xfId="1" applyFont="1" applyAlignment="1">
      <alignment horizontal="right"/>
    </xf>
    <xf numFmtId="164" fontId="0" fillId="0" borderId="0" xfId="1" applyFont="1" applyFill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10" fillId="0" borderId="0" xfId="0" applyFont="1"/>
    <xf numFmtId="0" fontId="11" fillId="2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1" sqref="A11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59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57</v>
      </c>
    </row>
    <row r="8" spans="1:1" x14ac:dyDescent="0.3">
      <c r="A8" s="2" t="s">
        <v>58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opLeftCell="A38" workbookViewId="0">
      <selection activeCell="D64" sqref="D64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7" t="s">
        <v>183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69" t="s">
        <v>10</v>
      </c>
      <c r="B2" s="69"/>
      <c r="C2" s="69"/>
      <c r="D2" s="69"/>
    </row>
    <row r="3" spans="1:10" x14ac:dyDescent="0.3">
      <c r="B3" s="68" t="s">
        <v>60</v>
      </c>
      <c r="C3" s="68"/>
      <c r="D3" s="68"/>
    </row>
    <row r="4" spans="1:10" x14ac:dyDescent="0.3">
      <c r="B4" s="9">
        <v>2022</v>
      </c>
      <c r="C4" s="9">
        <v>2021</v>
      </c>
      <c r="D4" s="9">
        <v>2020</v>
      </c>
    </row>
    <row r="5" spans="1:10" x14ac:dyDescent="0.3">
      <c r="A5" t="s">
        <v>61</v>
      </c>
      <c r="B5" s="22"/>
      <c r="C5" s="22"/>
      <c r="D5" s="22"/>
    </row>
    <row r="6" spans="1:10" x14ac:dyDescent="0.3">
      <c r="A6" s="1" t="s">
        <v>62</v>
      </c>
      <c r="B6" s="23">
        <v>242901</v>
      </c>
      <c r="C6" s="23">
        <v>241787</v>
      </c>
      <c r="D6" s="23">
        <v>215915</v>
      </c>
    </row>
    <row r="7" spans="1:10" x14ac:dyDescent="0.3">
      <c r="A7" s="1" t="s">
        <v>63</v>
      </c>
      <c r="B7" s="24">
        <v>271082</v>
      </c>
      <c r="C7" s="24">
        <v>228035</v>
      </c>
      <c r="D7" s="24">
        <v>170149</v>
      </c>
    </row>
    <row r="8" spans="1:10" x14ac:dyDescent="0.3">
      <c r="A8" s="11" t="s">
        <v>64</v>
      </c>
      <c r="B8" s="25">
        <f>+B6+B7</f>
        <v>513983</v>
      </c>
      <c r="C8" s="25">
        <f>+C6+C7</f>
        <v>469822</v>
      </c>
      <c r="D8" s="25">
        <f>+D6+D7</f>
        <v>386064</v>
      </c>
    </row>
    <row r="9" spans="1:10" x14ac:dyDescent="0.3">
      <c r="A9" t="s">
        <v>65</v>
      </c>
      <c r="B9" s="26"/>
      <c r="C9" s="26"/>
      <c r="D9" s="26"/>
    </row>
    <row r="10" spans="1:10" x14ac:dyDescent="0.3">
      <c r="A10" s="1" t="s">
        <v>62</v>
      </c>
      <c r="B10" s="27">
        <v>288831</v>
      </c>
      <c r="C10" s="27">
        <v>272344</v>
      </c>
      <c r="D10" s="27">
        <v>233307</v>
      </c>
    </row>
    <row r="11" spans="1:10" x14ac:dyDescent="0.3">
      <c r="A11" s="1" t="s">
        <v>63</v>
      </c>
      <c r="B11" s="28"/>
      <c r="C11" s="28"/>
      <c r="D11" s="28"/>
    </row>
    <row r="12" spans="1:10" x14ac:dyDescent="0.3">
      <c r="A12" s="11" t="s">
        <v>66</v>
      </c>
      <c r="B12" s="29">
        <f>+B10+B11</f>
        <v>288831</v>
      </c>
      <c r="C12" s="29">
        <f>+C10+C11</f>
        <v>272344</v>
      </c>
      <c r="D12" s="29">
        <f>+D10+D11</f>
        <v>233307</v>
      </c>
    </row>
    <row r="13" spans="1:10" x14ac:dyDescent="0.3">
      <c r="A13" s="11" t="s">
        <v>11</v>
      </c>
      <c r="B13" s="29">
        <f>+B8-B12</f>
        <v>225152</v>
      </c>
      <c r="C13" s="29">
        <f>+C8-C12</f>
        <v>197478</v>
      </c>
      <c r="D13" s="29">
        <f>+D8-D12</f>
        <v>152757</v>
      </c>
    </row>
    <row r="14" spans="1:10" x14ac:dyDescent="0.3">
      <c r="A14" t="s">
        <v>67</v>
      </c>
      <c r="B14" s="28"/>
      <c r="C14" s="28"/>
      <c r="D14" s="28"/>
    </row>
    <row r="15" spans="1:10" x14ac:dyDescent="0.3">
      <c r="A15" s="1" t="s">
        <v>68</v>
      </c>
      <c r="B15" s="27">
        <v>73213</v>
      </c>
      <c r="C15" s="27">
        <v>56052</v>
      </c>
      <c r="D15" s="27">
        <v>42740</v>
      </c>
    </row>
    <row r="16" spans="1:10" x14ac:dyDescent="0.3">
      <c r="A16" s="1" t="s">
        <v>69</v>
      </c>
      <c r="B16" s="28">
        <v>139691</v>
      </c>
      <c r="C16" s="28">
        <v>116547</v>
      </c>
      <c r="D16" s="28">
        <v>87118</v>
      </c>
    </row>
    <row r="17" spans="1:4" x14ac:dyDescent="0.3">
      <c r="A17" s="11" t="s">
        <v>70</v>
      </c>
      <c r="B17" s="29">
        <f>+B15+B16</f>
        <v>212904</v>
      </c>
      <c r="C17" s="29">
        <f>+C15+C16</f>
        <v>172599</v>
      </c>
      <c r="D17" s="29">
        <f>+D15+D16</f>
        <v>129858</v>
      </c>
    </row>
    <row r="18" spans="1:4" s="11" customFormat="1" x14ac:dyDescent="0.3">
      <c r="A18" s="11" t="s">
        <v>71</v>
      </c>
      <c r="B18" s="29">
        <f>+B13-B17</f>
        <v>12248</v>
      </c>
      <c r="C18" s="29">
        <f>+C13-C17</f>
        <v>24879</v>
      </c>
      <c r="D18" s="29">
        <f>+D13-D17</f>
        <v>22899</v>
      </c>
    </row>
    <row r="19" spans="1:4" x14ac:dyDescent="0.3">
      <c r="A19" t="s">
        <v>72</v>
      </c>
      <c r="B19" s="30" t="s">
        <v>73</v>
      </c>
      <c r="C19" s="31">
        <v>13272</v>
      </c>
      <c r="D19" s="31">
        <v>1279</v>
      </c>
    </row>
    <row r="20" spans="1:4" x14ac:dyDescent="0.3">
      <c r="A20" s="11" t="s">
        <v>74</v>
      </c>
      <c r="B20" s="32">
        <f>B18--B19</f>
        <v>-5936</v>
      </c>
      <c r="C20" s="32">
        <f t="shared" ref="C20:D20" si="0">C18--C19</f>
        <v>38151</v>
      </c>
      <c r="D20" s="32">
        <f t="shared" si="0"/>
        <v>24178</v>
      </c>
    </row>
    <row r="21" spans="1:4" x14ac:dyDescent="0.3">
      <c r="A21" t="s">
        <v>75</v>
      </c>
      <c r="B21" s="27">
        <v>3214</v>
      </c>
      <c r="C21" s="33">
        <v>-4787</v>
      </c>
      <c r="D21" s="33">
        <v>-2847</v>
      </c>
    </row>
    <row r="22" spans="1:4" ht="15" thickBot="1" x14ac:dyDescent="0.35">
      <c r="A22" s="13" t="s">
        <v>76</v>
      </c>
      <c r="B22" s="34">
        <f>+B20+B21</f>
        <v>-2722</v>
      </c>
      <c r="C22" s="34">
        <f t="shared" ref="C22:D22" si="1">+C20+C21</f>
        <v>33364</v>
      </c>
      <c r="D22" s="34">
        <f t="shared" si="1"/>
        <v>21331</v>
      </c>
    </row>
    <row r="23" spans="1:4" ht="15" thickTop="1" x14ac:dyDescent="0.3">
      <c r="A23" t="s">
        <v>77</v>
      </c>
      <c r="B23" s="35"/>
      <c r="C23" s="35"/>
      <c r="D23" s="35"/>
    </row>
    <row r="24" spans="1:4" x14ac:dyDescent="0.3">
      <c r="A24" s="1" t="s">
        <v>78</v>
      </c>
      <c r="B24" s="30" t="s">
        <v>79</v>
      </c>
      <c r="C24" s="36">
        <v>3.3</v>
      </c>
      <c r="D24" s="36">
        <v>2.13</v>
      </c>
    </row>
    <row r="25" spans="1:4" x14ac:dyDescent="0.3">
      <c r="A25" s="1" t="s">
        <v>80</v>
      </c>
      <c r="B25" s="30" t="s">
        <v>79</v>
      </c>
      <c r="C25" s="36">
        <v>3.24</v>
      </c>
      <c r="D25" s="36">
        <v>2.09</v>
      </c>
    </row>
    <row r="26" spans="1:4" x14ac:dyDescent="0.3">
      <c r="A26" t="s">
        <v>81</v>
      </c>
      <c r="B26" s="35"/>
      <c r="C26" s="35"/>
      <c r="D26" s="35"/>
    </row>
    <row r="27" spans="1:4" x14ac:dyDescent="0.3">
      <c r="A27" s="1" t="s">
        <v>78</v>
      </c>
      <c r="B27" s="24">
        <v>10189</v>
      </c>
      <c r="C27" s="24">
        <v>10117</v>
      </c>
      <c r="D27" s="24">
        <v>10005</v>
      </c>
    </row>
    <row r="28" spans="1:4" x14ac:dyDescent="0.3">
      <c r="A28" s="1" t="s">
        <v>80</v>
      </c>
      <c r="B28" s="31">
        <v>10189</v>
      </c>
      <c r="C28" s="31">
        <v>10296</v>
      </c>
      <c r="D28" s="31">
        <v>10198</v>
      </c>
    </row>
    <row r="29" spans="1:4" x14ac:dyDescent="0.3">
      <c r="B29" s="35"/>
      <c r="C29" s="35"/>
      <c r="D29" s="35"/>
    </row>
    <row r="31" spans="1:4" x14ac:dyDescent="0.3">
      <c r="A31" s="69" t="s">
        <v>12</v>
      </c>
      <c r="B31" s="69"/>
      <c r="C31" s="69"/>
      <c r="D31" s="69"/>
    </row>
    <row r="32" spans="1:4" x14ac:dyDescent="0.3">
      <c r="B32" s="68" t="s">
        <v>82</v>
      </c>
      <c r="C32" s="68"/>
      <c r="D32" s="68"/>
    </row>
    <row r="33" spans="1:4" x14ac:dyDescent="0.3">
      <c r="B33" s="9">
        <f>+B4</f>
        <v>2022</v>
      </c>
      <c r="C33" s="9">
        <f>+C4</f>
        <v>2021</v>
      </c>
      <c r="D33" s="9">
        <f>+D4</f>
        <v>2020</v>
      </c>
    </row>
    <row r="35" spans="1:4" x14ac:dyDescent="0.3">
      <c r="A35" t="s">
        <v>83</v>
      </c>
    </row>
    <row r="36" spans="1:4" x14ac:dyDescent="0.3">
      <c r="A36" s="1" t="s">
        <v>84</v>
      </c>
      <c r="B36" s="37">
        <v>53888</v>
      </c>
      <c r="C36" s="38">
        <v>36220</v>
      </c>
      <c r="D36" s="39">
        <v>42122</v>
      </c>
    </row>
    <row r="37" spans="1:4" x14ac:dyDescent="0.3">
      <c r="A37" s="1" t="s">
        <v>85</v>
      </c>
      <c r="B37" s="37">
        <v>16138</v>
      </c>
      <c r="C37" s="38">
        <v>59829</v>
      </c>
      <c r="D37" s="39">
        <v>42274</v>
      </c>
    </row>
    <row r="38" spans="1:4" x14ac:dyDescent="0.3">
      <c r="A38" s="1" t="s">
        <v>86</v>
      </c>
      <c r="B38" s="37">
        <v>42360</v>
      </c>
      <c r="C38" s="38">
        <v>32891</v>
      </c>
      <c r="D38" s="39">
        <v>24542</v>
      </c>
    </row>
    <row r="39" spans="1:4" x14ac:dyDescent="0.3">
      <c r="A39" s="1" t="s">
        <v>87</v>
      </c>
      <c r="B39" s="37">
        <v>34405</v>
      </c>
      <c r="C39" s="37">
        <v>32640</v>
      </c>
      <c r="D39" s="39">
        <v>23795</v>
      </c>
    </row>
    <row r="40" spans="1:4" x14ac:dyDescent="0.3">
      <c r="A40" s="1" t="s">
        <v>88</v>
      </c>
      <c r="B40" s="40">
        <v>0</v>
      </c>
      <c r="C40" s="40">
        <v>0</v>
      </c>
      <c r="D40" s="40">
        <v>0</v>
      </c>
    </row>
    <row r="41" spans="1:4" x14ac:dyDescent="0.3">
      <c r="A41" s="1" t="s">
        <v>89</v>
      </c>
      <c r="B41" s="40">
        <v>0</v>
      </c>
      <c r="C41" s="40">
        <v>0</v>
      </c>
      <c r="D41" s="40">
        <v>0</v>
      </c>
    </row>
    <row r="42" spans="1:4" x14ac:dyDescent="0.3">
      <c r="A42" s="11" t="s">
        <v>90</v>
      </c>
      <c r="B42" s="12">
        <f>+SUM(B36:B41)</f>
        <v>146791</v>
      </c>
      <c r="C42" s="12">
        <f>+SUM(C36:C41)</f>
        <v>161580</v>
      </c>
      <c r="D42" s="12">
        <f>+SUM(D36:D41)</f>
        <v>132733</v>
      </c>
    </row>
    <row r="43" spans="1:4" x14ac:dyDescent="0.3">
      <c r="A43" t="s">
        <v>91</v>
      </c>
      <c r="B43" s="40"/>
      <c r="C43" s="40"/>
      <c r="D43" s="40"/>
    </row>
    <row r="44" spans="1:4" x14ac:dyDescent="0.3">
      <c r="A44" s="1" t="s">
        <v>85</v>
      </c>
      <c r="B44" s="40">
        <v>0</v>
      </c>
      <c r="C44" s="40">
        <v>0</v>
      </c>
      <c r="D44" s="40">
        <v>0</v>
      </c>
    </row>
    <row r="45" spans="1:4" x14ac:dyDescent="0.3">
      <c r="A45" s="1" t="s">
        <v>92</v>
      </c>
      <c r="B45" s="37">
        <v>186715</v>
      </c>
      <c r="C45" s="38">
        <v>160281</v>
      </c>
      <c r="D45" s="39">
        <v>113733</v>
      </c>
    </row>
    <row r="46" spans="1:4" x14ac:dyDescent="0.3">
      <c r="A46" s="1" t="s">
        <v>93</v>
      </c>
      <c r="B46" s="40">
        <v>129169</v>
      </c>
      <c r="C46" s="40">
        <v>98688</v>
      </c>
      <c r="D46" s="40">
        <v>75348</v>
      </c>
    </row>
    <row r="47" spans="1:4" x14ac:dyDescent="0.3">
      <c r="A47" s="11" t="s">
        <v>94</v>
      </c>
      <c r="B47" s="12">
        <f>+SUM(B44:B46)</f>
        <v>315884</v>
      </c>
      <c r="C47" s="12">
        <f>+SUM(C44:C46)</f>
        <v>258969</v>
      </c>
      <c r="D47" s="12">
        <f>+SUM(D44:D46)</f>
        <v>189081</v>
      </c>
    </row>
    <row r="48" spans="1:4" ht="15" thickBot="1" x14ac:dyDescent="0.35">
      <c r="A48" s="13" t="s">
        <v>95</v>
      </c>
      <c r="B48" s="14">
        <f>+B42+B47</f>
        <v>462675</v>
      </c>
      <c r="C48" s="14">
        <f>+C42+C47</f>
        <v>420549</v>
      </c>
      <c r="D48" s="14">
        <f>+D42+D47</f>
        <v>321814</v>
      </c>
    </row>
    <row r="49" spans="1:4" ht="15" thickTop="1" x14ac:dyDescent="0.3"/>
    <row r="50" spans="1:4" x14ac:dyDescent="0.3">
      <c r="A50" t="s">
        <v>96</v>
      </c>
    </row>
    <row r="51" spans="1:4" x14ac:dyDescent="0.3">
      <c r="A51" s="1" t="s">
        <v>97</v>
      </c>
      <c r="B51" s="41">
        <v>79600</v>
      </c>
      <c r="C51" s="41">
        <v>78664</v>
      </c>
      <c r="D51" s="39">
        <v>72539</v>
      </c>
    </row>
    <row r="52" spans="1:4" x14ac:dyDescent="0.3">
      <c r="A52" s="1" t="s">
        <v>98</v>
      </c>
      <c r="B52" s="42">
        <v>62566</v>
      </c>
      <c r="C52" s="42">
        <v>51775</v>
      </c>
      <c r="D52" s="39">
        <v>44138</v>
      </c>
    </row>
    <row r="53" spans="1:4" x14ac:dyDescent="0.3">
      <c r="A53" s="1" t="s">
        <v>99</v>
      </c>
      <c r="B53" s="42">
        <v>13227</v>
      </c>
      <c r="C53" s="42">
        <v>11827</v>
      </c>
      <c r="D53" s="39">
        <v>9708</v>
      </c>
    </row>
    <row r="54" spans="1:4" x14ac:dyDescent="0.3">
      <c r="A54" s="1" t="s">
        <v>100</v>
      </c>
      <c r="B54" s="40">
        <v>0</v>
      </c>
      <c r="C54" s="40">
        <v>0</v>
      </c>
      <c r="D54" s="40">
        <v>0</v>
      </c>
    </row>
    <row r="55" spans="1:4" x14ac:dyDescent="0.3">
      <c r="A55" s="1" t="s">
        <v>101</v>
      </c>
      <c r="B55" s="40">
        <v>0</v>
      </c>
      <c r="C55" s="40">
        <v>0</v>
      </c>
      <c r="D55" s="40">
        <v>0</v>
      </c>
    </row>
    <row r="56" spans="1:4" x14ac:dyDescent="0.3">
      <c r="A56" s="11" t="s">
        <v>102</v>
      </c>
      <c r="B56" s="12">
        <f>+SUM(B51:B55)</f>
        <v>155393</v>
      </c>
      <c r="C56" s="12">
        <f>+SUM(C51:C55)</f>
        <v>142266</v>
      </c>
      <c r="D56" s="12">
        <f>+SUM(D51:D55)</f>
        <v>126385</v>
      </c>
    </row>
    <row r="57" spans="1:4" x14ac:dyDescent="0.3">
      <c r="A57" t="s">
        <v>103</v>
      </c>
      <c r="B57" s="40"/>
      <c r="C57" s="40"/>
      <c r="D57" s="40"/>
    </row>
    <row r="58" spans="1:4" x14ac:dyDescent="0.3">
      <c r="A58" s="1" t="s">
        <v>99</v>
      </c>
      <c r="B58" s="40"/>
      <c r="C58" s="40"/>
      <c r="D58" s="40"/>
    </row>
    <row r="59" spans="1:4" x14ac:dyDescent="0.3">
      <c r="A59" s="1" t="s">
        <v>101</v>
      </c>
      <c r="B59" s="40">
        <v>140118</v>
      </c>
      <c r="C59" s="40">
        <v>116395</v>
      </c>
      <c r="D59" s="40">
        <v>84348</v>
      </c>
    </row>
    <row r="60" spans="1:4" x14ac:dyDescent="0.3">
      <c r="A60" s="1" t="s">
        <v>104</v>
      </c>
      <c r="B60" s="42">
        <v>21121</v>
      </c>
      <c r="C60" s="42">
        <v>23643</v>
      </c>
      <c r="D60" s="40">
        <v>17017</v>
      </c>
    </row>
    <row r="61" spans="1:4" x14ac:dyDescent="0.3">
      <c r="A61" s="43" t="s">
        <v>105</v>
      </c>
      <c r="B61" s="44">
        <f>+B59+B60</f>
        <v>161239</v>
      </c>
      <c r="C61" s="44">
        <f>+C59+C60</f>
        <v>140038</v>
      </c>
      <c r="D61" s="44">
        <f>+D59+D60</f>
        <v>101365</v>
      </c>
    </row>
    <row r="62" spans="1:4" x14ac:dyDescent="0.3">
      <c r="A62" s="11" t="s">
        <v>106</v>
      </c>
      <c r="B62" s="12">
        <f>+B56+B61</f>
        <v>316632</v>
      </c>
      <c r="C62" s="12">
        <f>+C56+C61</f>
        <v>282304</v>
      </c>
      <c r="D62" s="12">
        <f>+D56+D61</f>
        <v>227750</v>
      </c>
    </row>
    <row r="63" spans="1:4" x14ac:dyDescent="0.3">
      <c r="B63" s="40"/>
      <c r="C63" s="40"/>
      <c r="D63" s="40"/>
    </row>
    <row r="64" spans="1:4" x14ac:dyDescent="0.3">
      <c r="A64" t="s">
        <v>107</v>
      </c>
      <c r="B64" s="40"/>
      <c r="C64" s="40"/>
      <c r="D64" s="40"/>
    </row>
    <row r="65" spans="1:4" x14ac:dyDescent="0.3">
      <c r="A65" s="1" t="s">
        <v>108</v>
      </c>
      <c r="B65" s="40">
        <v>67337</v>
      </c>
      <c r="C65" s="40">
        <v>53706</v>
      </c>
      <c r="D65" s="40">
        <v>41033</v>
      </c>
    </row>
    <row r="66" spans="1:4" x14ac:dyDescent="0.3">
      <c r="A66" s="1" t="s">
        <v>109</v>
      </c>
      <c r="B66" s="42">
        <v>83193</v>
      </c>
      <c r="C66" s="42">
        <v>85915</v>
      </c>
      <c r="D66" s="39">
        <v>52551</v>
      </c>
    </row>
    <row r="67" spans="1:4" x14ac:dyDescent="0.3">
      <c r="A67" s="1" t="s">
        <v>110</v>
      </c>
      <c r="B67" s="41" t="s">
        <v>111</v>
      </c>
      <c r="C67" s="41" t="s">
        <v>112</v>
      </c>
      <c r="D67" s="40">
        <v>-180</v>
      </c>
    </row>
    <row r="68" spans="1:4" x14ac:dyDescent="0.3">
      <c r="A68" s="45" t="s">
        <v>113</v>
      </c>
      <c r="B68" s="46">
        <f>B65+B66+B67</f>
        <v>146043</v>
      </c>
      <c r="C68" s="46">
        <f t="shared" ref="C68:D68" si="2">C65+C66+C67</f>
        <v>138245</v>
      </c>
      <c r="D68" s="46">
        <f t="shared" si="2"/>
        <v>93404</v>
      </c>
    </row>
    <row r="69" spans="1:4" ht="15" thickBot="1" x14ac:dyDescent="0.35">
      <c r="A69" s="13" t="s">
        <v>114</v>
      </c>
      <c r="B69" s="14">
        <f>+B68+B62</f>
        <v>462675</v>
      </c>
      <c r="C69" s="14">
        <f>+C68+C62</f>
        <v>420549</v>
      </c>
      <c r="D69" s="14">
        <f>+D68+D62</f>
        <v>321154</v>
      </c>
    </row>
    <row r="70" spans="1:4" ht="15" thickTop="1" x14ac:dyDescent="0.3"/>
    <row r="71" spans="1:4" x14ac:dyDescent="0.3">
      <c r="A71" s="69" t="s">
        <v>13</v>
      </c>
      <c r="B71" s="69"/>
      <c r="C71" s="69"/>
      <c r="D71" s="69"/>
    </row>
    <row r="72" spans="1:4" x14ac:dyDescent="0.3">
      <c r="B72" s="68" t="s">
        <v>115</v>
      </c>
      <c r="C72" s="68"/>
      <c r="D72" s="68"/>
    </row>
    <row r="73" spans="1:4" x14ac:dyDescent="0.3">
      <c r="B73" s="9">
        <f>+B33</f>
        <v>2022</v>
      </c>
      <c r="C73" s="9">
        <f>+C33</f>
        <v>2021</v>
      </c>
      <c r="D73" s="9">
        <f>+D33</f>
        <v>2020</v>
      </c>
    </row>
    <row r="75" spans="1:4" x14ac:dyDescent="0.3">
      <c r="A75" s="9" t="s">
        <v>116</v>
      </c>
      <c r="B75" s="15"/>
      <c r="C75" s="15"/>
      <c r="D75" s="15"/>
    </row>
    <row r="76" spans="1:4" x14ac:dyDescent="0.3">
      <c r="A76" t="s">
        <v>117</v>
      </c>
      <c r="B76" s="40">
        <f>+B22</f>
        <v>-2722</v>
      </c>
      <c r="C76" s="40">
        <f>+C22</f>
        <v>33364</v>
      </c>
      <c r="D76" s="40">
        <f>+D22</f>
        <v>21331</v>
      </c>
    </row>
    <row r="77" spans="1:4" x14ac:dyDescent="0.3">
      <c r="A77" s="16" t="s">
        <v>76</v>
      </c>
      <c r="B77" s="15"/>
      <c r="C77" s="15"/>
      <c r="D77" s="15"/>
    </row>
    <row r="78" spans="1:4" x14ac:dyDescent="0.3">
      <c r="A78" s="1" t="s">
        <v>118</v>
      </c>
      <c r="B78" s="40"/>
      <c r="C78" s="40"/>
      <c r="D78" s="40"/>
    </row>
    <row r="79" spans="1:4" x14ac:dyDescent="0.3">
      <c r="A79" s="17" t="s">
        <v>119</v>
      </c>
      <c r="B79" s="47" t="s">
        <v>120</v>
      </c>
      <c r="C79" s="47" t="s">
        <v>121</v>
      </c>
      <c r="D79" s="47" t="s">
        <v>122</v>
      </c>
    </row>
    <row r="80" spans="1:4" x14ac:dyDescent="0.3">
      <c r="A80" s="17" t="s">
        <v>123</v>
      </c>
      <c r="B80" s="48">
        <v>19621</v>
      </c>
      <c r="C80" s="48">
        <v>12757</v>
      </c>
      <c r="D80" s="48">
        <v>9208</v>
      </c>
    </row>
    <row r="81" spans="1:4" x14ac:dyDescent="0.3">
      <c r="A81" s="17" t="s">
        <v>124</v>
      </c>
      <c r="B81" s="49" t="s">
        <v>125</v>
      </c>
      <c r="C81" s="49" t="s">
        <v>126</v>
      </c>
      <c r="D81" s="49" t="s">
        <v>127</v>
      </c>
    </row>
    <row r="82" spans="1:4" x14ac:dyDescent="0.3">
      <c r="A82" s="17" t="s">
        <v>128</v>
      </c>
      <c r="B82" s="48">
        <v>16966</v>
      </c>
      <c r="C82" s="49" t="s">
        <v>129</v>
      </c>
      <c r="D82" s="49" t="s">
        <v>130</v>
      </c>
    </row>
    <row r="83" spans="1:4" x14ac:dyDescent="0.3">
      <c r="A83" t="s">
        <v>131</v>
      </c>
      <c r="B83" s="40"/>
      <c r="C83" s="40"/>
      <c r="D83" s="40"/>
    </row>
    <row r="84" spans="1:4" x14ac:dyDescent="0.3">
      <c r="A84" s="1" t="s">
        <v>86</v>
      </c>
      <c r="B84" s="50" t="s">
        <v>132</v>
      </c>
      <c r="C84" s="50" t="s">
        <v>133</v>
      </c>
      <c r="D84" s="50" t="s">
        <v>134</v>
      </c>
    </row>
    <row r="85" spans="1:4" x14ac:dyDescent="0.3">
      <c r="A85" s="1" t="s">
        <v>87</v>
      </c>
      <c r="B85" s="49" t="s">
        <v>135</v>
      </c>
      <c r="C85" s="49" t="s">
        <v>136</v>
      </c>
      <c r="D85" s="49" t="s">
        <v>137</v>
      </c>
    </row>
    <row r="86" spans="1:4" x14ac:dyDescent="0.3">
      <c r="A86" s="1" t="s">
        <v>88</v>
      </c>
      <c r="B86" s="40">
        <v>0</v>
      </c>
      <c r="C86" s="40">
        <v>0</v>
      </c>
      <c r="D86" s="40">
        <v>0</v>
      </c>
    </row>
    <row r="87" spans="1:4" x14ac:dyDescent="0.3">
      <c r="A87" s="1" t="s">
        <v>138</v>
      </c>
      <c r="B87" s="40">
        <v>0</v>
      </c>
      <c r="C87" s="40">
        <v>0</v>
      </c>
      <c r="D87" s="40">
        <v>0</v>
      </c>
    </row>
    <row r="88" spans="1:4" x14ac:dyDescent="0.3">
      <c r="A88" s="1" t="s">
        <v>97</v>
      </c>
      <c r="B88" s="48">
        <v>2945</v>
      </c>
      <c r="C88" s="48">
        <v>3602</v>
      </c>
      <c r="D88" s="48">
        <v>17480</v>
      </c>
    </row>
    <row r="89" spans="1:4" x14ac:dyDescent="0.3">
      <c r="A89" s="1" t="s">
        <v>99</v>
      </c>
      <c r="B89" s="51">
        <v>2216</v>
      </c>
      <c r="C89" s="51">
        <v>2314</v>
      </c>
      <c r="D89" s="51">
        <v>1265</v>
      </c>
    </row>
    <row r="90" spans="1:4" x14ac:dyDescent="0.3">
      <c r="A90" s="1" t="s">
        <v>139</v>
      </c>
      <c r="B90" s="49" t="s">
        <v>140</v>
      </c>
      <c r="C90" s="48">
        <v>2123</v>
      </c>
      <c r="D90" s="48">
        <v>5754</v>
      </c>
    </row>
    <row r="91" spans="1:4" x14ac:dyDescent="0.3">
      <c r="A91" s="11" t="s">
        <v>141</v>
      </c>
      <c r="B91" s="12">
        <f>B76+B79+B80+B81+B82+B84+B85+B86+B87+B88+B89+B90</f>
        <v>46752</v>
      </c>
      <c r="C91" s="12">
        <f t="shared" ref="C91:D91" si="3">C76+C79+C80+C81+C82+C84+C85+C86+C87+C88+C89+C90</f>
        <v>46327</v>
      </c>
      <c r="D91" s="12">
        <f t="shared" si="3"/>
        <v>66064</v>
      </c>
    </row>
    <row r="92" spans="1:4" x14ac:dyDescent="0.3">
      <c r="A92" s="9" t="s">
        <v>142</v>
      </c>
      <c r="B92" s="40"/>
      <c r="C92" s="40"/>
      <c r="D92" s="40"/>
    </row>
    <row r="93" spans="1:4" x14ac:dyDescent="0.3">
      <c r="A93" s="1" t="s">
        <v>143</v>
      </c>
      <c r="B93" s="52" t="s">
        <v>144</v>
      </c>
      <c r="C93" s="52" t="s">
        <v>145</v>
      </c>
      <c r="D93" s="52" t="s">
        <v>146</v>
      </c>
    </row>
    <row r="94" spans="1:4" x14ac:dyDescent="0.3">
      <c r="A94" s="1" t="s">
        <v>147</v>
      </c>
      <c r="B94" s="40">
        <v>0</v>
      </c>
      <c r="C94" s="40">
        <v>0</v>
      </c>
      <c r="D94" s="40">
        <v>0</v>
      </c>
    </row>
    <row r="95" spans="1:4" x14ac:dyDescent="0.3">
      <c r="A95" s="1" t="s">
        <v>148</v>
      </c>
      <c r="B95" s="48">
        <v>31601</v>
      </c>
      <c r="C95" s="48">
        <v>59384</v>
      </c>
      <c r="D95" s="48">
        <v>50237</v>
      </c>
    </row>
    <row r="96" spans="1:4" x14ac:dyDescent="0.3">
      <c r="A96" s="1" t="s">
        <v>149</v>
      </c>
      <c r="B96" s="40">
        <v>-63645</v>
      </c>
      <c r="C96" s="40">
        <v>-61053</v>
      </c>
      <c r="D96" s="40">
        <v>-40140</v>
      </c>
    </row>
    <row r="97" spans="1:4" x14ac:dyDescent="0.3">
      <c r="A97" s="1" t="s">
        <v>150</v>
      </c>
      <c r="B97" s="49" t="s">
        <v>151</v>
      </c>
      <c r="C97" s="49" t="s">
        <v>152</v>
      </c>
      <c r="D97" s="49" t="s">
        <v>153</v>
      </c>
    </row>
    <row r="98" spans="1:4" x14ac:dyDescent="0.3">
      <c r="A98" s="1" t="s">
        <v>154</v>
      </c>
      <c r="B98" s="40">
        <v>5324</v>
      </c>
      <c r="C98" s="40">
        <v>5657</v>
      </c>
      <c r="D98" s="40">
        <v>5096</v>
      </c>
    </row>
    <row r="99" spans="1:4" x14ac:dyDescent="0.3">
      <c r="A99" s="11" t="s">
        <v>155</v>
      </c>
      <c r="B99" s="12">
        <f>B93+B94+B95+B96+B97+B98</f>
        <v>-37601</v>
      </c>
      <c r="C99" s="12">
        <f t="shared" ref="C99:D99" si="4">C93+C94+C95+C96+C97+C98</f>
        <v>-58154</v>
      </c>
      <c r="D99" s="12">
        <f t="shared" si="4"/>
        <v>-59611</v>
      </c>
    </row>
    <row r="100" spans="1:4" x14ac:dyDescent="0.3">
      <c r="A100" s="9" t="s">
        <v>156</v>
      </c>
      <c r="B100" s="40"/>
      <c r="C100" s="40"/>
      <c r="D100" s="40"/>
    </row>
    <row r="101" spans="1:4" x14ac:dyDescent="0.3">
      <c r="A101" s="1" t="s">
        <v>157</v>
      </c>
      <c r="B101" s="40">
        <v>0</v>
      </c>
      <c r="C101" s="40">
        <v>0</v>
      </c>
      <c r="D101" s="40">
        <v>0</v>
      </c>
    </row>
    <row r="102" spans="1:4" x14ac:dyDescent="0.3">
      <c r="A102" s="1" t="s">
        <v>158</v>
      </c>
      <c r="B102" s="40">
        <v>0</v>
      </c>
      <c r="C102" s="40">
        <v>0</v>
      </c>
      <c r="D102" s="40">
        <v>0</v>
      </c>
    </row>
    <row r="103" spans="1:4" x14ac:dyDescent="0.3">
      <c r="A103" s="1" t="s">
        <v>159</v>
      </c>
      <c r="B103" s="49" t="s">
        <v>160</v>
      </c>
      <c r="C103" s="49">
        <v>0</v>
      </c>
      <c r="D103" s="49">
        <v>0</v>
      </c>
    </row>
    <row r="104" spans="1:4" x14ac:dyDescent="0.3">
      <c r="A104" s="1" t="s">
        <v>161</v>
      </c>
      <c r="B104" s="48">
        <v>21166</v>
      </c>
      <c r="C104" s="48">
        <v>19003</v>
      </c>
      <c r="D104" s="48">
        <v>10525</v>
      </c>
    </row>
    <row r="105" spans="1:4" x14ac:dyDescent="0.3">
      <c r="A105" s="1" t="s">
        <v>162</v>
      </c>
      <c r="B105" s="49" t="s">
        <v>163</v>
      </c>
      <c r="C105" s="49" t="s">
        <v>164</v>
      </c>
      <c r="D105" s="49" t="s">
        <v>165</v>
      </c>
    </row>
    <row r="106" spans="1:4" x14ac:dyDescent="0.3">
      <c r="A106" s="1" t="s">
        <v>166</v>
      </c>
      <c r="B106" s="48">
        <v>3999</v>
      </c>
      <c r="C106" s="48">
        <v>203</v>
      </c>
      <c r="D106" s="48">
        <v>619</v>
      </c>
    </row>
    <row r="107" spans="1:4" x14ac:dyDescent="0.3">
      <c r="A107" s="1" t="s">
        <v>167</v>
      </c>
      <c r="B107" s="40">
        <v>-8189</v>
      </c>
      <c r="C107" s="40">
        <v>-11325</v>
      </c>
      <c r="D107" s="40">
        <v>-10695</v>
      </c>
    </row>
    <row r="108" spans="1:4" x14ac:dyDescent="0.3">
      <c r="A108" s="11" t="s">
        <v>168</v>
      </c>
      <c r="B108" s="12">
        <f>B101+B102+B103+B104+B105+B106+B107</f>
        <v>9718</v>
      </c>
      <c r="C108" s="12">
        <f t="shared" ref="C108:D108" si="5">C101+C102+C103+C104+C105+C106+C107</f>
        <v>6291</v>
      </c>
      <c r="D108" s="12">
        <f t="shared" si="5"/>
        <v>-1104</v>
      </c>
    </row>
    <row r="109" spans="1:4" x14ac:dyDescent="0.3">
      <c r="A109" s="11" t="s">
        <v>169</v>
      </c>
      <c r="B109" s="12">
        <f>+B91+B99+B108</f>
        <v>18869</v>
      </c>
      <c r="C109" s="12">
        <f>+C91+C99+C108</f>
        <v>-5536</v>
      </c>
      <c r="D109" s="12">
        <f>+D91+D99+D108</f>
        <v>5349</v>
      </c>
    </row>
    <row r="110" spans="1:4" ht="15" thickBot="1" x14ac:dyDescent="0.35">
      <c r="A110" s="13" t="s">
        <v>170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40"/>
      <c r="C111" s="40"/>
      <c r="D111" s="40"/>
    </row>
    <row r="112" spans="1:4" x14ac:dyDescent="0.3">
      <c r="A112" t="s">
        <v>171</v>
      </c>
      <c r="B112" s="40"/>
      <c r="C112" s="40"/>
      <c r="D112" s="40"/>
    </row>
    <row r="113" spans="1:4" x14ac:dyDescent="0.3">
      <c r="A113" t="s">
        <v>172</v>
      </c>
      <c r="B113" s="40">
        <v>19573</v>
      </c>
      <c r="C113" s="40">
        <v>25385</v>
      </c>
      <c r="D113" s="40">
        <v>9501</v>
      </c>
    </row>
    <row r="114" spans="1:4" x14ac:dyDescent="0.3">
      <c r="A114" t="s">
        <v>173</v>
      </c>
      <c r="B114" s="40">
        <v>2865</v>
      </c>
      <c r="C114" s="40">
        <v>2687</v>
      </c>
      <c r="D114" s="40">
        <v>3002</v>
      </c>
    </row>
    <row r="116" spans="1:4" x14ac:dyDescent="0.3">
      <c r="A116" s="53"/>
      <c r="B116" s="53"/>
      <c r="C116" s="53"/>
      <c r="D116" s="53"/>
    </row>
    <row r="117" spans="1:4" x14ac:dyDescent="0.3">
      <c r="A117" t="s">
        <v>174</v>
      </c>
      <c r="B117" s="54">
        <f>B42-B39</f>
        <v>112386</v>
      </c>
      <c r="C117" s="54">
        <f>C42-C39</f>
        <v>128940</v>
      </c>
      <c r="D117" s="54">
        <f>D42-D39</f>
        <v>108938</v>
      </c>
    </row>
    <row r="118" spans="1:4" x14ac:dyDescent="0.3">
      <c r="A118" t="s">
        <v>175</v>
      </c>
      <c r="B118" s="54">
        <f>B36</f>
        <v>53888</v>
      </c>
      <c r="C118" s="54">
        <f t="shared" ref="C118:D118" si="6">C36</f>
        <v>36220</v>
      </c>
      <c r="D118" s="54">
        <f t="shared" si="6"/>
        <v>42122</v>
      </c>
    </row>
    <row r="119" spans="1:4" x14ac:dyDescent="0.3">
      <c r="A119" t="s">
        <v>176</v>
      </c>
      <c r="B119" s="55">
        <f>B17/365</f>
        <v>583.29863013698628</v>
      </c>
      <c r="C119" s="55">
        <f>C17/365</f>
        <v>472.87397260273974</v>
      </c>
      <c r="D119" s="55">
        <f>D17/365</f>
        <v>355.7753424657534</v>
      </c>
    </row>
    <row r="121" spans="1:4" x14ac:dyDescent="0.3">
      <c r="A121" t="s">
        <v>177</v>
      </c>
    </row>
    <row r="122" spans="1:4" x14ac:dyDescent="0.3">
      <c r="A122" t="s">
        <v>178</v>
      </c>
    </row>
    <row r="123" spans="1:4" x14ac:dyDescent="0.3">
      <c r="A123" t="s">
        <v>179</v>
      </c>
    </row>
    <row r="124" spans="1:4" x14ac:dyDescent="0.3">
      <c r="A124" t="s">
        <v>108</v>
      </c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G1" sqref="G1"/>
    </sheetView>
  </sheetViews>
  <sheetFormatPr defaultRowHeight="14.4" x14ac:dyDescent="0.3"/>
  <cols>
    <col min="1" max="1" width="4.6640625" customWidth="1"/>
    <col min="2" max="2" width="44.88671875" customWidth="1"/>
    <col min="3" max="3" width="14" style="63" customWidth="1"/>
    <col min="4" max="4" width="11.5546875" customWidth="1"/>
    <col min="5" max="5" width="13.44140625" customWidth="1"/>
    <col min="7" max="7" width="44.21875" customWidth="1"/>
  </cols>
  <sheetData>
    <row r="1" spans="1:10" ht="60" customHeight="1" x14ac:dyDescent="0.5">
      <c r="A1" s="7"/>
      <c r="B1" s="18" t="s">
        <v>56</v>
      </c>
      <c r="C1" s="64" t="s">
        <v>182</v>
      </c>
      <c r="D1" s="19"/>
      <c r="E1" s="19"/>
      <c r="F1" s="19"/>
      <c r="G1" s="72" t="s">
        <v>191</v>
      </c>
      <c r="H1" s="19"/>
      <c r="I1" s="19"/>
      <c r="J1" s="19"/>
    </row>
    <row r="2" spans="1:10" x14ac:dyDescent="0.3">
      <c r="C2" s="70" t="s">
        <v>181</v>
      </c>
      <c r="D2" s="70"/>
      <c r="E2" s="70"/>
    </row>
    <row r="3" spans="1:10" x14ac:dyDescent="0.3">
      <c r="C3" s="15">
        <f>+'Financial Statements'!B4</f>
        <v>2022</v>
      </c>
      <c r="D3" s="62">
        <f>+'Financial Statements'!C4</f>
        <v>2021</v>
      </c>
      <c r="E3" s="62">
        <f>+'Financial Statements'!D4</f>
        <v>2020</v>
      </c>
    </row>
    <row r="4" spans="1:10" x14ac:dyDescent="0.3">
      <c r="A4" s="20">
        <v>1</v>
      </c>
      <c r="B4" s="9" t="s">
        <v>14</v>
      </c>
      <c r="D4" s="56"/>
      <c r="E4" s="56"/>
    </row>
    <row r="5" spans="1:10" x14ac:dyDescent="0.3">
      <c r="A5" s="20">
        <f>+A4+0.1</f>
        <v>1.1000000000000001</v>
      </c>
      <c r="B5" s="1" t="s">
        <v>15</v>
      </c>
      <c r="C5" s="63">
        <f>'Financial Statements'!B$42/'Financial Statements'!B$56</f>
        <v>0.9446435811136924</v>
      </c>
      <c r="D5" s="56">
        <f>'Financial Statements'!C$42/'Financial Statements'!C$56</f>
        <v>1.1357597739445826</v>
      </c>
      <c r="E5" s="56">
        <f>'Financial Statements'!D$42/'Financial Statements'!D$56</f>
        <v>1.0502274795268425</v>
      </c>
    </row>
    <row r="6" spans="1:10" x14ac:dyDescent="0.3">
      <c r="A6" s="20">
        <f t="shared" ref="A6:A13" si="0">+A5+0.1</f>
        <v>1.2000000000000002</v>
      </c>
      <c r="B6" s="1" t="s">
        <v>16</v>
      </c>
      <c r="C6" s="63">
        <f>'Financial Statements'!B$117/'Financial Statements'!B$56</f>
        <v>0.72323721145740161</v>
      </c>
      <c r="D6" s="56">
        <f>'Financial Statements'!C$117/'Financial Statements'!C$56</f>
        <v>0.90633039517523517</v>
      </c>
      <c r="E6" s="56">
        <f>'Financial Statements'!D$117/'Financial Statements'!D$56</f>
        <v>0.86195355461486722</v>
      </c>
    </row>
    <row r="7" spans="1:10" x14ac:dyDescent="0.3">
      <c r="A7" s="20">
        <f t="shared" si="0"/>
        <v>1.3000000000000003</v>
      </c>
      <c r="B7" s="1" t="s">
        <v>17</v>
      </c>
      <c r="C7" s="63">
        <f>'Financial Statements'!B$118/'Financial Statements'!B$56</f>
        <v>0.34678524772673158</v>
      </c>
      <c r="D7" s="56">
        <f>'Financial Statements'!C$118/'Financial Statements'!C$56</f>
        <v>0.25459350793583851</v>
      </c>
      <c r="E7" s="56">
        <f>'Financial Statements'!D$118/'Financial Statements'!D$56</f>
        <v>0.33328322190133325</v>
      </c>
    </row>
    <row r="8" spans="1:10" x14ac:dyDescent="0.3">
      <c r="A8" s="20">
        <f t="shared" si="0"/>
        <v>1.4000000000000004</v>
      </c>
      <c r="B8" s="1" t="s">
        <v>18</v>
      </c>
      <c r="C8" s="63">
        <f>'Financial Statements'!B$42/'Financial Statements'!B$119</f>
        <v>251.65668564235526</v>
      </c>
      <c r="D8" s="56">
        <f>'Financial Statements'!C$42/'Financial Statements'!C$119</f>
        <v>341.69780821441606</v>
      </c>
      <c r="E8" s="56">
        <f>'Financial Statements'!D$42/'Financial Statements'!D$119</f>
        <v>373.08094226000713</v>
      </c>
      <c r="G8" t="s">
        <v>184</v>
      </c>
    </row>
    <row r="9" spans="1:10" x14ac:dyDescent="0.3">
      <c r="A9" s="20">
        <f t="shared" si="0"/>
        <v>1.5000000000000004</v>
      </c>
      <c r="B9" s="1" t="s">
        <v>19</v>
      </c>
      <c r="C9" s="63">
        <f>('Financial Statements'!B$39/'Financial Statements'!B$12)*365</f>
        <v>43.4781065744328</v>
      </c>
      <c r="D9" s="56">
        <f>('Financial Statements'!C$39/'Financial Statements'!C$12)*365</f>
        <v>43.744675851129458</v>
      </c>
      <c r="E9" s="56">
        <f>('Financial Statements'!D$39/'Financial Statements'!D$12)*365</f>
        <v>37.226379834295585</v>
      </c>
    </row>
    <row r="10" spans="1:10" x14ac:dyDescent="0.3">
      <c r="A10" s="20">
        <f t="shared" si="0"/>
        <v>1.6000000000000005</v>
      </c>
      <c r="B10" s="1" t="s">
        <v>20</v>
      </c>
      <c r="C10" s="63">
        <f>('Financial Statements'!B$51/'Financial Statements'!B$12)*365</f>
        <v>100.59169548975007</v>
      </c>
      <c r="D10" s="56">
        <f>('Financial Statements'!C$51/'Financial Statements'!C$12)*365</f>
        <v>105.42681314807743</v>
      </c>
      <c r="E10" s="56">
        <f>('Financial Statements'!D$51/'Financial Statements'!D$12)*365</f>
        <v>113.48452896826929</v>
      </c>
    </row>
    <row r="11" spans="1:10" x14ac:dyDescent="0.3">
      <c r="A11" s="20">
        <f t="shared" si="0"/>
        <v>1.7000000000000006</v>
      </c>
      <c r="B11" s="1" t="s">
        <v>21</v>
      </c>
      <c r="C11" s="63">
        <f>('Financial Statements'!B$38/'Financial Statements'!B$8)*365</f>
        <v>30.081539661817608</v>
      </c>
      <c r="D11" s="56">
        <f>('Financial Statements'!C$38/'Financial Statements'!C$8)*365</f>
        <v>25.552688039299991</v>
      </c>
      <c r="E11" s="56">
        <f>('Financial Statements'!D$38/'Financial Statements'!D$8)*365</f>
        <v>23.202966347548593</v>
      </c>
    </row>
    <row r="12" spans="1:10" x14ac:dyDescent="0.3">
      <c r="A12" s="20">
        <f t="shared" si="0"/>
        <v>1.8000000000000007</v>
      </c>
      <c r="B12" s="1" t="s">
        <v>22</v>
      </c>
      <c r="C12" s="63">
        <f>+C9+C11-C10</f>
        <v>-27.03204925349965</v>
      </c>
      <c r="D12" s="56">
        <f>+D9+D11-D10</f>
        <v>-36.129449257647977</v>
      </c>
      <c r="E12" s="56">
        <f>+E9+E11-E10</f>
        <v>-53.055182786425107</v>
      </c>
    </row>
    <row r="13" spans="1:10" x14ac:dyDescent="0.3">
      <c r="A13" s="20">
        <f t="shared" si="0"/>
        <v>1.9000000000000008</v>
      </c>
      <c r="B13" s="1" t="s">
        <v>23</v>
      </c>
      <c r="C13" s="63">
        <f>C14/'Financial Statements'!B$8*100</f>
        <v>-1.6735962084349094</v>
      </c>
      <c r="D13" s="56">
        <f>D14/'Financial Statements'!C$8*100</f>
        <v>4.1109186032156861</v>
      </c>
      <c r="E13" s="56">
        <f>E14/'Financial Statements'!D$8*100</f>
        <v>1.6442869576028845</v>
      </c>
    </row>
    <row r="14" spans="1:10" x14ac:dyDescent="0.3">
      <c r="A14" s="20"/>
      <c r="B14" s="17" t="s">
        <v>24</v>
      </c>
      <c r="C14" s="10">
        <f>'Financial Statements'!B$42-'Financial Statements'!B$56</f>
        <v>-8602</v>
      </c>
      <c r="D14" s="10">
        <f>'Financial Statements'!C$42-'Financial Statements'!C$56</f>
        <v>19314</v>
      </c>
      <c r="E14" s="10">
        <f>'Financial Statements'!D$42-'Financial Statements'!D$56</f>
        <v>6348</v>
      </c>
    </row>
    <row r="15" spans="1:10" x14ac:dyDescent="0.3">
      <c r="A15" s="20"/>
      <c r="D15" s="56"/>
      <c r="E15" s="56"/>
    </row>
    <row r="16" spans="1:10" x14ac:dyDescent="0.3">
      <c r="A16" s="20">
        <f>+A4+1</f>
        <v>2</v>
      </c>
      <c r="B16" s="21" t="s">
        <v>25</v>
      </c>
      <c r="D16" s="56"/>
      <c r="E16" s="56"/>
    </row>
    <row r="17" spans="1:7" x14ac:dyDescent="0.3">
      <c r="A17" s="20">
        <f>+A16+0.1</f>
        <v>2.1</v>
      </c>
      <c r="B17" s="1" t="s">
        <v>11</v>
      </c>
      <c r="C17" s="63">
        <f>('Financial Statements'!B$8-'Financial Statements'!B$12)/'Financial Statements'!B$8*100</f>
        <v>43.805339865326289</v>
      </c>
      <c r="D17" s="56">
        <f>('Financial Statements'!C$8-'Financial Statements'!C$12)/'Financial Statements'!C$8*100</f>
        <v>42.032514441639599</v>
      </c>
      <c r="E17" s="56">
        <f>('Financial Statements'!D$8-'Financial Statements'!D$12)/'Financial Statements'!D$8*100</f>
        <v>39.567791868705712</v>
      </c>
    </row>
    <row r="18" spans="1:7" x14ac:dyDescent="0.3">
      <c r="A18" s="20">
        <f>+A17+0.1</f>
        <v>2.2000000000000002</v>
      </c>
      <c r="B18" s="1" t="s">
        <v>26</v>
      </c>
      <c r="C18" s="63">
        <f>C19/'Financial Statements'!B$8*100</f>
        <v>10.539064521589236</v>
      </c>
      <c r="D18" s="56">
        <f>D19/'Financial Statements'!C$8*100</f>
        <v>12.624355607017126</v>
      </c>
      <c r="E18" s="56">
        <f>E19/'Financial Statements'!D$8*100</f>
        <v>12.453634630527581</v>
      </c>
    </row>
    <row r="19" spans="1:7" x14ac:dyDescent="0.3">
      <c r="A19" s="20"/>
      <c r="B19" s="17" t="s">
        <v>27</v>
      </c>
      <c r="C19" s="40">
        <f>'Financial Statements'!B$18+'Financial Statements'!B$79</f>
        <v>54169</v>
      </c>
      <c r="D19" s="40">
        <f>'Financial Statements'!C$18+'Financial Statements'!C$79</f>
        <v>59312</v>
      </c>
      <c r="E19" s="40">
        <f>'Financial Statements'!D$18+'Financial Statements'!D$79</f>
        <v>48079</v>
      </c>
    </row>
    <row r="20" spans="1:7" x14ac:dyDescent="0.3">
      <c r="A20" s="20">
        <f>+A18+0.1</f>
        <v>2.3000000000000003</v>
      </c>
      <c r="B20" s="1" t="s">
        <v>28</v>
      </c>
      <c r="C20" s="63">
        <f>C21/'Financial Statements'!B$8*100</f>
        <v>2.382958191224223</v>
      </c>
      <c r="D20" s="56">
        <f>D21/'Financial Statements'!C$8*100</f>
        <v>5.2954097509269467</v>
      </c>
      <c r="E20" s="56">
        <f>E21/'Financial Statements'!D$8*100</f>
        <v>5.9313999751336572</v>
      </c>
    </row>
    <row r="21" spans="1:7" x14ac:dyDescent="0.3">
      <c r="A21" s="20"/>
      <c r="B21" s="17" t="s">
        <v>29</v>
      </c>
      <c r="C21" s="40">
        <f>'Financial Statements'!B$18</f>
        <v>12248</v>
      </c>
      <c r="D21" s="40">
        <f>'Financial Statements'!C$18</f>
        <v>24879</v>
      </c>
      <c r="E21" s="40">
        <f>'Financial Statements'!D$18</f>
        <v>22899</v>
      </c>
    </row>
    <row r="22" spans="1:7" x14ac:dyDescent="0.3">
      <c r="A22" s="20">
        <f>+A20+0.1</f>
        <v>2.4000000000000004</v>
      </c>
      <c r="B22" s="1" t="s">
        <v>30</v>
      </c>
      <c r="C22" s="63">
        <f>'Financial Statements'!B$22/'Financial Statements'!B$8*100</f>
        <v>-0.52958950004183014</v>
      </c>
      <c r="D22" s="56">
        <f>'Financial Statements'!C$22/'Financial Statements'!C$8*100</f>
        <v>7.1014128755145567</v>
      </c>
      <c r="E22" s="56">
        <f>'Financial Statements'!D$22/'Financial Statements'!D$8*100</f>
        <v>5.5252496995316838</v>
      </c>
    </row>
    <row r="23" spans="1:7" x14ac:dyDescent="0.3">
      <c r="A23" s="20"/>
      <c r="D23" s="56"/>
      <c r="E23" s="56"/>
    </row>
    <row r="24" spans="1:7" x14ac:dyDescent="0.3">
      <c r="A24" s="20">
        <f>+A16+1</f>
        <v>3</v>
      </c>
      <c r="B24" s="9" t="s">
        <v>31</v>
      </c>
      <c r="D24" s="56"/>
      <c r="E24" s="56"/>
    </row>
    <row r="25" spans="1:7" ht="15.6" x14ac:dyDescent="0.3">
      <c r="A25" s="20">
        <f t="shared" ref="A25:A30" si="1">+A24+0.1</f>
        <v>3.1</v>
      </c>
      <c r="B25" s="1" t="s">
        <v>32</v>
      </c>
      <c r="C25" s="63">
        <f>'Financial Statements'!B$62/'Financial Statements'!B$68</f>
        <v>2.1680737864875415</v>
      </c>
      <c r="D25" s="56">
        <f>'Financial Statements'!C$62/'Financial Statements'!C$68</f>
        <v>2.0420557705522802</v>
      </c>
      <c r="E25" s="56">
        <f>'Financial Statements'!D$62/'Financial Statements'!D$68</f>
        <v>2.438332405464434</v>
      </c>
      <c r="G25" s="71" t="s">
        <v>185</v>
      </c>
    </row>
    <row r="26" spans="1:7" ht="15.6" x14ac:dyDescent="0.3">
      <c r="A26" s="20">
        <f t="shared" si="1"/>
        <v>3.2</v>
      </c>
      <c r="B26" s="1" t="s">
        <v>33</v>
      </c>
      <c r="C26" s="63">
        <f>'Financial Statements'!B$62/'Financial Statements'!B$48</f>
        <v>0.68435078618900957</v>
      </c>
      <c r="D26" s="56">
        <f>'Financial Statements'!C$62/'Financial Statements'!C$48</f>
        <v>0.67127492872412009</v>
      </c>
      <c r="E26" s="56">
        <f>'Financial Statements'!D$62/'Financial Statements'!D$48</f>
        <v>0.70770693630482207</v>
      </c>
      <c r="G26" s="71" t="s">
        <v>185</v>
      </c>
    </row>
    <row r="27" spans="1:7" ht="15.6" x14ac:dyDescent="0.3">
      <c r="A27" s="20">
        <f t="shared" si="1"/>
        <v>3.3000000000000003</v>
      </c>
      <c r="B27" s="1" t="s">
        <v>34</v>
      </c>
      <c r="C27" s="63">
        <f>'Financial Statements'!B$61/'Financial Statements'!B$68</f>
        <v>1.1040515464623433</v>
      </c>
      <c r="D27" s="56">
        <f>'Financial Statements'!C$61/'Financial Statements'!C$68</f>
        <v>1.0129697276574199</v>
      </c>
      <c r="E27" s="56">
        <f>'Financial Statements'!D$61/'Financial Statements'!D$68</f>
        <v>1.0852318958502847</v>
      </c>
      <c r="G27" s="71" t="s">
        <v>185</v>
      </c>
    </row>
    <row r="28" spans="1:7" x14ac:dyDescent="0.3">
      <c r="A28" s="20">
        <f t="shared" si="1"/>
        <v>3.4000000000000004</v>
      </c>
      <c r="B28" s="1" t="s">
        <v>35</v>
      </c>
      <c r="C28" s="63">
        <f>'Financial Statements'!B$18/'Financial Statements'!B$114</f>
        <v>4.2750436300174517</v>
      </c>
      <c r="D28" s="56">
        <f>'Financial Statements'!C$18/'Financial Statements'!C$114</f>
        <v>9.2590249348716043</v>
      </c>
      <c r="E28" s="56">
        <f>'Financial Statements'!D$18/'Financial Statements'!D$114</f>
        <v>7.6279147235176552</v>
      </c>
    </row>
    <row r="29" spans="1:7" x14ac:dyDescent="0.3">
      <c r="A29" s="20">
        <f t="shared" si="1"/>
        <v>3.5000000000000004</v>
      </c>
      <c r="B29" s="1" t="s">
        <v>36</v>
      </c>
      <c r="C29" s="63">
        <f>C19/'Financial Statements'!B$114</f>
        <v>18.907155322862128</v>
      </c>
      <c r="D29" s="56">
        <f>D19/'Financial Statements'!C$114</f>
        <v>22.073688128023818</v>
      </c>
      <c r="E29" s="56">
        <f>E19/'Financial Statements'!D$114</f>
        <v>16.015656229180546</v>
      </c>
      <c r="G29" t="s">
        <v>186</v>
      </c>
    </row>
    <row r="30" spans="1:7" x14ac:dyDescent="0.3">
      <c r="A30" s="20">
        <f t="shared" si="1"/>
        <v>3.6000000000000005</v>
      </c>
      <c r="B30" s="1" t="s">
        <v>37</v>
      </c>
      <c r="C30" s="63">
        <f>C31/'Financial Statements'!B$27*1000</f>
        <v>13035.724801256256</v>
      </c>
      <c r="D30" s="56">
        <f>D31/'Financial Statements'!C$27*1000</f>
        <v>12649.303153108629</v>
      </c>
      <c r="E30" s="56">
        <f>E31/'Financial Statements'!D$27*1000</f>
        <v>11822.288855572215</v>
      </c>
    </row>
    <row r="31" spans="1:7" x14ac:dyDescent="0.3">
      <c r="A31" s="20"/>
      <c r="B31" s="17" t="s">
        <v>38</v>
      </c>
      <c r="C31" s="10">
        <f>'Financial Statements'!B$91-'Financial Statements'!B$96+('Financial Statements'!B$104-'Financial Statements'!B$105)</f>
        <v>132821</v>
      </c>
      <c r="D31" s="54">
        <f>'Financial Statements'!C$91-'Financial Statements'!C$96+('Financial Statements'!C$104-'Financial Statements'!C$105)</f>
        <v>127973</v>
      </c>
      <c r="E31" s="54">
        <f>'Financial Statements'!D$91-'Financial Statements'!D$96+('Financial Statements'!D$104-'Financial Statements'!D$105)</f>
        <v>118282</v>
      </c>
      <c r="G31" t="s">
        <v>187</v>
      </c>
    </row>
    <row r="32" spans="1:7" x14ac:dyDescent="0.3">
      <c r="A32" s="20"/>
      <c r="D32" s="56"/>
      <c r="E32" s="56"/>
    </row>
    <row r="33" spans="1:7" x14ac:dyDescent="0.3">
      <c r="A33" s="20">
        <f>+A24+1</f>
        <v>4</v>
      </c>
      <c r="B33" s="21" t="s">
        <v>39</v>
      </c>
      <c r="D33" s="56"/>
      <c r="E33" s="56"/>
    </row>
    <row r="34" spans="1:7" x14ac:dyDescent="0.3">
      <c r="A34" s="20">
        <f>+A33+0.1</f>
        <v>4.0999999999999996</v>
      </c>
      <c r="B34" s="1" t="s">
        <v>40</v>
      </c>
      <c r="C34" s="63">
        <f>'Financial Statements'!B$8/'Financial Statements'!B$48</f>
        <v>1.1108942562273734</v>
      </c>
      <c r="D34" s="56">
        <f>'Financial Statements'!C$8/'Financial Statements'!C$48</f>
        <v>1.1171635172120253</v>
      </c>
      <c r="E34" s="56">
        <f>'Financial Statements'!D$8/'Financial Statements'!D$48</f>
        <v>1.1996494869707346</v>
      </c>
    </row>
    <row r="35" spans="1:7" x14ac:dyDescent="0.3">
      <c r="A35" s="20">
        <f>+A34+0.1</f>
        <v>4.1999999999999993</v>
      </c>
      <c r="B35" s="1" t="s">
        <v>41</v>
      </c>
      <c r="C35" s="63">
        <f>'Financial Statements'!B$8/'Financial Statements'!B$47</f>
        <v>1.6271257803497488</v>
      </c>
      <c r="D35" s="56">
        <f>'Financial Statements'!C$8/'Financial Statements'!C$47</f>
        <v>1.8142016998173527</v>
      </c>
      <c r="E35" s="56">
        <f>'Financial Statements'!D$8/'Financial Statements'!D$47</f>
        <v>2.0417916131181872</v>
      </c>
    </row>
    <row r="36" spans="1:7" x14ac:dyDescent="0.3">
      <c r="A36" s="20">
        <f>+A35+0.1</f>
        <v>4.2999999999999989</v>
      </c>
      <c r="B36" s="1" t="s">
        <v>42</v>
      </c>
      <c r="C36" s="63">
        <f>'Financial Statements'!B$12/'Financial Statements'!B$39</f>
        <v>8.3950297921813686</v>
      </c>
      <c r="D36" s="56">
        <f>'Financial Statements'!C$12/'Financial Statements'!C$39</f>
        <v>8.3438725490196077</v>
      </c>
      <c r="E36" s="56">
        <f>'Financial Statements'!D$12/'Financial Statements'!D$39</f>
        <v>9.8048749737339769</v>
      </c>
    </row>
    <row r="37" spans="1:7" x14ac:dyDescent="0.3">
      <c r="A37" s="20">
        <f>+A36+0.1</f>
        <v>4.3999999999999986</v>
      </c>
      <c r="B37" s="1" t="s">
        <v>43</v>
      </c>
      <c r="C37" s="63">
        <f>'Financial Statements'!B$22/'Financial Statements'!B48*100</f>
        <v>-0.58831793375479546</v>
      </c>
      <c r="D37" s="56">
        <f>'Financial Statements'!C$22/'Financial Statements'!C48*100</f>
        <v>7.9334393851846041</v>
      </c>
      <c r="E37" s="56">
        <f>'Financial Statements'!D$22/'Financial Statements'!D48*100</f>
        <v>6.6283629674283899</v>
      </c>
    </row>
    <row r="38" spans="1:7" x14ac:dyDescent="0.3">
      <c r="A38" s="20"/>
      <c r="D38" s="56"/>
      <c r="E38" s="56"/>
    </row>
    <row r="39" spans="1:7" x14ac:dyDescent="0.3">
      <c r="A39" s="20">
        <f>+A33+1</f>
        <v>5</v>
      </c>
      <c r="B39" s="21" t="s">
        <v>44</v>
      </c>
      <c r="C39" s="63" t="s">
        <v>180</v>
      </c>
      <c r="D39" s="56">
        <v>130</v>
      </c>
      <c r="E39" s="56"/>
    </row>
    <row r="40" spans="1:7" x14ac:dyDescent="0.3">
      <c r="A40" s="20">
        <f>+A39+0.1</f>
        <v>5.0999999999999996</v>
      </c>
      <c r="B40" s="1" t="s">
        <v>45</v>
      </c>
      <c r="C40" s="63">
        <f>D39/'Financial Statements'!B$25</f>
        <v>-481.48148148148147</v>
      </c>
      <c r="D40" s="56">
        <f>D39/'Financial Statements'!C$25</f>
        <v>40.123456790123456</v>
      </c>
      <c r="E40" s="56">
        <f>D39/'Financial Statements'!D$25</f>
        <v>62.200956937799049</v>
      </c>
    </row>
    <row r="41" spans="1:7" x14ac:dyDescent="0.3">
      <c r="A41" s="20">
        <f>+A40+0.1</f>
        <v>5.1999999999999993</v>
      </c>
      <c r="B41" s="17" t="s">
        <v>46</v>
      </c>
      <c r="C41" s="66" t="str">
        <f>'Financial Statements'!B$25</f>
        <v>(0.27)</v>
      </c>
      <c r="D41" s="58">
        <f>'Financial Statements'!C$25</f>
        <v>3.24</v>
      </c>
      <c r="E41" s="56">
        <f>'Financial Statements'!D$25</f>
        <v>2.09</v>
      </c>
    </row>
    <row r="42" spans="1:7" x14ac:dyDescent="0.3">
      <c r="A42" s="59">
        <f>+A41+0.1</f>
        <v>5.2999999999999989</v>
      </c>
      <c r="B42" s="60" t="s">
        <v>47</v>
      </c>
      <c r="C42" s="67">
        <f>D39/C43</f>
        <v>1.967076050314092E-2</v>
      </c>
      <c r="D42" s="61">
        <f>D39/D43</f>
        <v>2.4489070122518899E-2</v>
      </c>
      <c r="E42" s="61">
        <f>D39/E43</f>
        <v>3.1697657982599367E-2</v>
      </c>
    </row>
    <row r="43" spans="1:7" ht="15.6" x14ac:dyDescent="0.3">
      <c r="A43" s="20">
        <f>+A42+0.1</f>
        <v>5.3999999999999986</v>
      </c>
      <c r="B43" s="17" t="s">
        <v>48</v>
      </c>
      <c r="C43" s="10">
        <f>'Financial Statements'!B$65/'Financial Statements'!B$27*1000</f>
        <v>6608.7937972323089</v>
      </c>
      <c r="D43" s="10">
        <f>'Financial Statements'!C$65/'Financial Statements'!C$27*1000</f>
        <v>5308.4906592863499</v>
      </c>
      <c r="E43" s="10">
        <f>'Financial Statements'!D$65/'Financial Statements'!D$27*1000</f>
        <v>4101.2493753123445</v>
      </c>
      <c r="G43" s="71" t="s">
        <v>189</v>
      </c>
    </row>
    <row r="44" spans="1:7" x14ac:dyDescent="0.3">
      <c r="A44" s="20">
        <f>+A43+0.1</f>
        <v>5.4999999999999982</v>
      </c>
      <c r="B44" s="1" t="s">
        <v>49</v>
      </c>
      <c r="C44" s="63">
        <f>'Financial Statements'!B$102/-'Financial Statements'!B$22</f>
        <v>0</v>
      </c>
      <c r="D44" s="56">
        <f>'Financial Statements'!C$102/-'Financial Statements'!C$22</f>
        <v>0</v>
      </c>
      <c r="E44" s="56">
        <f>'Financial Statements'!D$102/-'Financial Statements'!D$22</f>
        <v>0</v>
      </c>
    </row>
    <row r="45" spans="1:7" x14ac:dyDescent="0.3">
      <c r="A45" s="20"/>
      <c r="B45" s="17" t="s">
        <v>50</v>
      </c>
      <c r="C45" s="63">
        <f>'Financial Statements'!B$24*C44</f>
        <v>0</v>
      </c>
      <c r="D45" s="56">
        <f>'Financial Statements'!C$24*D44</f>
        <v>0</v>
      </c>
      <c r="E45" s="56">
        <f>'Financial Statements'!D$24*E44</f>
        <v>0</v>
      </c>
    </row>
    <row r="46" spans="1:7" x14ac:dyDescent="0.3">
      <c r="A46" s="20">
        <f>+A44+0.1</f>
        <v>5.5999999999999979</v>
      </c>
      <c r="B46" s="1" t="s">
        <v>51</v>
      </c>
      <c r="C46" s="63">
        <f>C45/D39*100</f>
        <v>0</v>
      </c>
      <c r="D46" s="56">
        <f>D45/D39*100</f>
        <v>0</v>
      </c>
      <c r="E46" s="56">
        <f>E45/D39*100</f>
        <v>0</v>
      </c>
    </row>
    <row r="47" spans="1:7" x14ac:dyDescent="0.3">
      <c r="A47" s="20">
        <f>+A45+0.1</f>
        <v>0.1</v>
      </c>
      <c r="B47" s="1" t="s">
        <v>52</v>
      </c>
      <c r="C47" s="63">
        <f>'Financial Statements'!B$22/'Financial Statements'!B$68</f>
        <v>-1.8638346240490815E-2</v>
      </c>
      <c r="D47" s="56">
        <f>'Financial Statements'!C$22/'Financial Statements'!C$68</f>
        <v>0.2413396506202756</v>
      </c>
      <c r="E47" s="56">
        <f>'Financial Statements'!D$22/'Financial Statements'!D$68</f>
        <v>0.22837351719412444</v>
      </c>
    </row>
    <row r="48" spans="1:7" x14ac:dyDescent="0.3">
      <c r="A48" s="20">
        <f>+A46+0.1</f>
        <v>5.6999999999999975</v>
      </c>
      <c r="B48" s="1" t="s">
        <v>53</v>
      </c>
      <c r="C48" s="10">
        <f>C21/'Financial Statements'!B$68+'Financial Statements'!B$61</f>
        <v>161239.0838657108</v>
      </c>
      <c r="D48" s="54">
        <f>D21/'Financial Statements'!C$68+'Financial Statements'!C$61</f>
        <v>140038.17996310897</v>
      </c>
      <c r="E48" s="54">
        <f>E21/'Financial Statements'!D$68+'Financial Statements'!D$61</f>
        <v>101365.24516080682</v>
      </c>
      <c r="G48" t="s">
        <v>188</v>
      </c>
    </row>
    <row r="49" spans="1:7" x14ac:dyDescent="0.3">
      <c r="A49" s="20">
        <f>+A47+0.1</f>
        <v>0.2</v>
      </c>
      <c r="B49" s="1" t="s">
        <v>43</v>
      </c>
      <c r="C49" s="63">
        <f>'Financial Statements'!B$22/'Financial Statements'!B$48*100</f>
        <v>-0.58831793375479546</v>
      </c>
      <c r="D49" s="56">
        <f>'Financial Statements'!C$22/'Financial Statements'!C$48*100</f>
        <v>7.9334393851846041</v>
      </c>
      <c r="E49" s="56">
        <f>'Financial Statements'!D$22/'Financial Statements'!D$48*100</f>
        <v>6.6283629674283899</v>
      </c>
    </row>
    <row r="50" spans="1:7" x14ac:dyDescent="0.3">
      <c r="A50" s="20">
        <f>+A48+0.1</f>
        <v>5.7999999999999972</v>
      </c>
      <c r="B50" s="1" t="s">
        <v>54</v>
      </c>
      <c r="C50" s="65">
        <f>C51/C19</f>
        <v>23.457734128376007</v>
      </c>
      <c r="D50" s="57">
        <f>D51/D19</f>
        <v>21.563764499595361</v>
      </c>
      <c r="E50" s="57">
        <f>E51/E19</f>
        <v>26.176251585931489</v>
      </c>
    </row>
    <row r="51" spans="1:7" x14ac:dyDescent="0.3">
      <c r="A51" s="20"/>
      <c r="B51" s="17" t="s">
        <v>55</v>
      </c>
      <c r="C51" s="40">
        <f>D39*'Financial Statements'!B$27+'Financial Statements'!B$54+'Financial Statements'!B$55-'Financial Statements'!B$36</f>
        <v>1270682</v>
      </c>
      <c r="D51" s="40">
        <f>D39*'Financial Statements'!C$27+'Financial Statements'!C$54+'Financial Statements'!C$55-'Financial Statements'!C$36</f>
        <v>1278990</v>
      </c>
      <c r="E51" s="40">
        <f>(D39*'Financial Statements'!D$27)+'Financial Statements'!D$54+'Financial Statements'!D$55-'Financial Statements'!D$36</f>
        <v>1258528</v>
      </c>
      <c r="G51" t="s">
        <v>190</v>
      </c>
    </row>
  </sheetData>
  <mergeCells count="1">
    <mergeCell ref="C2:E2"/>
  </mergeCells>
  <conditionalFormatting sqref="G25">
    <cfRule type="cellIs" dxfId="9" priority="5" operator="lessThan">
      <formula>0</formula>
    </cfRule>
  </conditionalFormatting>
  <conditionalFormatting sqref="G26">
    <cfRule type="cellIs" dxfId="7" priority="4" operator="lessThan">
      <formula>0</formula>
    </cfRule>
  </conditionalFormatting>
  <conditionalFormatting sqref="G27">
    <cfRule type="cellIs" dxfId="5" priority="3" operator="lessThan">
      <formula>0</formula>
    </cfRule>
  </conditionalFormatting>
  <conditionalFormatting sqref="G29">
    <cfRule type="cellIs" dxfId="3" priority="2" operator="lessThan">
      <formula>0</formula>
    </cfRule>
  </conditionalFormatting>
  <conditionalFormatting sqref="G43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2020-05-19T16:15:53Z</dcterms:created>
  <dcterms:modified xsi:type="dcterms:W3CDTF">2023-07-25T16:39:38Z</dcterms:modified>
</cp:coreProperties>
</file>