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activeTab="1"/>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1" l="1"/>
  <c r="J46" i="1"/>
  <c r="I46" i="1"/>
  <c r="J45" i="1"/>
  <c r="K45" i="1"/>
  <c r="I45" i="1"/>
  <c r="K51" i="1"/>
  <c r="J51" i="1"/>
  <c r="I51" i="1"/>
  <c r="K52" i="1"/>
  <c r="J52" i="1"/>
  <c r="I52" i="1"/>
  <c r="J53" i="1"/>
  <c r="K53" i="1"/>
  <c r="I53" i="1"/>
  <c r="K49" i="1"/>
  <c r="J49" i="1"/>
  <c r="I49" i="1"/>
  <c r="J50" i="1"/>
  <c r="K50" i="1"/>
  <c r="I50" i="1"/>
  <c r="I38" i="1"/>
  <c r="J48" i="1"/>
  <c r="K48" i="1"/>
  <c r="I48" i="1"/>
  <c r="K44" i="1"/>
  <c r="J44" i="1"/>
  <c r="I44" i="1"/>
  <c r="I35" i="1"/>
  <c r="I41" i="1"/>
  <c r="J41" i="1"/>
  <c r="K41" i="1"/>
  <c r="I42" i="1"/>
  <c r="K42" i="1"/>
  <c r="J42" i="1"/>
  <c r="J30" i="1"/>
  <c r="K30" i="1"/>
  <c r="I30" i="1"/>
  <c r="I29" i="1"/>
  <c r="K29" i="1"/>
  <c r="J29" i="1"/>
  <c r="J28" i="1"/>
  <c r="K28" i="1"/>
  <c r="I28" i="1"/>
  <c r="J27" i="1"/>
  <c r="K27" i="1"/>
  <c r="I27" i="1"/>
  <c r="I26" i="1"/>
  <c r="J26" i="1"/>
  <c r="K26" i="1"/>
  <c r="J38" i="1"/>
  <c r="K38" i="1"/>
  <c r="J37" i="1"/>
  <c r="K37" i="1"/>
  <c r="I37" i="1"/>
  <c r="J36" i="1"/>
  <c r="K36" i="1"/>
  <c r="I36" i="1"/>
  <c r="J35" i="1"/>
  <c r="K35" i="1"/>
  <c r="I21" i="1"/>
  <c r="I19" i="1"/>
  <c r="J18" i="1"/>
  <c r="K18" i="1"/>
  <c r="I18" i="1"/>
  <c r="J23" i="1"/>
  <c r="K23" i="1"/>
  <c r="I23" i="1"/>
  <c r="K13" i="1"/>
  <c r="J13" i="1"/>
  <c r="I13" i="1"/>
  <c r="J14" i="1"/>
  <c r="K14" i="1"/>
  <c r="I14" i="1"/>
  <c r="G48" i="1"/>
  <c r="G50" i="1" s="1"/>
  <c r="G5" i="1"/>
  <c r="G6" i="1" s="1"/>
  <c r="G7" i="1" s="1"/>
  <c r="G8" i="1" s="1"/>
  <c r="G9" i="1" s="1"/>
  <c r="G10" i="1" s="1"/>
  <c r="G11" i="1" s="1"/>
  <c r="G12" i="1" s="1"/>
  <c r="G13" i="1" s="1"/>
  <c r="D108" i="1"/>
  <c r="C108" i="1"/>
  <c r="B108" i="1"/>
  <c r="D99" i="1"/>
  <c r="C99" i="1"/>
  <c r="B99" i="1"/>
  <c r="G17" i="1" l="1"/>
  <c r="D68" i="1"/>
  <c r="C68" i="1"/>
  <c r="B68" i="1"/>
  <c r="D61" i="1"/>
  <c r="C61" i="1"/>
  <c r="B61" i="1"/>
  <c r="D56" i="1"/>
  <c r="C56" i="1"/>
  <c r="B56" i="1"/>
  <c r="D47" i="1"/>
  <c r="C47" i="1"/>
  <c r="B47" i="1"/>
  <c r="D42" i="1"/>
  <c r="K5" i="1" s="1"/>
  <c r="C42" i="1"/>
  <c r="B42" i="1"/>
  <c r="D17" i="1"/>
  <c r="C17" i="1"/>
  <c r="B17" i="1"/>
  <c r="D12" i="1"/>
  <c r="C12" i="1"/>
  <c r="B12" i="1"/>
  <c r="D8" i="1"/>
  <c r="D13" i="1" s="1"/>
  <c r="C8" i="1"/>
  <c r="B8" i="1"/>
  <c r="B13" i="1" s="1"/>
  <c r="E3" i="3"/>
  <c r="D3" i="3"/>
  <c r="C3" i="3"/>
  <c r="D33" i="1"/>
  <c r="D73" i="1" s="1"/>
  <c r="C33" i="1"/>
  <c r="C73" i="1" s="1"/>
  <c r="B33" i="1"/>
  <c r="B73" i="1" s="1"/>
  <c r="G18" i="1" l="1"/>
  <c r="G19" i="1" s="1"/>
  <c r="G21" i="1" s="1"/>
  <c r="G23" i="1" s="1"/>
  <c r="G25" i="1"/>
  <c r="B48" i="1"/>
  <c r="I8" i="1" s="1"/>
  <c r="I5" i="1"/>
  <c r="K7" i="1"/>
  <c r="K6" i="1"/>
  <c r="D18" i="1"/>
  <c r="J5" i="1"/>
  <c r="I11" i="1"/>
  <c r="I10" i="1"/>
  <c r="I9" i="1"/>
  <c r="J7" i="1"/>
  <c r="J6" i="1"/>
  <c r="J9" i="1"/>
  <c r="J10" i="1"/>
  <c r="J11" i="1"/>
  <c r="K10" i="1"/>
  <c r="K9" i="1"/>
  <c r="K11" i="1"/>
  <c r="I7" i="1"/>
  <c r="I6" i="1"/>
  <c r="C62" i="1"/>
  <c r="C13" i="1"/>
  <c r="B62" i="1"/>
  <c r="B69" i="1" s="1"/>
  <c r="B18" i="1"/>
  <c r="C48" i="1"/>
  <c r="J8" i="1" s="1"/>
  <c r="D62" i="1"/>
  <c r="D69" i="1" s="1"/>
  <c r="C69" i="1"/>
  <c r="D48" i="1"/>
  <c r="K8" i="1" s="1"/>
  <c r="A47" i="3"/>
  <c r="A49" i="3" s="1"/>
  <c r="A16" i="3"/>
  <c r="A17" i="3" s="1"/>
  <c r="A18" i="3" s="1"/>
  <c r="A20" i="3" s="1"/>
  <c r="A22" i="3" s="1"/>
  <c r="A5" i="3"/>
  <c r="A6" i="3" s="1"/>
  <c r="A7" i="3" s="1"/>
  <c r="A8" i="3" s="1"/>
  <c r="A9" i="3" s="1"/>
  <c r="A10" i="3" s="1"/>
  <c r="A11" i="3" s="1"/>
  <c r="A12" i="3" s="1"/>
  <c r="A13" i="3" s="1"/>
  <c r="D20" i="1" l="1"/>
  <c r="D22" i="1" s="1"/>
  <c r="D76" i="1" s="1"/>
  <c r="D91" i="1" s="1"/>
  <c r="D109" i="1" s="1"/>
  <c r="K22" i="1"/>
  <c r="K21" i="1" s="1"/>
  <c r="K20" i="1"/>
  <c r="K19" i="1" s="1"/>
  <c r="B20" i="1"/>
  <c r="B22" i="1" s="1"/>
  <c r="B76" i="1" s="1"/>
  <c r="B91" i="1" s="1"/>
  <c r="B109" i="1" s="1"/>
  <c r="I22" i="1"/>
  <c r="I20" i="1"/>
  <c r="C18" i="1"/>
  <c r="G26" i="1"/>
  <c r="G27" i="1" s="1"/>
  <c r="G28" i="1" s="1"/>
  <c r="G29" i="1" s="1"/>
  <c r="G30" i="1" s="1"/>
  <c r="G31" i="1" s="1"/>
  <c r="G34" i="1"/>
  <c r="A24" i="3"/>
  <c r="A25" i="3" s="1"/>
  <c r="A26" i="3" s="1"/>
  <c r="A27" i="3" s="1"/>
  <c r="A28" i="3" s="1"/>
  <c r="A29" i="3" s="1"/>
  <c r="A30" i="3" s="1"/>
  <c r="A33" i="3"/>
  <c r="C20" i="1" l="1"/>
  <c r="C22" i="1" s="1"/>
  <c r="C76" i="1" s="1"/>
  <c r="C91" i="1" s="1"/>
  <c r="C109" i="1" s="1"/>
  <c r="J20" i="1"/>
  <c r="J19" i="1" s="1"/>
  <c r="J22" i="1"/>
  <c r="J21" i="1" s="1"/>
  <c r="G35" i="1"/>
  <c r="G36" i="1" s="1"/>
  <c r="G37" i="1" s="1"/>
  <c r="G38" i="1" s="1"/>
  <c r="G40" i="1"/>
  <c r="G41" i="1" s="1"/>
  <c r="G42" i="1" s="1"/>
  <c r="G43" i="1" s="1"/>
  <c r="G44" i="1" s="1"/>
  <c r="G45" i="1" s="1"/>
  <c r="G47" i="1" s="1"/>
  <c r="G49" i="1" s="1"/>
  <c r="G51" i="1" s="1"/>
  <c r="A39" i="3"/>
  <c r="A40" i="3" s="1"/>
  <c r="A41" i="3" s="1"/>
  <c r="A42" i="3" s="1"/>
  <c r="A43" i="3" s="1"/>
  <c r="A44" i="3" s="1"/>
  <c r="A46" i="3" s="1"/>
  <c r="A48" i="3" s="1"/>
  <c r="A50" i="3" s="1"/>
  <c r="A34" i="3"/>
  <c r="A35" i="3" s="1"/>
  <c r="A36" i="3" s="1"/>
  <c r="A37" i="3" s="1"/>
</calcChain>
</file>

<file path=xl/sharedStrings.xml><?xml version="1.0" encoding="utf-8"?>
<sst xmlns="http://schemas.openxmlformats.org/spreadsheetml/2006/main" count="236" uniqueCount="169">
  <si>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</si>
  <si>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</si>
  <si>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</si>
  <si>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</si>
  <si>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</si>
  <si>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</si>
  <si>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</si>
  <si>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</si>
  <si>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</si>
  <si>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</si>
  <si>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</si>
  <si>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</si>
  <si>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</si>
  <si>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</si>
  <si>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</si>
  <si>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</si>
  <si>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</si>
  <si>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</si>
  <si>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</si>
  <si>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</si>
  <si>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</si>
  <si>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</si>
  <si>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</si>
  <si>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</si>
  <si>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</si>
  <si>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</si>
  <si>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</si>
  <si>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</si>
  <si>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</si>
  <si>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</si>
  <si>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</si>
  <si>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</si>
  <si>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</si>
  <si>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</si>
  <si>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</si>
  <si>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</si>
  <si>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</si>
  <si>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</si>
  <si>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</si>
  <si>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</si>
  <si>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</si>
  <si>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</si>
  <si>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</si>
  <si>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</si>
  <si>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</si>
  <si>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</si>
  <si>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</si>
  <si>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</si>
  <si>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</si>
  <si>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</si>
  <si>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</si>
  <si>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</si>
  <si>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</si>
  <si>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</si>
  <si>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</si>
  <si>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</si>
  <si>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</si>
  <si>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</si>
  <si>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</si>
  <si>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</si>
  <si>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</si>
  <si>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</si>
  <si>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</si>
  <si>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</si>
  <si>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</si>
  <si>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</si>
  <si>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</si>
  <si>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</si>
  <si>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</si>
  <si>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</si>
  <si>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</si>
  <si>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</si>
  <si>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</si>
  <si>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</si>
  <si>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</si>
  <si>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</si>
  <si>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</si>
  <si>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</si>
  <si>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</si>
  <si>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</si>
  <si>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</si>
  <si>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</si>
  <si>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</si>
  <si>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</si>
  <si>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</si>
  <si>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</si>
  <si>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</si>
  <si>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</si>
  <si>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</si>
  <si>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</si>
  <si>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</si>
  <si>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</si>
  <si>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</si>
  <si>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</si>
  <si>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</si>
  <si>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</si>
  <si>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</si>
  <si>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</si>
  <si>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</si>
  <si>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</si>
  <si>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</si>
  <si>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</si>
  <si>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</si>
  <si>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</si>
  <si>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</si>
  <si>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</si>
  <si>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</si>
  <si>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</si>
  <si>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</si>
  <si>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</si>
  <si>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</si>
  <si>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</si>
  <si>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</si>
  <si>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</si>
  <si>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</si>
  <si>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</si>
  <si>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</si>
  <si>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</si>
  <si>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</si>
  <si>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</si>
  <si>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</si>
  <si>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</si>
  <si>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</si>
  <si>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</si>
  <si>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</si>
  <si>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</si>
  <si>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</si>
  <si>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</si>
  <si>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</si>
  <si>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</si>
  <si>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</si>
  <si>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</si>
  <si>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</si>
  <si>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</si>
  <si>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</si>
  <si>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</si>
  <si>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</si>
  <si>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</si>
  <si>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</si>
  <si>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</si>
  <si>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</si>
  <si>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</si>
  <si>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</si>
  <si>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</si>
  <si>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</si>
  <si>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</si>
  <si>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</si>
  <si>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</si>
  <si>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</si>
  <si>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</si>
  <si>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equity value</t>
  </si>
  <si>
    <t>Current Assets / Daily Operational Expenses where, Daily Operational Expenses = Annual Operating Expenses - Noncash Charges i.e. Depreciation &amp; Amortization</t>
  </si>
  <si>
    <t>Inventory Days + Receivable Days - Payable Days</t>
  </si>
  <si>
    <t>Do  not multiply by 100, use the % formatting instead</t>
  </si>
  <si>
    <t>Term debt (under long term liabilities)/Total shareholder equity</t>
  </si>
  <si>
    <t>Include only long term debt other items are not considered long term debt, rather they are liabilities</t>
  </si>
  <si>
    <t>For debt link only long term debt other items are not considered long term debt, rather they are liabilities</t>
  </si>
  <si>
    <t>Net Operating Income/ (Interest + Debt repayment)</t>
  </si>
  <si>
    <t>Cash from operations + Capex + Net debt issued</t>
  </si>
  <si>
    <t>FCFE/Diluted number of shares</t>
  </si>
  <si>
    <t>Dividend Per Share / Share Price</t>
  </si>
  <si>
    <t>EBIT / (Term debt + Shareholder equity)</t>
  </si>
  <si>
    <t>Market Cap (share price * (Diluted number of shares/1000)) + Total Debt - (Cash + Cash Equivalents)</t>
  </si>
  <si>
    <t>Net Operating Income/ Interest   (Can be found at the bottom of cash flow statement)</t>
  </si>
  <si>
    <t>The average calculation for 2020 is empty (Column E) therefore you can calculate it without using average</t>
  </si>
  <si>
    <t>Share count should be linked to Diluted number of shares at the bottom of income statement, note that the three statements are in millions and share count is in absolute number, therefore divide the share count by 1000 in brackets</t>
  </si>
  <si>
    <t>Total Equity / Diluted number of shares. Note that the three statements are in millions and share count is in absolute number, therefore divide the share count by 1000 in brackets</t>
  </si>
  <si>
    <t>Link dividend paid with - sign. Share count should be linked to Diluted number of shares, note that the three statements are in millions and share count is in absolute number, therefore divide the share count by 1000 in brackets</t>
  </si>
  <si>
    <t>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</si>
</sst>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3">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5" fontId="0" fillId="0" borderId="0" xfId="0" applyNumberFormat="1"/>
    <xf numFmtId="9" fontId="0" fillId="0" borderId="0" xfId="3" applyFont="1"/>
    <xf numFmtId="165" fontId="0" fillId="0" borderId="0" xfId="3" applyNumberFormat="1" applyFont="1"/>
    <xf numFmtId="164" fontId="0" fillId="0" borderId="0" xfId="1" applyFont="1"/>
    <xf numFmtId="43" fontId="0" fillId="0" borderId="0" xfId="0" applyNumberFormat="1"/>
    <xf numFmtId="164" fontId="1" fillId="0" borderId="0" xfId="1" applyFont="1"/>
    <xf numFmtId="0" fontId="0" fillId="5" borderId="0" xfId="0" applyFill="1"/>
    <xf numFmtId="0" fontId="2" fillId="0" borderId="0" xfId="0" applyFont="1" applyAlignment="1">
      <alignment horizontal="center"/>
    </xf>
    <xf numFmtId="0" fontId="2" fillId="3" borderId="0" xfId="0" applyFont="1" applyFill="1" applyAlignment="1">
      <alignment horizontal="center"/>
    </xf>
    <xf numFmtId="0" fontId="8" fillId="2"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D1" sqref="D1"/>
    </sheetView>
  </sheetViews>
  <sheetFormatPr defaultRowHeight="14.4" x14ac:dyDescent="0.3"/>
  <cols>
    <col min="1" max="1" width="104.554687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146</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abSelected="1" topLeftCell="B1" workbookViewId="0">
      <selection activeCell="L1" sqref="L1"/>
    </sheetView>
  </sheetViews>
  <sheetFormatPr defaultRowHeight="14.4" x14ac:dyDescent="0.3"/>
  <cols>
    <col min="1" max="1" width="59" customWidth="1"/>
    <col min="2" max="3" width="11.5546875" bestFit="1" customWidth="1"/>
    <col min="4" max="4" width="11.6640625" bestFit="1" customWidth="1"/>
    <col min="7" max="7" width="13.33203125" customWidth="1"/>
    <col min="8" max="8" width="36.33203125" customWidth="1"/>
    <col min="9" max="9" width="11.5546875" bestFit="1" customWidth="1"/>
    <col min="10" max="10" width="9.5546875" bestFit="1" customWidth="1"/>
    <col min="12" max="12" width="36.109375" customWidth="1"/>
    <col min="13" max="13" width="16.44140625" customWidth="1"/>
    <col min="14" max="14" width="9.5546875" bestFit="1" customWidth="1"/>
  </cols>
  <sheetData>
    <row r="1" spans="1:14" ht="60" customHeight="1" x14ac:dyDescent="0.3">
      <c r="A1" s="6" t="s">
        <v>0</v>
      </c>
      <c r="B1" s="4" t="s">
        <v>2</v>
      </c>
      <c r="C1" s="4"/>
      <c r="D1" s="4"/>
      <c r="E1" s="4"/>
      <c r="F1" s="4"/>
      <c r="G1" s="4"/>
      <c r="H1" s="4"/>
      <c r="I1" s="4"/>
      <c r="J1" s="4"/>
      <c r="L1" s="32" t="s">
        <v>168</v>
      </c>
    </row>
    <row r="2" spans="1:14" x14ac:dyDescent="0.3">
      <c r="A2" s="31" t="s">
        <v>1</v>
      </c>
      <c r="B2" s="31"/>
      <c r="C2" s="31"/>
      <c r="D2" s="31"/>
    </row>
    <row r="3" spans="1:14" x14ac:dyDescent="0.3">
      <c r="B3" s="30" t="s">
        <v>23</v>
      </c>
      <c r="C3" s="30"/>
      <c r="D3" s="30"/>
      <c r="I3" s="7">
        <v>2022</v>
      </c>
      <c r="J3" s="7">
        <v>2021</v>
      </c>
      <c r="K3" s="7">
        <v>2020</v>
      </c>
    </row>
    <row r="4" spans="1:14" x14ac:dyDescent="0.3">
      <c r="B4" s="7">
        <v>2022</v>
      </c>
      <c r="C4" s="7">
        <v>2021</v>
      </c>
      <c r="D4" s="7">
        <v>2020</v>
      </c>
      <c r="G4" s="18">
        <v>1</v>
      </c>
      <c r="H4" s="7" t="s">
        <v>99</v>
      </c>
    </row>
    <row r="5" spans="1:14" x14ac:dyDescent="0.3">
      <c r="A5" t="s">
        <v>3</v>
      </c>
      <c r="G5" s="18">
        <f>+G4+0.1</f>
        <v>1.1000000000000001</v>
      </c>
      <c r="H5" s="1" t="s">
        <v>100</v>
      </c>
      <c r="I5" s="26">
        <f>B42/B56</f>
        <v>0.87935602862672257</v>
      </c>
      <c r="J5" s="26">
        <f>C42/C56</f>
        <v>1.0745531195957954</v>
      </c>
      <c r="K5" s="26">
        <f>D42/D56</f>
        <v>1.3636044481554577</v>
      </c>
    </row>
    <row r="6" spans="1:14" x14ac:dyDescent="0.3">
      <c r="A6" s="1" t="s">
        <v>4</v>
      </c>
      <c r="B6" s="12">
        <v>316199</v>
      </c>
      <c r="C6" s="12">
        <v>297392</v>
      </c>
      <c r="D6" s="12">
        <v>220747</v>
      </c>
      <c r="G6" s="18">
        <f t="shared" ref="G6:G13" si="0">+G5+0.1</f>
        <v>1.2000000000000002</v>
      </c>
      <c r="H6" s="1" t="s">
        <v>101</v>
      </c>
      <c r="I6" s="26">
        <f>SUM(B36:B38)/B56</f>
        <v>0.49673338442155579</v>
      </c>
      <c r="J6" s="26">
        <f t="shared" ref="J6:K6" si="1">SUM(C36:C38)/C56</f>
        <v>0.70860927152317876</v>
      </c>
      <c r="K6" s="26">
        <f t="shared" si="1"/>
        <v>1.0158550933657204</v>
      </c>
      <c r="L6" s="24"/>
    </row>
    <row r="7" spans="1:14" x14ac:dyDescent="0.3">
      <c r="A7" s="1" t="s">
        <v>5</v>
      </c>
      <c r="B7" s="12">
        <v>78129</v>
      </c>
      <c r="C7" s="12">
        <v>68425</v>
      </c>
      <c r="D7" s="12">
        <v>53768</v>
      </c>
      <c r="G7" s="18">
        <f t="shared" si="0"/>
        <v>1.3000000000000003</v>
      </c>
      <c r="H7" s="1" t="s">
        <v>102</v>
      </c>
      <c r="I7" s="26">
        <f>'Financial Statements'!B36/'Financial Statements'!B56</f>
        <v>0.15356340351469652</v>
      </c>
      <c r="J7" s="26">
        <f>'Financial Statements'!C36/'Financial Statements'!C56</f>
        <v>0.27844853005634318</v>
      </c>
      <c r="K7" s="26">
        <f>'Financial Statements'!D36/'Financial Statements'!D56</f>
        <v>0.36071049035979963</v>
      </c>
    </row>
    <row r="8" spans="1:14" x14ac:dyDescent="0.3">
      <c r="A8" s="8" t="s">
        <v>6</v>
      </c>
      <c r="B8" s="13">
        <f>+B6+B7</f>
        <v>394328</v>
      </c>
      <c r="C8" s="13">
        <f t="shared" ref="C8:D8" si="2">+C6+C7</f>
        <v>365817</v>
      </c>
      <c r="D8" s="13">
        <f t="shared" si="2"/>
        <v>274515</v>
      </c>
      <c r="G8" s="18">
        <f t="shared" si="0"/>
        <v>1.4000000000000004</v>
      </c>
      <c r="H8" s="1" t="s">
        <v>103</v>
      </c>
      <c r="I8" s="26">
        <f>B48/B17</f>
        <v>6.8702892199824719</v>
      </c>
      <c r="J8" s="26">
        <f t="shared" ref="J8:K8" si="3">C48/C17</f>
        <v>7.9978581356665979</v>
      </c>
      <c r="K8" s="26">
        <f t="shared" si="3"/>
        <v>8.3761249612082338</v>
      </c>
      <c r="L8" t="s">
        <v>151</v>
      </c>
    </row>
    <row r="9" spans="1:14" x14ac:dyDescent="0.3">
      <c r="A9" t="s">
        <v>7</v>
      </c>
      <c r="B9" s="12"/>
      <c r="C9" s="12"/>
      <c r="D9" s="12"/>
      <c r="G9" s="18">
        <f t="shared" si="0"/>
        <v>1.5000000000000004</v>
      </c>
      <c r="H9" s="1" t="s">
        <v>104</v>
      </c>
      <c r="I9" s="26">
        <f>B39/B12*365</f>
        <v>8.0756980666171607</v>
      </c>
      <c r="J9" s="26">
        <f t="shared" ref="J9:K9" si="4">C39/C12*365</f>
        <v>11.27659274770989</v>
      </c>
      <c r="K9" s="26">
        <f t="shared" si="4"/>
        <v>8.7418833562358831</v>
      </c>
      <c r="M9" s="24"/>
    </row>
    <row r="10" spans="1:14" x14ac:dyDescent="0.3">
      <c r="A10" s="1" t="s">
        <v>4</v>
      </c>
      <c r="B10" s="12">
        <v>201471</v>
      </c>
      <c r="C10" s="12">
        <v>192266</v>
      </c>
      <c r="D10" s="12">
        <v>151286</v>
      </c>
      <c r="G10" s="18">
        <f t="shared" si="0"/>
        <v>1.6000000000000005</v>
      </c>
      <c r="H10" s="1" t="s">
        <v>105</v>
      </c>
      <c r="I10" s="26">
        <f>B51/B12*365</f>
        <v>104.68527730310539</v>
      </c>
      <c r="J10" s="26">
        <f t="shared" ref="J10:K10" si="5">C51/C12*365</f>
        <v>93.851071222315596</v>
      </c>
      <c r="K10" s="26">
        <f t="shared" si="5"/>
        <v>91.048189715674198</v>
      </c>
    </row>
    <row r="11" spans="1:14" x14ac:dyDescent="0.3">
      <c r="A11" s="1" t="s">
        <v>5</v>
      </c>
      <c r="B11" s="12">
        <v>22075</v>
      </c>
      <c r="C11" s="12">
        <v>20715</v>
      </c>
      <c r="D11" s="12">
        <v>18273</v>
      </c>
      <c r="G11" s="18">
        <f t="shared" si="0"/>
        <v>1.7000000000000006</v>
      </c>
      <c r="H11" s="1" t="s">
        <v>106</v>
      </c>
      <c r="I11" s="26">
        <f>B38/B12*365</f>
        <v>46.018090236461397</v>
      </c>
      <c r="J11" s="26">
        <f t="shared" ref="J11:K11" si="6">C38/C12*365</f>
        <v>45.034392739258436</v>
      </c>
      <c r="K11" s="26">
        <f t="shared" si="6"/>
        <v>34.700605688875257</v>
      </c>
      <c r="M11" s="23"/>
    </row>
    <row r="12" spans="1:14" x14ac:dyDescent="0.3">
      <c r="A12" s="8" t="s">
        <v>8</v>
      </c>
      <c r="B12" s="13">
        <f>+B10+B11</f>
        <v>223546</v>
      </c>
      <c r="C12" s="13">
        <f t="shared" ref="C12:D12" si="7">+C10+C11</f>
        <v>212981</v>
      </c>
      <c r="D12" s="13">
        <f t="shared" si="7"/>
        <v>169559</v>
      </c>
      <c r="G12" s="18">
        <f t="shared" si="0"/>
        <v>1.8000000000000007</v>
      </c>
      <c r="H12" s="1" t="s">
        <v>107</v>
      </c>
      <c r="I12">
        <v>-43.89</v>
      </c>
      <c r="J12" s="29"/>
      <c r="K12" s="29"/>
      <c r="L12" t="s">
        <v>152</v>
      </c>
      <c r="N12" s="23"/>
    </row>
    <row r="13" spans="1:14" x14ac:dyDescent="0.3">
      <c r="A13" s="8" t="s">
        <v>9</v>
      </c>
      <c r="B13" s="13">
        <f>+B8-B12</f>
        <v>170782</v>
      </c>
      <c r="C13" s="13">
        <f t="shared" ref="C13:D13" si="8">+C8-C12</f>
        <v>152836</v>
      </c>
      <c r="D13" s="13">
        <f t="shared" si="8"/>
        <v>104956</v>
      </c>
      <c r="G13" s="18">
        <f t="shared" si="0"/>
        <v>1.9000000000000008</v>
      </c>
      <c r="H13" s="1" t="s">
        <v>108</v>
      </c>
      <c r="I13">
        <f>B8/I14</f>
        <v>-21.226678150401032</v>
      </c>
      <c r="J13">
        <f>C8/J14</f>
        <v>39.103901656867983</v>
      </c>
      <c r="K13">
        <f>D8/K14</f>
        <v>7.1635656689543596</v>
      </c>
      <c r="M13" s="23"/>
    </row>
    <row r="14" spans="1:14" x14ac:dyDescent="0.3">
      <c r="A14" t="s">
        <v>10</v>
      </c>
      <c r="B14" s="12"/>
      <c r="C14" s="12"/>
      <c r="D14" s="12"/>
      <c r="G14" s="18"/>
      <c r="H14" s="3" t="s">
        <v>109</v>
      </c>
      <c r="I14" s="23">
        <f>B42-B56</f>
        <v>-18577</v>
      </c>
      <c r="J14" s="23">
        <f t="shared" ref="J14:K14" si="9">C42-C56</f>
        <v>9355</v>
      </c>
      <c r="K14" s="23">
        <f t="shared" si="9"/>
        <v>38321</v>
      </c>
      <c r="M14" s="25"/>
    </row>
    <row r="15" spans="1:14" x14ac:dyDescent="0.3">
      <c r="A15" s="1" t="s">
        <v>11</v>
      </c>
      <c r="B15" s="12">
        <v>26251</v>
      </c>
      <c r="C15" s="12">
        <v>21914</v>
      </c>
      <c r="D15" s="12">
        <v>18752</v>
      </c>
    </row>
    <row r="16" spans="1:14" x14ac:dyDescent="0.3">
      <c r="A16" s="1" t="s">
        <v>12</v>
      </c>
      <c r="B16" s="12">
        <v>25094</v>
      </c>
      <c r="C16" s="12">
        <v>21973</v>
      </c>
      <c r="D16" s="12">
        <v>19916</v>
      </c>
      <c r="M16" s="27"/>
    </row>
    <row r="17" spans="1:13" x14ac:dyDescent="0.3">
      <c r="A17" s="8" t="s">
        <v>13</v>
      </c>
      <c r="B17" s="13">
        <f>+B15+B16</f>
        <v>51345</v>
      </c>
      <c r="C17" s="13">
        <f t="shared" ref="C17" si="10">+C15+C16</f>
        <v>43887</v>
      </c>
      <c r="D17" s="13">
        <f t="shared" ref="D17" si="11">+D15+D16</f>
        <v>38668</v>
      </c>
      <c r="G17" s="18">
        <f>+G5+1</f>
        <v>2.1</v>
      </c>
      <c r="H17" s="17" t="s">
        <v>110</v>
      </c>
    </row>
    <row r="18" spans="1:13" s="7" customFormat="1" x14ac:dyDescent="0.3">
      <c r="A18" s="8" t="s">
        <v>14</v>
      </c>
      <c r="B18" s="13">
        <f>+B13-B17</f>
        <v>119437</v>
      </c>
      <c r="C18" s="13">
        <f t="shared" ref="C18:D18" si="12">+C13-C17</f>
        <v>108949</v>
      </c>
      <c r="D18" s="13">
        <f t="shared" si="12"/>
        <v>66288</v>
      </c>
      <c r="G18" s="18">
        <f>+G17+0.1</f>
        <v>2.2000000000000002</v>
      </c>
      <c r="H18" s="1" t="s">
        <v>9</v>
      </c>
      <c r="I18" s="28">
        <f>B13/B8*100</f>
        <v>43.309630561360088</v>
      </c>
      <c r="J18" s="28">
        <f t="shared" ref="J18:K18" si="13">C13/C8*100</f>
        <v>41.779359625167778</v>
      </c>
      <c r="K18" s="28">
        <f t="shared" si="13"/>
        <v>38.233247727810863</v>
      </c>
      <c r="L18" t="s">
        <v>153</v>
      </c>
    </row>
    <row r="19" spans="1:13" x14ac:dyDescent="0.3">
      <c r="A19" t="s">
        <v>15</v>
      </c>
      <c r="B19" s="12">
        <v>-334</v>
      </c>
      <c r="C19" s="12">
        <v>258</v>
      </c>
      <c r="D19" s="12">
        <v>803</v>
      </c>
      <c r="G19" s="18">
        <f>+G18+0.1</f>
        <v>2.3000000000000003</v>
      </c>
      <c r="H19" s="1" t="s">
        <v>111</v>
      </c>
      <c r="I19" s="26">
        <f>I20/B8</f>
        <v>0.3310467428130896</v>
      </c>
      <c r="J19" s="26">
        <f>J20/C8</f>
        <v>0.32866979938056462</v>
      </c>
      <c r="K19" s="26">
        <f>K20/D8</f>
        <v>0.2817478097736007</v>
      </c>
    </row>
    <row r="20" spans="1:13" x14ac:dyDescent="0.3">
      <c r="A20" s="8" t="s">
        <v>16</v>
      </c>
      <c r="B20" s="13">
        <f>+B18+B19</f>
        <v>119103</v>
      </c>
      <c r="C20" s="13">
        <f t="shared" ref="C20:D20" si="14">+C18+C19</f>
        <v>109207</v>
      </c>
      <c r="D20" s="13">
        <f t="shared" si="14"/>
        <v>67091</v>
      </c>
      <c r="G20" s="18"/>
      <c r="H20" s="3" t="s">
        <v>112</v>
      </c>
      <c r="I20" s="26">
        <f>B18+B79</f>
        <v>130541</v>
      </c>
      <c r="J20" s="23">
        <f>C18+C79</f>
        <v>120233</v>
      </c>
      <c r="K20" s="23">
        <f>D18+D79</f>
        <v>77344</v>
      </c>
    </row>
    <row r="21" spans="1:13" x14ac:dyDescent="0.3">
      <c r="A21" t="s">
        <v>17</v>
      </c>
      <c r="B21" s="12">
        <v>19300</v>
      </c>
      <c r="C21" s="12">
        <v>14527</v>
      </c>
      <c r="D21" s="12">
        <v>9680</v>
      </c>
      <c r="G21" s="18">
        <f>+G19+0.1</f>
        <v>2.4000000000000004</v>
      </c>
      <c r="H21" s="1" t="s">
        <v>113</v>
      </c>
      <c r="I21" s="24">
        <f>I22/B8</f>
        <v>0.30288744395528594</v>
      </c>
      <c r="J21" s="24">
        <f>J22/C8</f>
        <v>0.29782377527561593</v>
      </c>
      <c r="K21" s="24">
        <f t="shared" ref="K21" si="15">K22/D8</f>
        <v>0.24147314354406862</v>
      </c>
    </row>
    <row r="22" spans="1:13" ht="15" thickBot="1" x14ac:dyDescent="0.35">
      <c r="A22" s="9" t="s">
        <v>18</v>
      </c>
      <c r="B22" s="14">
        <f>+B20-B21</f>
        <v>99803</v>
      </c>
      <c r="C22" s="14">
        <f t="shared" ref="C22:D22" si="16">+C20-C21</f>
        <v>94680</v>
      </c>
      <c r="D22" s="14">
        <f t="shared" si="16"/>
        <v>57411</v>
      </c>
      <c r="G22" s="18"/>
      <c r="H22" s="3" t="s">
        <v>114</v>
      </c>
      <c r="I22" s="23">
        <f>B18</f>
        <v>119437</v>
      </c>
      <c r="J22" s="23">
        <f t="shared" ref="J22:K22" si="17">C18</f>
        <v>108949</v>
      </c>
      <c r="K22" s="23">
        <f t="shared" si="17"/>
        <v>66288</v>
      </c>
      <c r="M22" s="23"/>
    </row>
    <row r="23" spans="1:13" ht="15" thickTop="1" x14ac:dyDescent="0.3">
      <c r="A23" t="s">
        <v>19</v>
      </c>
      <c r="G23" s="18">
        <f>+G21+0.1</f>
        <v>2.5000000000000004</v>
      </c>
      <c r="H23" s="1" t="s">
        <v>115</v>
      </c>
      <c r="I23" s="26">
        <f>B22/B8*100</f>
        <v>25.309640705199733</v>
      </c>
      <c r="J23" s="26">
        <f t="shared" ref="J23:K23" si="18">C22/C8*100</f>
        <v>25.881793355694239</v>
      </c>
      <c r="K23" s="26">
        <f t="shared" si="18"/>
        <v>20.913611278072235</v>
      </c>
      <c r="M23" s="23"/>
    </row>
    <row r="24" spans="1:13" x14ac:dyDescent="0.3">
      <c r="A24" s="1" t="s">
        <v>20</v>
      </c>
      <c r="B24" s="10">
        <v>6.15</v>
      </c>
      <c r="C24" s="10">
        <v>5.67</v>
      </c>
      <c r="D24" s="10">
        <v>3.31</v>
      </c>
      <c r="L24" s="29"/>
      <c r="M24" s="27"/>
    </row>
    <row r="25" spans="1:13" x14ac:dyDescent="0.3">
      <c r="A25" s="1" t="s">
        <v>21</v>
      </c>
      <c r="B25" s="10">
        <v>6.11</v>
      </c>
      <c r="C25" s="10">
        <v>5.61</v>
      </c>
      <c r="D25" s="10">
        <v>3.28</v>
      </c>
      <c r="G25" s="18">
        <f>+G17+1</f>
        <v>3.1</v>
      </c>
      <c r="H25" s="7" t="s">
        <v>116</v>
      </c>
    </row>
    <row r="26" spans="1:13" x14ac:dyDescent="0.3">
      <c r="A26" t="s">
        <v>22</v>
      </c>
      <c r="G26" s="18">
        <f>+G25+0.1</f>
        <v>3.2</v>
      </c>
      <c r="H26" s="1" t="s">
        <v>117</v>
      </c>
      <c r="I26" s="26">
        <f>B62/B68</f>
        <v>5.9615369434796337</v>
      </c>
      <c r="J26" s="26">
        <f t="shared" ref="J26:K26" si="19">C62/C68</f>
        <v>4.5635124425423994</v>
      </c>
      <c r="K26" s="26">
        <f t="shared" si="19"/>
        <v>3.9570394404566951</v>
      </c>
      <c r="L26" t="s">
        <v>154</v>
      </c>
      <c r="M26" s="27"/>
    </row>
    <row r="27" spans="1:13" x14ac:dyDescent="0.3">
      <c r="A27" s="1" t="s">
        <v>20</v>
      </c>
      <c r="B27" s="2">
        <v>16215963</v>
      </c>
      <c r="C27" s="2">
        <v>16701272</v>
      </c>
      <c r="D27" s="2">
        <v>17352119</v>
      </c>
      <c r="G27" s="18">
        <f t="shared" ref="G27:G31" si="20">+G26+0.1</f>
        <v>3.3000000000000003</v>
      </c>
      <c r="H27" s="1" t="s">
        <v>118</v>
      </c>
      <c r="I27" s="26">
        <f>B62/B48</f>
        <v>0.85635355983614692</v>
      </c>
      <c r="J27" s="26">
        <f t="shared" ref="J27:K27" si="21">C62/C48</f>
        <v>0.82025743443057308</v>
      </c>
      <c r="K27" s="26">
        <f t="shared" si="21"/>
        <v>0.79826668477992391</v>
      </c>
      <c r="L27" t="s">
        <v>155</v>
      </c>
    </row>
    <row r="28" spans="1:13" x14ac:dyDescent="0.3">
      <c r="A28" s="1" t="s">
        <v>21</v>
      </c>
      <c r="B28" s="2">
        <v>16325819</v>
      </c>
      <c r="C28" s="2">
        <v>16864919</v>
      </c>
      <c r="D28" s="2">
        <v>17528214</v>
      </c>
      <c r="G28" s="18">
        <f t="shared" si="20"/>
        <v>3.4000000000000004</v>
      </c>
      <c r="H28" s="1" t="s">
        <v>119</v>
      </c>
      <c r="I28" s="26">
        <f>B61/B68</f>
        <v>2.9227383959583202</v>
      </c>
      <c r="J28" s="26">
        <f t="shared" ref="J28:K28" si="22">C61/C68</f>
        <v>2.5745918529085432</v>
      </c>
      <c r="K28" s="26">
        <f t="shared" si="22"/>
        <v>2.3440364866312615</v>
      </c>
      <c r="L28" t="s">
        <v>156</v>
      </c>
      <c r="M28" s="27"/>
    </row>
    <row r="29" spans="1:13" x14ac:dyDescent="0.3">
      <c r="G29" s="18">
        <f t="shared" si="20"/>
        <v>3.5000000000000004</v>
      </c>
      <c r="H29" s="1" t="s">
        <v>120</v>
      </c>
      <c r="I29" s="27">
        <f>I22/2931</f>
        <v>40.749573524394407</v>
      </c>
      <c r="J29" s="27">
        <f>J22/2645</f>
        <v>41.190548204158787</v>
      </c>
      <c r="K29" s="27">
        <f>K22/2873</f>
        <v>23.072746258266619</v>
      </c>
      <c r="L29" t="s">
        <v>163</v>
      </c>
      <c r="M29" s="23"/>
    </row>
    <row r="30" spans="1:13" x14ac:dyDescent="0.3">
      <c r="G30" s="18">
        <f t="shared" si="20"/>
        <v>3.6000000000000005</v>
      </c>
      <c r="H30" s="1" t="s">
        <v>121</v>
      </c>
      <c r="I30" s="26">
        <f>B18/B56</f>
        <v>0.7756555961086361</v>
      </c>
      <c r="J30" s="26">
        <f t="shared" ref="J30:K30" si="23">C18/C56</f>
        <v>0.86825097026641485</v>
      </c>
      <c r="K30" s="26">
        <f t="shared" si="23"/>
        <v>0.6289661454379839</v>
      </c>
      <c r="L30" t="s">
        <v>157</v>
      </c>
    </row>
    <row r="31" spans="1:13" x14ac:dyDescent="0.3">
      <c r="A31" s="31" t="s">
        <v>24</v>
      </c>
      <c r="B31" s="31"/>
      <c r="C31" s="31"/>
      <c r="D31" s="31"/>
      <c r="G31" s="18">
        <f t="shared" si="20"/>
        <v>3.7000000000000006</v>
      </c>
      <c r="H31" s="1" t="s">
        <v>122</v>
      </c>
      <c r="L31" t="s">
        <v>159</v>
      </c>
      <c r="M31" s="25"/>
    </row>
    <row r="32" spans="1:13" x14ac:dyDescent="0.3">
      <c r="B32" s="30" t="s">
        <v>142</v>
      </c>
      <c r="C32" s="30"/>
      <c r="D32" s="30"/>
      <c r="G32" s="18"/>
      <c r="H32" s="3" t="s">
        <v>123</v>
      </c>
      <c r="L32" t="s">
        <v>158</v>
      </c>
    </row>
    <row r="33" spans="1:14" x14ac:dyDescent="0.3">
      <c r="B33" s="7">
        <f>+B4</f>
        <v>2022</v>
      </c>
      <c r="C33" s="7">
        <f t="shared" ref="C33:D33" si="24">+C4</f>
        <v>2021</v>
      </c>
      <c r="D33" s="7">
        <f t="shared" si="24"/>
        <v>2020</v>
      </c>
      <c r="L33" s="27"/>
      <c r="M33" s="2"/>
      <c r="N33" s="27"/>
    </row>
    <row r="34" spans="1:14" x14ac:dyDescent="0.3">
      <c r="G34" s="18">
        <f>+G25+1</f>
        <v>4.0999999999999996</v>
      </c>
      <c r="H34" s="17" t="s">
        <v>124</v>
      </c>
      <c r="L34" s="23"/>
      <c r="M34" s="23"/>
      <c r="N34" s="27"/>
    </row>
    <row r="35" spans="1:14" x14ac:dyDescent="0.3">
      <c r="A35" t="s">
        <v>25</v>
      </c>
      <c r="G35" s="18">
        <f>+G34+0.1</f>
        <v>4.1999999999999993</v>
      </c>
      <c r="H35" s="1" t="s">
        <v>125</v>
      </c>
      <c r="I35" s="26">
        <f>B8/AVERAGE(B42:C42)</f>
        <v>2.918343256574687</v>
      </c>
      <c r="J35" s="26">
        <f>C8/AVERAGE(C42:D42)</f>
        <v>2.6265899357025155</v>
      </c>
      <c r="K35" s="26">
        <f>D8/AVERAGE(D42:E42)</f>
        <v>1.9101612241063788</v>
      </c>
    </row>
    <row r="36" spans="1:14" x14ac:dyDescent="0.3">
      <c r="A36" s="1" t="s">
        <v>26</v>
      </c>
      <c r="B36" s="12">
        <v>23646</v>
      </c>
      <c r="C36" s="12">
        <v>34940</v>
      </c>
      <c r="D36" s="12">
        <v>38016</v>
      </c>
      <c r="G36" s="18">
        <f t="shared" ref="G36:G38" si="25">+G35+0.1</f>
        <v>4.2999999999999989</v>
      </c>
      <c r="H36" s="1" t="s">
        <v>126</v>
      </c>
      <c r="I36" s="26">
        <f>B8/AVERAGE(B45:C45)</f>
        <v>9.6699976703409884</v>
      </c>
      <c r="J36" s="26">
        <f t="shared" ref="J36:K36" si="26">C8/AVERAGE(C45:D45)</f>
        <v>9.6007400992047867</v>
      </c>
      <c r="K36" s="26">
        <f t="shared" si="26"/>
        <v>7.4665451776097482</v>
      </c>
    </row>
    <row r="37" spans="1:14" x14ac:dyDescent="0.3">
      <c r="A37" s="1" t="s">
        <v>27</v>
      </c>
      <c r="B37" s="12">
        <v>24658</v>
      </c>
      <c r="C37" s="12">
        <v>27699</v>
      </c>
      <c r="D37" s="12">
        <v>52927</v>
      </c>
      <c r="G37" s="18">
        <f t="shared" si="25"/>
        <v>4.3999999999999986</v>
      </c>
      <c r="H37" s="1" t="s">
        <v>127</v>
      </c>
      <c r="I37" s="26">
        <f>B12/AVERAGE(B39:C39)</f>
        <v>38.789866389033492</v>
      </c>
      <c r="J37" s="26">
        <f t="shared" ref="J37:K37" si="27">C12/AVERAGE(C39:D39)</f>
        <v>40.030260313880277</v>
      </c>
      <c r="K37" s="26">
        <f t="shared" si="27"/>
        <v>41.753016498399411</v>
      </c>
      <c r="L37" s="27"/>
      <c r="M37" s="27"/>
    </row>
    <row r="38" spans="1:14" x14ac:dyDescent="0.3">
      <c r="A38" s="1" t="s">
        <v>28</v>
      </c>
      <c r="B38" s="12">
        <v>28184</v>
      </c>
      <c r="C38" s="12">
        <v>26278</v>
      </c>
      <c r="D38" s="12">
        <v>16120</v>
      </c>
      <c r="G38" s="18">
        <f t="shared" si="25"/>
        <v>4.4999999999999982</v>
      </c>
      <c r="H38" s="1" t="s">
        <v>128</v>
      </c>
      <c r="I38" s="26">
        <f>B22/AVERAGE(B48:C48)*100</f>
        <v>28.362915040276686</v>
      </c>
      <c r="J38" s="26">
        <f t="shared" ref="J38:K38" si="28">C22/AVERAGE(C48:D48)*100</f>
        <v>28.057905732786082</v>
      </c>
      <c r="K38" s="26">
        <f t="shared" si="28"/>
        <v>17.725571802598431</v>
      </c>
      <c r="L38" t="s">
        <v>164</v>
      </c>
      <c r="M38" s="27"/>
    </row>
    <row r="39" spans="1:14" x14ac:dyDescent="0.3">
      <c r="A39" s="1" t="s">
        <v>29</v>
      </c>
      <c r="B39" s="12">
        <v>4946</v>
      </c>
      <c r="C39" s="12">
        <v>6580</v>
      </c>
      <c r="D39" s="12">
        <v>4061</v>
      </c>
    </row>
    <row r="40" spans="1:14" x14ac:dyDescent="0.3">
      <c r="A40" s="1" t="s">
        <v>47</v>
      </c>
      <c r="B40" s="12">
        <v>32748</v>
      </c>
      <c r="C40" s="12">
        <v>25228</v>
      </c>
      <c r="D40" s="12">
        <v>21325</v>
      </c>
      <c r="G40" s="18">
        <f>+G34+1</f>
        <v>5.0999999999999996</v>
      </c>
      <c r="H40" s="17" t="s">
        <v>129</v>
      </c>
    </row>
    <row r="41" spans="1:14" x14ac:dyDescent="0.3">
      <c r="A41" s="1" t="s">
        <v>30</v>
      </c>
      <c r="B41" s="12">
        <v>21223</v>
      </c>
      <c r="C41" s="12">
        <v>14111</v>
      </c>
      <c r="D41" s="12">
        <v>11264</v>
      </c>
      <c r="G41" s="18">
        <f>+G40+0.1</f>
        <v>5.1999999999999993</v>
      </c>
      <c r="H41" s="1" t="s">
        <v>130</v>
      </c>
      <c r="I41" s="27">
        <f>177.78/I42</f>
        <v>28.883928338827488</v>
      </c>
      <c r="J41" s="27">
        <f>139.2/J42</f>
        <v>24.55406844106464</v>
      </c>
      <c r="K41" s="27">
        <f>93.5162/K42</f>
        <v>28.264498134503842</v>
      </c>
    </row>
    <row r="42" spans="1:14" x14ac:dyDescent="0.3">
      <c r="A42" s="8" t="s">
        <v>31</v>
      </c>
      <c r="B42" s="13">
        <f>+SUM(B36:B41)</f>
        <v>135405</v>
      </c>
      <c r="C42" s="13">
        <f t="shared" ref="C42:D42" si="29">+SUM(C36:C41)</f>
        <v>134836</v>
      </c>
      <c r="D42" s="13">
        <f t="shared" si="29"/>
        <v>143713</v>
      </c>
      <c r="G42" s="18">
        <f t="shared" ref="G42:G45" si="30">+G41+0.1</f>
        <v>5.2999999999999989</v>
      </c>
      <c r="H42" s="3" t="s">
        <v>131</v>
      </c>
      <c r="I42" s="27">
        <f>B22/16215</f>
        <v>6.154979956830096</v>
      </c>
      <c r="J42" s="27">
        <f>C22/16701</f>
        <v>5.6691216094844616</v>
      </c>
      <c r="K42" s="27">
        <f>D22/17352</f>
        <v>3.3086099585062239</v>
      </c>
      <c r="L42" s="23" t="s">
        <v>165</v>
      </c>
    </row>
    <row r="43" spans="1:14" x14ac:dyDescent="0.3">
      <c r="A43" t="s">
        <v>48</v>
      </c>
      <c r="B43" s="12"/>
      <c r="C43" s="12"/>
      <c r="D43" s="12"/>
      <c r="G43" s="18">
        <f t="shared" si="30"/>
        <v>5.3999999999999986</v>
      </c>
      <c r="H43" s="1" t="s">
        <v>132</v>
      </c>
      <c r="I43" s="27">
        <v>56.62</v>
      </c>
      <c r="J43">
        <v>36.840000000000003</v>
      </c>
      <c r="K43">
        <v>24.83</v>
      </c>
    </row>
    <row r="44" spans="1:14" x14ac:dyDescent="0.3">
      <c r="A44" s="1" t="s">
        <v>27</v>
      </c>
      <c r="B44" s="12">
        <v>120805</v>
      </c>
      <c r="C44" s="12">
        <v>127877</v>
      </c>
      <c r="D44" s="12">
        <v>100887</v>
      </c>
      <c r="G44" s="18">
        <f t="shared" si="30"/>
        <v>5.4999999999999982</v>
      </c>
      <c r="H44" s="3" t="s">
        <v>133</v>
      </c>
      <c r="I44" s="26">
        <f>50.67/16.21</f>
        <v>3.1258482418260334</v>
      </c>
      <c r="J44" s="26">
        <f>63.09/16.7</f>
        <v>3.7778443113772457</v>
      </c>
      <c r="K44" s="26">
        <f>65.33/17.35</f>
        <v>3.7654178674351582</v>
      </c>
      <c r="L44" t="s">
        <v>166</v>
      </c>
    </row>
    <row r="45" spans="1:14" x14ac:dyDescent="0.3">
      <c r="A45" s="1" t="s">
        <v>32</v>
      </c>
      <c r="B45" s="12">
        <v>42117</v>
      </c>
      <c r="C45" s="12">
        <v>39440</v>
      </c>
      <c r="D45" s="12">
        <v>36766</v>
      </c>
      <c r="G45" s="18">
        <f t="shared" si="30"/>
        <v>5.5999999999999979</v>
      </c>
      <c r="H45" s="1" t="s">
        <v>134</v>
      </c>
      <c r="I45">
        <f>B102/B22*100</f>
        <v>-14.870294480125848</v>
      </c>
      <c r="J45">
        <f t="shared" ref="J45:K45" si="31">C102/C22*100</f>
        <v>-15.279890156316011</v>
      </c>
      <c r="K45">
        <f t="shared" si="31"/>
        <v>-24.526658654264864</v>
      </c>
    </row>
    <row r="46" spans="1:14" x14ac:dyDescent="0.3">
      <c r="A46" s="1" t="s">
        <v>49</v>
      </c>
      <c r="B46" s="12">
        <v>54428</v>
      </c>
      <c r="C46" s="12">
        <v>48849</v>
      </c>
      <c r="D46" s="12">
        <v>42522</v>
      </c>
      <c r="G46" s="18"/>
      <c r="H46" s="3" t="s">
        <v>135</v>
      </c>
      <c r="I46" s="27">
        <f>B102/16215</f>
        <v>-0.91526364477335798</v>
      </c>
      <c r="J46" s="27">
        <f>C102/16701</f>
        <v>-0.86623555475720015</v>
      </c>
      <c r="K46" s="27">
        <f>D102/17352</f>
        <v>-0.81149147072383587</v>
      </c>
      <c r="L46" s="26" t="s">
        <v>167</v>
      </c>
    </row>
    <row r="47" spans="1:14" x14ac:dyDescent="0.3">
      <c r="A47" s="8" t="s">
        <v>50</v>
      </c>
      <c r="B47" s="13">
        <f>+SUM(B44:B46)</f>
        <v>217350</v>
      </c>
      <c r="C47" s="13">
        <f t="shared" ref="C47:D47" si="32">+SUM(C44:C46)</f>
        <v>216166</v>
      </c>
      <c r="D47" s="13">
        <f t="shared" si="32"/>
        <v>180175</v>
      </c>
      <c r="G47" s="18">
        <f>+G45+0.1</f>
        <v>5.6999999999999975</v>
      </c>
      <c r="H47" s="1" t="s">
        <v>136</v>
      </c>
      <c r="I47" s="27"/>
      <c r="L47" t="s">
        <v>160</v>
      </c>
    </row>
    <row r="48" spans="1:14" ht="15" thickBot="1" x14ac:dyDescent="0.35">
      <c r="A48" s="9" t="s">
        <v>33</v>
      </c>
      <c r="B48" s="14">
        <f>+B42+B47</f>
        <v>352755</v>
      </c>
      <c r="C48" s="14">
        <f t="shared" ref="C48:D48" si="33">+C42+C47</f>
        <v>351002</v>
      </c>
      <c r="D48" s="14">
        <f t="shared" si="33"/>
        <v>323888</v>
      </c>
      <c r="G48" s="18">
        <f t="shared" ref="G48:G51" si="34">+G46+0.1</f>
        <v>0.1</v>
      </c>
      <c r="H48" s="1" t="s">
        <v>137</v>
      </c>
      <c r="I48" s="26">
        <f>B22/B68</f>
        <v>1.9695887275023682</v>
      </c>
      <c r="J48" s="26">
        <f t="shared" ref="J48:K48" si="35">C22/C68</f>
        <v>1.5007132667617689</v>
      </c>
      <c r="K48" s="26">
        <f t="shared" si="35"/>
        <v>0.87866358530127486</v>
      </c>
    </row>
    <row r="49" spans="1:13" ht="15" thickTop="1" x14ac:dyDescent="0.3">
      <c r="G49" s="18">
        <f t="shared" si="34"/>
        <v>5.7999999999999972</v>
      </c>
      <c r="H49" s="1" t="s">
        <v>138</v>
      </c>
      <c r="I49" s="27">
        <f>I22/198773</f>
        <v>0.60087134570590572</v>
      </c>
      <c r="J49" s="27">
        <f>J22/25521</f>
        <v>4.2689941616707809</v>
      </c>
      <c r="K49" s="27">
        <f>K22/218496</f>
        <v>0.30338312829525482</v>
      </c>
      <c r="L49" t="s">
        <v>161</v>
      </c>
    </row>
    <row r="50" spans="1:13" x14ac:dyDescent="0.3">
      <c r="A50" t="s">
        <v>34</v>
      </c>
      <c r="G50" s="18">
        <f t="shared" si="34"/>
        <v>0.2</v>
      </c>
      <c r="H50" s="1" t="s">
        <v>128</v>
      </c>
      <c r="I50" s="26">
        <f>B22/AVERAGE(B48:C48)*100</f>
        <v>28.362915040276686</v>
      </c>
      <c r="J50" s="26">
        <f t="shared" ref="J50:K50" si="36">C22/AVERAGE(C48:D48)*100</f>
        <v>28.057905732786082</v>
      </c>
      <c r="K50" s="26">
        <f t="shared" si="36"/>
        <v>17.725571802598431</v>
      </c>
      <c r="L50" s="23"/>
      <c r="M50" s="27"/>
    </row>
    <row r="51" spans="1:13" x14ac:dyDescent="0.3">
      <c r="A51" s="1" t="s">
        <v>35</v>
      </c>
      <c r="B51" s="12">
        <v>64115</v>
      </c>
      <c r="C51" s="12">
        <v>54763</v>
      </c>
      <c r="D51" s="12">
        <v>42296</v>
      </c>
      <c r="G51" s="18">
        <f t="shared" si="34"/>
        <v>5.8999999999999968</v>
      </c>
      <c r="H51" s="1" t="s">
        <v>139</v>
      </c>
      <c r="I51">
        <f>I52/I20</f>
        <v>2.5109199408614917</v>
      </c>
      <c r="J51">
        <f>J52/J20</f>
        <v>2.6205201566957492</v>
      </c>
      <c r="K51">
        <f>K52/K20</f>
        <v>3.6731873189904842</v>
      </c>
    </row>
    <row r="52" spans="1:13" x14ac:dyDescent="0.3">
      <c r="A52" s="1" t="s">
        <v>36</v>
      </c>
      <c r="B52" s="12">
        <v>60845</v>
      </c>
      <c r="C52" s="12">
        <v>47493</v>
      </c>
      <c r="D52" s="12">
        <v>42684</v>
      </c>
      <c r="G52" s="18"/>
      <c r="H52" s="3" t="s">
        <v>140</v>
      </c>
      <c r="I52" s="23">
        <f>I53-B110+B62</f>
        <v>327778</v>
      </c>
      <c r="J52" s="23">
        <f>J53-C110+C62</f>
        <v>315073</v>
      </c>
      <c r="K52" s="23">
        <f>K53-D110+D62</f>
        <v>284099</v>
      </c>
      <c r="L52" t="s">
        <v>162</v>
      </c>
    </row>
    <row r="53" spans="1:13" x14ac:dyDescent="0.3">
      <c r="A53" s="1" t="s">
        <v>37</v>
      </c>
      <c r="B53" s="12">
        <v>7912</v>
      </c>
      <c r="C53" s="12">
        <v>7612</v>
      </c>
      <c r="D53" s="12">
        <v>6643</v>
      </c>
      <c r="H53" s="1" t="s">
        <v>150</v>
      </c>
      <c r="I53" s="23">
        <f>B48-B62</f>
        <v>50672</v>
      </c>
      <c r="J53" s="23">
        <f t="shared" ref="J53:K53" si="37">C48-C62</f>
        <v>63090</v>
      </c>
      <c r="K53" s="23">
        <f t="shared" si="37"/>
        <v>65339</v>
      </c>
      <c r="M53" s="27"/>
    </row>
    <row r="54" spans="1:13" x14ac:dyDescent="0.3">
      <c r="A54" s="1" t="s">
        <v>38</v>
      </c>
      <c r="B54" s="12">
        <v>9982</v>
      </c>
      <c r="C54" s="12">
        <v>6000</v>
      </c>
      <c r="D54" s="12">
        <v>4996</v>
      </c>
      <c r="L54" s="23"/>
      <c r="M54" s="26"/>
    </row>
    <row r="55" spans="1:13" x14ac:dyDescent="0.3">
      <c r="A55" s="1" t="s">
        <v>39</v>
      </c>
      <c r="B55" s="12">
        <v>11128</v>
      </c>
      <c r="C55" s="12">
        <v>9613</v>
      </c>
      <c r="D55" s="12">
        <v>8773</v>
      </c>
    </row>
    <row r="56" spans="1:13" x14ac:dyDescent="0.3">
      <c r="A56" s="8" t="s">
        <v>40</v>
      </c>
      <c r="B56" s="13">
        <f>+SUM(B51:B55)</f>
        <v>153982</v>
      </c>
      <c r="C56" s="13">
        <f t="shared" ref="C56:D56" si="38">+SUM(C51:C55)</f>
        <v>125481</v>
      </c>
      <c r="D56" s="13">
        <f t="shared" si="38"/>
        <v>105392</v>
      </c>
    </row>
    <row r="57" spans="1:13" x14ac:dyDescent="0.3">
      <c r="A57" t="s">
        <v>51</v>
      </c>
      <c r="B57" s="12"/>
      <c r="C57" s="12"/>
      <c r="D57" s="12"/>
      <c r="H57" s="23"/>
      <c r="I57" s="23"/>
      <c r="J57" s="23"/>
    </row>
    <row r="58" spans="1:13" x14ac:dyDescent="0.3">
      <c r="A58" s="1" t="s">
        <v>37</v>
      </c>
      <c r="B58" s="12"/>
      <c r="C58" s="12"/>
      <c r="D58" s="12"/>
    </row>
    <row r="59" spans="1:13" x14ac:dyDescent="0.3">
      <c r="A59" s="1" t="s">
        <v>39</v>
      </c>
      <c r="B59" s="12">
        <v>98959</v>
      </c>
      <c r="C59" s="12">
        <v>109106</v>
      </c>
      <c r="D59" s="12">
        <v>98667</v>
      </c>
    </row>
    <row r="60" spans="1:13" x14ac:dyDescent="0.3">
      <c r="A60" s="1" t="s">
        <v>52</v>
      </c>
      <c r="B60" s="12">
        <v>49142</v>
      </c>
      <c r="C60" s="12">
        <v>53325</v>
      </c>
      <c r="D60" s="12">
        <v>54490</v>
      </c>
      <c r="I60" s="23"/>
      <c r="J60" s="23"/>
    </row>
    <row r="61" spans="1:13" x14ac:dyDescent="0.3">
      <c r="A61" s="22" t="s">
        <v>53</v>
      </c>
      <c r="B61" s="21">
        <f>+B59+B60</f>
        <v>148101</v>
      </c>
      <c r="C61" s="21">
        <f t="shared" ref="C61:D61" si="39">+C59+C60</f>
        <v>162431</v>
      </c>
      <c r="D61" s="21">
        <f t="shared" si="39"/>
        <v>153157</v>
      </c>
    </row>
    <row r="62" spans="1:13" x14ac:dyDescent="0.3">
      <c r="A62" s="8" t="s">
        <v>41</v>
      </c>
      <c r="B62" s="13">
        <f>+B56+B61</f>
        <v>302083</v>
      </c>
      <c r="C62" s="13">
        <f t="shared" ref="C62:D62" si="40">+C56+C61</f>
        <v>287912</v>
      </c>
      <c r="D62" s="13">
        <f t="shared" si="40"/>
        <v>258549</v>
      </c>
    </row>
    <row r="63" spans="1:13" x14ac:dyDescent="0.3">
      <c r="B63" s="12"/>
      <c r="C63" s="12"/>
      <c r="D63" s="12"/>
    </row>
    <row r="64" spans="1:13" x14ac:dyDescent="0.3">
      <c r="A64" t="s">
        <v>42</v>
      </c>
      <c r="B64" s="12"/>
      <c r="C64" s="12"/>
      <c r="D64" s="12"/>
    </row>
    <row r="65" spans="1:4" x14ac:dyDescent="0.3">
      <c r="A65" s="1" t="s">
        <v>54</v>
      </c>
      <c r="B65" s="12">
        <v>64849</v>
      </c>
      <c r="C65" s="12">
        <v>57365</v>
      </c>
      <c r="D65" s="12">
        <v>50779</v>
      </c>
    </row>
    <row r="66" spans="1:4" x14ac:dyDescent="0.3">
      <c r="A66" s="1" t="s">
        <v>43</v>
      </c>
      <c r="B66" s="12">
        <v>-3068</v>
      </c>
      <c r="C66" s="12">
        <v>5562</v>
      </c>
      <c r="D66" s="12">
        <v>14966</v>
      </c>
    </row>
    <row r="67" spans="1:4" x14ac:dyDescent="0.3">
      <c r="A67" s="1" t="s">
        <v>44</v>
      </c>
      <c r="B67" s="12">
        <v>-11109</v>
      </c>
      <c r="C67" s="12">
        <v>163</v>
      </c>
      <c r="D67" s="12">
        <v>-406</v>
      </c>
    </row>
    <row r="68" spans="1:4" x14ac:dyDescent="0.3">
      <c r="A68" s="8" t="s">
        <v>45</v>
      </c>
      <c r="B68" s="13">
        <f>+SUM(B65:B67)</f>
        <v>50672</v>
      </c>
      <c r="C68" s="13">
        <f t="shared" ref="C68:D68" si="41">+SUM(C65:C67)</f>
        <v>63090</v>
      </c>
      <c r="D68" s="13">
        <f t="shared" si="41"/>
        <v>65339</v>
      </c>
    </row>
    <row r="69" spans="1:4" ht="15" thickBot="1" x14ac:dyDescent="0.35">
      <c r="A69" s="9" t="s">
        <v>46</v>
      </c>
      <c r="B69" s="14">
        <f>+B68+B62</f>
        <v>352755</v>
      </c>
      <c r="C69" s="14">
        <f t="shared" ref="C69:D69" si="42">+C68+C62</f>
        <v>351002</v>
      </c>
      <c r="D69" s="14">
        <f t="shared" si="42"/>
        <v>323888</v>
      </c>
    </row>
    <row r="70" spans="1:4" ht="15" thickTop="1" x14ac:dyDescent="0.3"/>
    <row r="71" spans="1:4" x14ac:dyDescent="0.3">
      <c r="A71" s="31" t="s">
        <v>55</v>
      </c>
      <c r="B71" s="31"/>
      <c r="C71" s="31"/>
      <c r="D71" s="31"/>
    </row>
    <row r="72" spans="1:4" x14ac:dyDescent="0.3">
      <c r="B72" s="30" t="s">
        <v>23</v>
      </c>
      <c r="C72" s="30"/>
      <c r="D72" s="30"/>
    </row>
    <row r="73" spans="1:4" x14ac:dyDescent="0.3">
      <c r="B73" s="7">
        <f>+B33</f>
        <v>2022</v>
      </c>
      <c r="C73" s="7">
        <f t="shared" ref="C73:D73" si="43">+C33</f>
        <v>2021</v>
      </c>
      <c r="D73" s="7">
        <f t="shared" si="43"/>
        <v>2020</v>
      </c>
    </row>
    <row r="75" spans="1:4" x14ac:dyDescent="0.3">
      <c r="A75" s="7" t="s">
        <v>56</v>
      </c>
      <c r="B75" s="15"/>
      <c r="C75" s="15"/>
      <c r="D75" s="15"/>
    </row>
    <row r="76" spans="1:4" x14ac:dyDescent="0.3">
      <c r="A76" t="s">
        <v>57</v>
      </c>
      <c r="B76" s="12">
        <f>+B22</f>
        <v>99803</v>
      </c>
      <c r="C76" s="12">
        <f t="shared" ref="C76:D76" si="44">+C22</f>
        <v>94680</v>
      </c>
      <c r="D76" s="12">
        <f t="shared" si="44"/>
        <v>57411</v>
      </c>
    </row>
    <row r="77" spans="1:4" x14ac:dyDescent="0.3">
      <c r="A77" s="11" t="s">
        <v>18</v>
      </c>
      <c r="B77" s="15"/>
      <c r="C77" s="15"/>
      <c r="D77" s="15"/>
    </row>
    <row r="78" spans="1:4" x14ac:dyDescent="0.3">
      <c r="A78" s="1" t="s">
        <v>58</v>
      </c>
      <c r="B78" s="12"/>
      <c r="C78" s="12"/>
      <c r="D78" s="12"/>
    </row>
    <row r="79" spans="1:4" x14ac:dyDescent="0.3">
      <c r="A79" s="3" t="s">
        <v>59</v>
      </c>
      <c r="B79" s="12">
        <v>11104</v>
      </c>
      <c r="C79" s="12">
        <v>11284</v>
      </c>
      <c r="D79" s="12">
        <v>11056</v>
      </c>
    </row>
    <row r="80" spans="1:4"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45">+SUM(C76:C90)</f>
        <v>104038</v>
      </c>
      <c r="D91" s="13">
        <f t="shared" si="45"/>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46">+SUM(C93:C98)</f>
        <v>-14545</v>
      </c>
      <c r="D99" s="13">
        <f t="shared" si="46"/>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47">+SUM(C101:C107)</f>
        <v>-93353</v>
      </c>
      <c r="D108" s="13">
        <f t="shared" si="47"/>
        <v>-86820</v>
      </c>
    </row>
    <row r="109" spans="1:4" x14ac:dyDescent="0.3">
      <c r="A109" s="8" t="s">
        <v>78</v>
      </c>
      <c r="B109" s="13">
        <f>+B91+B99+B108</f>
        <v>-10952</v>
      </c>
      <c r="C109" s="13">
        <f t="shared" ref="C109:D109" si="48">+C91+C99+C108</f>
        <v>-3860</v>
      </c>
      <c r="D109" s="13">
        <f t="shared" si="48"/>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19" workbookViewId="0">
      <selection activeCell="D45" sqref="D45"/>
    </sheetView>
  </sheetViews>
  <sheetFormatPr defaultRowHeight="14.4" x14ac:dyDescent="0.3"/>
  <cols>
    <col min="1" max="1" width="4.6640625" customWidth="1"/>
    <col min="2" max="2" width="44.88671875" customWidth="1"/>
  </cols>
  <sheetData>
    <row r="1" spans="1:10" ht="60" customHeight="1" x14ac:dyDescent="0.5">
      <c r="A1" s="6"/>
      <c r="B1" s="20" t="s">
        <v>0</v>
      </c>
      <c r="C1" s="19"/>
      <c r="D1" s="19"/>
      <c r="E1" s="19"/>
      <c r="F1" s="19"/>
      <c r="G1" s="19"/>
      <c r="H1" s="19"/>
      <c r="I1" s="19"/>
      <c r="J1" s="19"/>
    </row>
    <row r="2" spans="1:10" x14ac:dyDescent="0.3">
      <c r="C2" s="30" t="s">
        <v>23</v>
      </c>
      <c r="D2" s="30"/>
      <c r="E2" s="30"/>
    </row>
    <row r="3" spans="1:10" x14ac:dyDescent="0.3">
      <c r="C3" s="7">
        <f>+'Financial Statements'!B4</f>
        <v>2022</v>
      </c>
      <c r="D3" s="7">
        <f>+'Financial Statements'!C4</f>
        <v>2021</v>
      </c>
      <c r="E3" s="7">
        <f>+'Financial Statements'!D4</f>
        <v>2020</v>
      </c>
    </row>
    <row r="4" spans="1:10" x14ac:dyDescent="0.3">
      <c r="A4" s="18">
        <v>1</v>
      </c>
      <c r="B4" s="7" t="s">
        <v>99</v>
      </c>
    </row>
    <row r="5" spans="1:10" x14ac:dyDescent="0.3">
      <c r="A5" s="18">
        <f>+A4+0.1</f>
        <v>1.1000000000000001</v>
      </c>
      <c r="B5" s="1" t="s">
        <v>100</v>
      </c>
    </row>
    <row r="6" spans="1:10" x14ac:dyDescent="0.3">
      <c r="A6" s="18">
        <f t="shared" ref="A6:A13" si="0">+A5+0.1</f>
        <v>1.2000000000000002</v>
      </c>
      <c r="B6" s="1" t="s">
        <v>101</v>
      </c>
    </row>
    <row r="7" spans="1:10" x14ac:dyDescent="0.3">
      <c r="A7" s="18">
        <f t="shared" si="0"/>
        <v>1.3000000000000003</v>
      </c>
      <c r="B7" s="1" t="s">
        <v>102</v>
      </c>
    </row>
    <row r="8" spans="1:10" x14ac:dyDescent="0.3">
      <c r="A8" s="18">
        <f t="shared" si="0"/>
        <v>1.4000000000000004</v>
      </c>
      <c r="B8" s="1" t="s">
        <v>103</v>
      </c>
    </row>
    <row r="9" spans="1:10" x14ac:dyDescent="0.3">
      <c r="A9" s="18">
        <f t="shared" si="0"/>
        <v>1.5000000000000004</v>
      </c>
      <c r="B9" s="1" t="s">
        <v>104</v>
      </c>
    </row>
    <row r="10" spans="1:10" x14ac:dyDescent="0.3">
      <c r="A10" s="18">
        <f t="shared" si="0"/>
        <v>1.6000000000000005</v>
      </c>
      <c r="B10" s="1" t="s">
        <v>105</v>
      </c>
    </row>
    <row r="11" spans="1:10" x14ac:dyDescent="0.3">
      <c r="A11" s="18">
        <f t="shared" si="0"/>
        <v>1.7000000000000006</v>
      </c>
      <c r="B11" s="1" t="s">
        <v>106</v>
      </c>
    </row>
    <row r="12" spans="1:10" x14ac:dyDescent="0.3">
      <c r="A12" s="18">
        <f t="shared" si="0"/>
        <v>1.8000000000000007</v>
      </c>
      <c r="B12" s="1" t="s">
        <v>107</v>
      </c>
    </row>
    <row r="13" spans="1:10" x14ac:dyDescent="0.3">
      <c r="A13" s="18">
        <f t="shared" si="0"/>
        <v>1.9000000000000008</v>
      </c>
      <c r="B13" s="1" t="s">
        <v>108</v>
      </c>
    </row>
    <row r="14" spans="1:10" x14ac:dyDescent="0.3">
      <c r="A14" s="18"/>
      <c r="B14" s="3" t="s">
        <v>109</v>
      </c>
    </row>
    <row r="15" spans="1:10" x14ac:dyDescent="0.3">
      <c r="A15" s="18"/>
    </row>
    <row r="16" spans="1:10" x14ac:dyDescent="0.3">
      <c r="A16" s="18">
        <f>+A4+1</f>
        <v>2</v>
      </c>
      <c r="B16" s="17" t="s">
        <v>110</v>
      </c>
    </row>
    <row r="17" spans="1:2" x14ac:dyDescent="0.3">
      <c r="A17" s="18">
        <f>+A16+0.1</f>
        <v>2.1</v>
      </c>
      <c r="B17" s="1" t="s">
        <v>9</v>
      </c>
    </row>
    <row r="18" spans="1:2" x14ac:dyDescent="0.3">
      <c r="A18" s="18">
        <f>+A17+0.1</f>
        <v>2.2000000000000002</v>
      </c>
      <c r="B18" s="1" t="s">
        <v>111</v>
      </c>
    </row>
    <row r="19" spans="1:2" x14ac:dyDescent="0.3">
      <c r="A19" s="18"/>
      <c r="B19" s="3" t="s">
        <v>112</v>
      </c>
    </row>
    <row r="20" spans="1:2" x14ac:dyDescent="0.3">
      <c r="A20" s="18">
        <f>+A18+0.1</f>
        <v>2.3000000000000003</v>
      </c>
      <c r="B20" s="1" t="s">
        <v>113</v>
      </c>
    </row>
    <row r="21" spans="1:2" x14ac:dyDescent="0.3">
      <c r="A21" s="18"/>
      <c r="B21" s="3" t="s">
        <v>114</v>
      </c>
    </row>
    <row r="22" spans="1:2" x14ac:dyDescent="0.3">
      <c r="A22" s="18">
        <f>+A20+0.1</f>
        <v>2.4000000000000004</v>
      </c>
      <c r="B22" s="1" t="s">
        <v>115</v>
      </c>
    </row>
    <row r="23" spans="1:2" x14ac:dyDescent="0.3">
      <c r="A23" s="18"/>
    </row>
    <row r="24" spans="1:2" x14ac:dyDescent="0.3">
      <c r="A24" s="18">
        <f>+A16+1</f>
        <v>3</v>
      </c>
      <c r="B24" s="7" t="s">
        <v>116</v>
      </c>
    </row>
    <row r="25" spans="1:2" x14ac:dyDescent="0.3">
      <c r="A25" s="18">
        <f>+A24+0.1</f>
        <v>3.1</v>
      </c>
      <c r="B25" s="1" t="s">
        <v>117</v>
      </c>
    </row>
    <row r="26" spans="1:2" x14ac:dyDescent="0.3">
      <c r="A26" s="18">
        <f t="shared" ref="A26:A30" si="1">+A25+0.1</f>
        <v>3.2</v>
      </c>
      <c r="B26" s="1" t="s">
        <v>118</v>
      </c>
    </row>
    <row r="27" spans="1:2" x14ac:dyDescent="0.3">
      <c r="A27" s="18">
        <f t="shared" si="1"/>
        <v>3.3000000000000003</v>
      </c>
      <c r="B27" s="1" t="s">
        <v>119</v>
      </c>
    </row>
    <row r="28" spans="1:2" x14ac:dyDescent="0.3">
      <c r="A28" s="18">
        <f t="shared" si="1"/>
        <v>3.4000000000000004</v>
      </c>
      <c r="B28" s="1" t="s">
        <v>120</v>
      </c>
    </row>
    <row r="29" spans="1:2" x14ac:dyDescent="0.3">
      <c r="A29" s="18">
        <f t="shared" si="1"/>
        <v>3.5000000000000004</v>
      </c>
      <c r="B29" s="1" t="s">
        <v>121</v>
      </c>
    </row>
    <row r="30" spans="1:2" x14ac:dyDescent="0.3">
      <c r="A30" s="18">
        <f t="shared" si="1"/>
        <v>3.6000000000000005</v>
      </c>
      <c r="B30" s="1" t="s">
        <v>122</v>
      </c>
    </row>
    <row r="31" spans="1:2" x14ac:dyDescent="0.3">
      <c r="A31" s="18"/>
      <c r="B31" s="3" t="s">
        <v>123</v>
      </c>
    </row>
    <row r="32" spans="1:2" x14ac:dyDescent="0.3">
      <c r="A32" s="18"/>
    </row>
    <row r="33" spans="1:2" x14ac:dyDescent="0.3">
      <c r="A33" s="18">
        <f>+A24+1</f>
        <v>4</v>
      </c>
      <c r="B33" s="17" t="s">
        <v>124</v>
      </c>
    </row>
    <row r="34" spans="1:2" x14ac:dyDescent="0.3">
      <c r="A34" s="18">
        <f>+A33+0.1</f>
        <v>4.0999999999999996</v>
      </c>
      <c r="B34" s="1" t="s">
        <v>125</v>
      </c>
    </row>
    <row r="35" spans="1:2" x14ac:dyDescent="0.3">
      <c r="A35" s="18">
        <f t="shared" ref="A35:A37" si="2">+A34+0.1</f>
        <v>4.1999999999999993</v>
      </c>
      <c r="B35" s="1" t="s">
        <v>126</v>
      </c>
    </row>
    <row r="36" spans="1:2" x14ac:dyDescent="0.3">
      <c r="A36" s="18">
        <f t="shared" si="2"/>
        <v>4.2999999999999989</v>
      </c>
      <c r="B36" s="1" t="s">
        <v>127</v>
      </c>
    </row>
    <row r="37" spans="1:2" x14ac:dyDescent="0.3">
      <c r="A37" s="18">
        <f t="shared" si="2"/>
        <v>4.3999999999999986</v>
      </c>
      <c r="B37" s="1" t="s">
        <v>128</v>
      </c>
    </row>
    <row r="38" spans="1:2" x14ac:dyDescent="0.3">
      <c r="A38" s="18"/>
    </row>
    <row r="39" spans="1:2" x14ac:dyDescent="0.3">
      <c r="A39" s="18">
        <f>+A33+1</f>
        <v>5</v>
      </c>
      <c r="B39" s="17" t="s">
        <v>129</v>
      </c>
    </row>
    <row r="40" spans="1:2" x14ac:dyDescent="0.3">
      <c r="A40" s="18">
        <f>+A39+0.1</f>
        <v>5.0999999999999996</v>
      </c>
      <c r="B40" s="1" t="s">
        <v>130</v>
      </c>
    </row>
    <row r="41" spans="1:2" x14ac:dyDescent="0.3">
      <c r="A41" s="18">
        <f t="shared" ref="A41:A44" si="3">+A40+0.1</f>
        <v>5.1999999999999993</v>
      </c>
      <c r="B41" s="3" t="s">
        <v>131</v>
      </c>
    </row>
    <row r="42" spans="1:2" x14ac:dyDescent="0.3">
      <c r="A42" s="18">
        <f t="shared" si="3"/>
        <v>5.2999999999999989</v>
      </c>
      <c r="B42" s="1" t="s">
        <v>132</v>
      </c>
    </row>
    <row r="43" spans="1:2" x14ac:dyDescent="0.3">
      <c r="A43" s="18">
        <f t="shared" si="3"/>
        <v>5.3999999999999986</v>
      </c>
      <c r="B43" s="3" t="s">
        <v>133</v>
      </c>
    </row>
    <row r="44" spans="1:2" x14ac:dyDescent="0.3">
      <c r="A44" s="18">
        <f t="shared" si="3"/>
        <v>5.4999999999999982</v>
      </c>
      <c r="B44" s="1" t="s">
        <v>134</v>
      </c>
    </row>
    <row r="45" spans="1:2" x14ac:dyDescent="0.3">
      <c r="A45" s="18"/>
      <c r="B45" s="3" t="s">
        <v>135</v>
      </c>
    </row>
    <row r="46" spans="1:2" x14ac:dyDescent="0.3">
      <c r="A46" s="18">
        <f>+A44+0.1</f>
        <v>5.5999999999999979</v>
      </c>
      <c r="B46" s="1" t="s">
        <v>136</v>
      </c>
    </row>
    <row r="47" spans="1:2" x14ac:dyDescent="0.3">
      <c r="A47" s="18">
        <f t="shared" ref="A47:A50" si="4">+A45+0.1</f>
        <v>0.1</v>
      </c>
      <c r="B47" s="1" t="s">
        <v>137</v>
      </c>
    </row>
    <row r="48" spans="1:2" x14ac:dyDescent="0.3">
      <c r="A48" s="18">
        <f t="shared" si="4"/>
        <v>5.6999999999999975</v>
      </c>
      <c r="B48" s="1" t="s">
        <v>138</v>
      </c>
    </row>
    <row r="49" spans="1:2" x14ac:dyDescent="0.3">
      <c r="A49" s="18">
        <f t="shared" si="4"/>
        <v>0.2</v>
      </c>
      <c r="B49" s="1" t="s">
        <v>128</v>
      </c>
    </row>
    <row r="50" spans="1:2" x14ac:dyDescent="0.3">
      <c r="A50" s="18">
        <f t="shared" si="4"/>
        <v>5.7999999999999972</v>
      </c>
      <c r="B50" s="1" t="s">
        <v>139</v>
      </c>
    </row>
    <row r="51" spans="1:2" x14ac:dyDescent="0.3">
      <c r="A51" s="18"/>
      <c r="B51" s="3" t="s">
        <v>140</v>
      </c>
    </row>
  </sheetData>
  <mergeCells count="1">
    <mergeCell ref="C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2020-05-18T16:32:37Z</dcterms:created>
  <dcterms:modified xsi:type="dcterms:W3CDTF">2023-08-28T15:43:17Z</dcterms:modified>
</cp:coreProperties>
</file>