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523D776D-9038-49BF-AAEC-F5660600EAA5}" xr6:coauthVersionLast="36" xr6:coauthVersionMax="36" xr10:uidLastSave="{00000000-0000-0000-0000-000000000000}"/>
  <bookViews>
    <workbookView xWindow="0" yWindow="0" windowWidth="23040" windowHeight="8484" firstSheet="1" activeTab="1" xr2:uid="{00000000-000D-0000-FFFF-FFFF00000000}"/>
  </bookViews>
  <sheets>
    <sheet name="Instructions" sheetId="1" r:id="rId1"/>
    <sheet name="List of Ratios" sheetId="3" r:id="rId2"/>
    <sheet name="Financial Statement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3" l="1"/>
  <c r="D59" i="3"/>
  <c r="E56" i="3"/>
  <c r="D56" i="3"/>
  <c r="C56" i="3"/>
  <c r="E50" i="3"/>
  <c r="D50" i="3"/>
  <c r="C50" i="3"/>
  <c r="D29" i="3"/>
  <c r="C29" i="3"/>
  <c r="D30" i="3"/>
  <c r="C30" i="3"/>
  <c r="D33" i="3"/>
  <c r="C33" i="3"/>
  <c r="D34" i="3"/>
  <c r="C34" i="3"/>
  <c r="E51" i="3" l="1"/>
  <c r="E49" i="3"/>
  <c r="E48" i="3"/>
  <c r="C48" i="3"/>
  <c r="E42" i="3"/>
  <c r="D42" i="3"/>
  <c r="C42" i="3"/>
  <c r="E27" i="3" l="1"/>
  <c r="D27" i="3"/>
  <c r="C27" i="3"/>
  <c r="E16" i="3"/>
  <c r="E12" i="3"/>
  <c r="E11" i="3"/>
  <c r="D11" i="3"/>
  <c r="D7" i="3"/>
  <c r="D6" i="3"/>
  <c r="E5" i="3"/>
  <c r="D68" i="2"/>
  <c r="D69" i="2" s="1"/>
  <c r="D55" i="2"/>
  <c r="E7" i="3" s="1"/>
  <c r="D43" i="2"/>
  <c r="C43" i="2"/>
  <c r="C48" i="2" s="1"/>
  <c r="B43" i="2"/>
  <c r="B48" i="2" s="1"/>
  <c r="C38" i="3" l="1"/>
  <c r="C40" i="3"/>
  <c r="C28" i="3"/>
  <c r="D40" i="3"/>
  <c r="D38" i="3"/>
  <c r="D28" i="3"/>
  <c r="E6" i="3"/>
  <c r="D48" i="2"/>
  <c r="D49" i="3"/>
  <c r="C49" i="3"/>
  <c r="C51" i="3" s="1"/>
  <c r="C41" i="3"/>
  <c r="C39" i="3"/>
  <c r="D16" i="3"/>
  <c r="D12" i="3"/>
  <c r="D5" i="3"/>
  <c r="C16" i="3"/>
  <c r="C15" i="3" s="1"/>
  <c r="C13" i="3"/>
  <c r="C12" i="3"/>
  <c r="C11" i="3"/>
  <c r="C7" i="3"/>
  <c r="C6" i="3"/>
  <c r="C5" i="3"/>
  <c r="E40" i="3" l="1"/>
  <c r="E38" i="3"/>
  <c r="E28" i="3"/>
  <c r="C69" i="2"/>
  <c r="B69" i="2"/>
  <c r="D51" i="3"/>
  <c r="D48" i="3"/>
  <c r="D46" i="3" s="1"/>
  <c r="C46" i="3"/>
  <c r="C37" i="3" l="1"/>
  <c r="E10" i="3"/>
  <c r="D10" i="3"/>
  <c r="C10" i="3"/>
  <c r="D107" i="2" l="1"/>
  <c r="C107" i="2"/>
  <c r="B107" i="2"/>
  <c r="D98" i="2"/>
  <c r="C98" i="2"/>
  <c r="B98" i="2"/>
  <c r="D91" i="2"/>
  <c r="C91" i="2"/>
  <c r="B91" i="2"/>
  <c r="B27" i="2"/>
  <c r="C27" i="2"/>
  <c r="B18" i="2"/>
  <c r="C9" i="3" s="1"/>
  <c r="C8" i="3" s="1"/>
  <c r="C18" i="2"/>
  <c r="D9" i="3" s="1"/>
  <c r="D8" i="3" s="1"/>
  <c r="B11" i="2"/>
  <c r="C19" i="3" s="1"/>
  <c r="D23" i="2"/>
  <c r="D18" i="2"/>
  <c r="E9" i="3" s="1"/>
  <c r="E8" i="3" s="1"/>
  <c r="D55" i="3" l="1"/>
  <c r="D21" i="3"/>
  <c r="C57" i="3"/>
  <c r="C55" i="3"/>
  <c r="C21" i="3"/>
  <c r="C20" i="3" s="1"/>
  <c r="C24" i="3"/>
  <c r="C32" i="3"/>
  <c r="D57" i="3"/>
  <c r="D43" i="3"/>
  <c r="B19" i="2"/>
  <c r="C31" i="3" l="1"/>
  <c r="C23" i="3"/>
  <c r="D58" i="3"/>
  <c r="E31" i="3"/>
  <c r="C9" i="2"/>
  <c r="D9" i="2"/>
  <c r="E39" i="3" l="1"/>
  <c r="E41" i="3"/>
  <c r="E37" i="3"/>
  <c r="E13" i="3"/>
  <c r="E14" i="3" s="1"/>
  <c r="E15" i="3"/>
  <c r="D13" i="3"/>
  <c r="D14" i="3" s="1"/>
  <c r="D15" i="3"/>
  <c r="D37" i="3"/>
  <c r="C22" i="3"/>
  <c r="C11" i="2"/>
  <c r="D19" i="3" s="1"/>
  <c r="D39" i="3"/>
  <c r="D41" i="3"/>
  <c r="D24" i="3"/>
  <c r="D20" i="3"/>
  <c r="D11" i="2"/>
  <c r="E19" i="3" s="1"/>
  <c r="C14" i="3"/>
  <c r="C19" i="2" l="1"/>
  <c r="D23" i="3"/>
  <c r="D19" i="2"/>
  <c r="A55" i="3"/>
  <c r="A57" i="3" s="1"/>
  <c r="A18" i="3"/>
  <c r="A26" i="3" s="1"/>
  <c r="A5" i="3"/>
  <c r="A6" i="3" s="1"/>
  <c r="A7" i="3" s="1"/>
  <c r="A8" i="3" s="1"/>
  <c r="A11" i="3" s="1"/>
  <c r="A12" i="3" s="1"/>
  <c r="A13" i="3" s="1"/>
  <c r="A14" i="3" s="1"/>
  <c r="A15" i="3" s="1"/>
  <c r="E30" i="3" l="1"/>
  <c r="E23" i="3"/>
  <c r="D31" i="3"/>
  <c r="D22" i="3"/>
  <c r="D24" i="2"/>
  <c r="D27" i="2" s="1"/>
  <c r="A36" i="3"/>
  <c r="A27" i="3"/>
  <c r="A28" i="3" s="1"/>
  <c r="A29" i="3" s="1"/>
  <c r="A30" i="3" s="1"/>
  <c r="A31" i="3" s="1"/>
  <c r="A32" i="3" s="1"/>
  <c r="A19" i="3"/>
  <c r="A20" i="3" s="1"/>
  <c r="A22" i="3" s="1"/>
  <c r="A24" i="3" s="1"/>
  <c r="E22" i="3" l="1"/>
  <c r="E57" i="3"/>
  <c r="E55" i="3"/>
  <c r="E43" i="3"/>
  <c r="E21" i="3"/>
  <c r="E20" i="3" s="1"/>
  <c r="E24" i="3"/>
  <c r="C43" i="3"/>
  <c r="A37" i="3"/>
  <c r="A39" i="3" s="1"/>
  <c r="A41" i="3" s="1"/>
  <c r="A43" i="3" s="1"/>
  <c r="A45" i="3"/>
  <c r="A46" i="3" s="1"/>
  <c r="A48" i="3" s="1"/>
  <c r="A50" i="3" s="1"/>
  <c r="A51" i="3" s="1"/>
  <c r="A52" i="3" s="1"/>
  <c r="A54" i="3" s="1"/>
  <c r="A56" i="3" s="1"/>
  <c r="A58" i="3" s="1"/>
  <c r="C58" i="3" l="1"/>
</calcChain>
</file>

<file path=xl/sharedStrings.xml><?xml version="1.0" encoding="utf-8"?>
<sst xmlns="http://schemas.openxmlformats.org/spreadsheetml/2006/main" count="182" uniqueCount="171">
  <si>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</si>
  <si>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</si>
  <si>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</si>
  <si>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</si>
  <si>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</si>
  <si>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</si>
  <si>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</si>
  <si>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</si>
  <si>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</si>
  <si>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</si>
  <si>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</si>
  <si>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</si>
  <si>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</si>
  <si>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</si>
  <si>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</si>
  <si>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</si>
  <si>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</si>
  <si>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</si>
  <si>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</si>
  <si>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</si>
  <si>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</si>
  <si>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</si>
  <si>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</si>
  <si>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</si>
  <si>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</si>
  <si>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</si>
  <si>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</si>
  <si>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</si>
  <si>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</si>
  <si>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</si>
  <si>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</si>
  <si>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</si>
  <si>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</si>
  <si>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</si>
  <si>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</si>
  <si>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</si>
  <si>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</si>
  <si>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</si>
  <si>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</si>
  <si>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</si>
  <si>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</si>
  <si>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</si>
  <si>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</si>
  <si>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</si>
  <si>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</si>
  <si>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</si>
  <si>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</si>
  <si>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</si>
  <si>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</si>
  <si>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</si>
  <si>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</si>
  <si>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</si>
  <si>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</si>
  <si>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</si>
  <si>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</si>
  <si>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</si>
  <si>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</si>
  <si>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</si>
  <si>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</si>
  <si>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</si>
  <si>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</si>
  <si>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</si>
  <si>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</si>
  <si>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</si>
  <si>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</si>
  <si>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</si>
  <si>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</si>
  <si>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</si>
  <si>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</si>
  <si>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</si>
  <si>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</si>
  <si>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Net income</t>
  </si>
  <si>
    <t>Earnings per share:</t>
  </si>
  <si>
    <t>Basic</t>
  </si>
  <si>
    <t>Diluted</t>
  </si>
  <si>
    <t>Shares used in computing earnings per share:</t>
  </si>
  <si>
    <t>Cost of sales</t>
  </si>
  <si>
    <t>Fulfillment</t>
  </si>
  <si>
    <t>Technology and content</t>
  </si>
  <si>
    <t>Sales and marketing</t>
  </si>
  <si>
    <t>General and administrative</t>
  </si>
  <si>
    <t>Oter operating expense (income) net</t>
  </si>
  <si>
    <t xml:space="preserve">Interest income </t>
  </si>
  <si>
    <t>Interest expense</t>
  </si>
  <si>
    <t>Other income (expense), net</t>
  </si>
  <si>
    <t>Total non-operating income (expense)</t>
  </si>
  <si>
    <t xml:space="preserve">Income/loss before income tax </t>
  </si>
  <si>
    <t>Benefit (provision) for income taxes</t>
  </si>
  <si>
    <t>Equity-method investment activity, net of tax</t>
  </si>
  <si>
    <t>Net income/ loss</t>
  </si>
  <si>
    <t>Assets</t>
  </si>
  <si>
    <t>Current assets:</t>
  </si>
  <si>
    <t>Cash and cash equivalents</t>
  </si>
  <si>
    <t>Marketable securities</t>
  </si>
  <si>
    <t>Inventories</t>
  </si>
  <si>
    <t>Accounts receivable, net and oter</t>
  </si>
  <si>
    <t xml:space="preserve">Total current assets </t>
  </si>
  <si>
    <t>Property and equipment, net</t>
  </si>
  <si>
    <t>Operating leases</t>
  </si>
  <si>
    <t>Goodwill</t>
  </si>
  <si>
    <t>Total assets</t>
  </si>
  <si>
    <t>Other assets</t>
  </si>
  <si>
    <t>Liabilities and stockholders equity</t>
  </si>
  <si>
    <t>Current liabilities:</t>
  </si>
  <si>
    <t>Accounts payable</t>
  </si>
  <si>
    <t>Accrued expenses amd other</t>
  </si>
  <si>
    <t>Unearned revenue</t>
  </si>
  <si>
    <t>Total current liabilities</t>
  </si>
  <si>
    <t>Long-term lease liabilities</t>
  </si>
  <si>
    <t>Long-term debt</t>
  </si>
  <si>
    <t>Other long term liabilities</t>
  </si>
  <si>
    <t>Commitments and contingencies (Note 7)</t>
  </si>
  <si>
    <t>Stockholders' equity:</t>
  </si>
  <si>
    <t>Preferred stock ($0.01 par value; 500 shares authorized; no shares issued or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</si>
  <si>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</si>
  <si>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</si>
  <si>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</si>
  <si>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</si>
  <si>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</si>
  <si>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</si>
  <si>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 xml:space="preserve">Common stock ($0.01 par value; 100,000 shares authorized; 10,644 and 10,757 shares issued; 10,175 and 10,242 shares outstanding) 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</si>
  <si>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</si>
  <si>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</si>
  <si>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</si>
  <si>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</si>
  <si>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</si>
  <si>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</si>
  <si>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Changes in operating assets and liabilities:</t>
  </si>
  <si>
    <t>Accounts receivable, net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</si>
  <si>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</si>
  <si>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</si>
  <si>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</si>
  <si>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</si>
  <si>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</si>
  <si>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Cash generated by/(used in) investing activities</t>
  </si>
  <si>
    <t>Financing activities:</t>
  </si>
  <si>
    <t>Repurchases of common stock</t>
  </si>
  <si>
    <t>Cash used in financing activities</t>
  </si>
  <si>
    <t>Increase/(Decrease) in cash, cash equivalents and restricted</t>
  </si>
  <si>
    <t>Cash, cash equivalents and restricted cash, ending balances</t>
  </si>
  <si>
    <t>Other expense (income) net</t>
  </si>
  <si>
    <t>Accrued expenses and other</t>
  </si>
  <si>
    <t>Proceeds from property and equipment sales and incentives</t>
  </si>
  <si>
    <t>Acquisitions, net of cash acquired, and other</t>
  </si>
  <si>
    <t>Proceeds from sales and maturities of marketable securities</t>
  </si>
  <si>
    <t>Proceeds from short-term debt, and other</t>
  </si>
  <si>
    <t>Repayments of short term debt, and other</t>
  </si>
  <si>
    <t>Proceeds from long term debt</t>
  </si>
  <si>
    <t>Repayments of long term debt</t>
  </si>
  <si>
    <t>Principle repayment of finance leases</t>
  </si>
  <si>
    <t>Principle repayment of financing obligations</t>
  </si>
  <si>
    <t>Foreign currency effect on cash, cash equivalents, and restricted cash</t>
  </si>
  <si>
    <t>Daily operational expense</t>
  </si>
  <si>
    <t>Non-cash charges</t>
  </si>
  <si>
    <t>Average total asset</t>
  </si>
  <si>
    <t>Average fixed asset</t>
  </si>
  <si>
    <t>Average inventory</t>
  </si>
  <si>
    <t>Capex</t>
  </si>
  <si>
    <t>-</t>
  </si>
  <si>
    <t>outstanding shares</t>
  </si>
  <si>
    <t>Share price</t>
  </si>
  <si>
    <t xml:space="preserve">Book value </t>
  </si>
  <si>
    <t>Total liabilities</t>
  </si>
  <si>
    <t>Term debt/(Term debt + Total shareholder Equity)</t>
  </si>
  <si>
    <t>Link interest expense with - sign</t>
  </si>
  <si>
    <t>Source capex from cash flow statement (purchase of PPE)</t>
  </si>
  <si>
    <t>Share price/BV per share</t>
  </si>
  <si>
    <t>Capital = Term debt + Total shareholder equity</t>
  </si>
  <si>
    <t>EV = (Share price * Diluted number of shares) + Term debt - Cash &amp; Cash equivalents. Do not multiply by 1000 for this company.</t>
  </si>
  <si>
    <t>Debt issued should be sourced from cash flow, not balance sheet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</si>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</sst>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Font="1" applyBorder="1"/>
    <xf numFmtId="165" fontId="1" fillId="0" borderId="0" xfId="1" applyNumberFormat="1" applyFont="1" applyBorder="1"/>
    <xf numFmtId="0" fontId="0" fillId="0" borderId="0" xfId="0" applyFont="1" applyFill="1" applyBorder="1"/>
    <xf numFmtId="0" fontId="0" fillId="0" borderId="1" xfId="0" applyFont="1" applyBorder="1"/>
    <xf numFmtId="165" fontId="8" fillId="0" borderId="0" xfId="1" applyNumberFormat="1" applyFont="1"/>
    <xf numFmtId="165" fontId="1" fillId="0" borderId="0" xfId="1" applyNumberFormat="1" applyFont="1"/>
    <xf numFmtId="0" fontId="8" fillId="0" borderId="0" xfId="0" applyFont="1"/>
    <xf numFmtId="10" fontId="0" fillId="0" borderId="0" xfId="0" applyNumberFormat="1"/>
    <xf numFmtId="2" fontId="0" fillId="0" borderId="0" xfId="0" applyNumberFormat="1"/>
    <xf numFmtId="0" fontId="0" fillId="0" borderId="2" xfId="0" applyFont="1" applyBorder="1"/>
    <xf numFmtId="165" fontId="1" fillId="0" borderId="2" xfId="1" applyNumberFormat="1" applyFont="1" applyBorder="1"/>
    <xf numFmtId="0" fontId="0" fillId="0" borderId="0" xfId="0" applyFont="1"/>
    <xf numFmtId="164" fontId="0" fillId="0" borderId="0" xfId="1" applyFont="1"/>
    <xf numFmtId="0" fontId="0" fillId="5" borderId="0" xfId="0" applyFill="1"/>
    <xf numFmtId="167" fontId="0" fillId="0" borderId="0" xfId="3" applyNumberFormat="1" applyFon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1"/>
  <sheetViews>
    <sheetView tabSelected="1" topLeftCell="C1" workbookViewId="0">
      <selection activeCell="E62" sqref="E62"/>
    </sheetView>
  </sheetViews>
  <sheetFormatPr defaultRowHeight="14.4" x14ac:dyDescent="0.3"/>
  <cols>
    <col min="1" max="1" width="4.6640625" customWidth="1"/>
    <col min="2" max="2" width="44.88671875" customWidth="1"/>
    <col min="3" max="5" width="14.6640625" bestFit="1" customWidth="1"/>
    <col min="6" max="6" width="37.21875" customWidth="1"/>
  </cols>
  <sheetData>
    <row r="1" spans="1:10" ht="60" customHeight="1" x14ac:dyDescent="0.5">
      <c r="A1" s="7"/>
      <c r="B1" s="20" t="s">
        <v>59</v>
      </c>
      <c r="C1" s="21"/>
      <c r="D1" s="21"/>
      <c r="E1" s="21"/>
      <c r="F1" s="39" t="s">
        <v>170</v>
      </c>
      <c r="G1" s="21"/>
      <c r="H1" s="21"/>
      <c r="I1" s="21"/>
      <c r="J1" s="21"/>
    </row>
    <row r="2" spans="1:10" x14ac:dyDescent="0.3">
      <c r="C2" s="40" t="s">
        <v>60</v>
      </c>
      <c r="D2" s="40"/>
      <c r="E2" s="40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22">
        <v>1</v>
      </c>
      <c r="B4" s="9" t="s">
        <v>14</v>
      </c>
    </row>
    <row r="5" spans="1:10" x14ac:dyDescent="0.3">
      <c r="A5" s="22">
        <f>+A4+0.1</f>
        <v>1.1000000000000001</v>
      </c>
      <c r="B5" s="1" t="s">
        <v>15</v>
      </c>
      <c r="C5" s="32">
        <f>'Financial Statements'!C43/'Financial Statements'!C55</f>
        <v>0.9446435811136924</v>
      </c>
      <c r="D5" s="32">
        <f>'Financial Statements'!B43/'Financial Statements'!B55</f>
        <v>1.1357597739445826</v>
      </c>
      <c r="E5" s="32">
        <f>'Financial Statements'!D43/'Financial Statements'!D55</f>
        <v>1.0502274795268425</v>
      </c>
    </row>
    <row r="6" spans="1:10" x14ac:dyDescent="0.3">
      <c r="A6" s="22">
        <f t="shared" ref="A6:A15" si="0">+A5+0.1</f>
        <v>1.2000000000000002</v>
      </c>
      <c r="B6" s="1" t="s">
        <v>16</v>
      </c>
      <c r="C6" s="32">
        <f>('Financial Statements'!C39+'Financial Statements'!C40+'Financial Statements'!B42)/'Financial Statements'!B55</f>
        <v>0.72341248084573972</v>
      </c>
      <c r="D6" s="32">
        <f>('Financial Statements'!B39+'Financial Statements'!B40+'Financial Statements'!B42)/'Financial Statements'!B55</f>
        <v>0.90633039517523517</v>
      </c>
      <c r="E6" s="32">
        <f>('Financial Statements'!D39+'Financial Statements'!D40+'Financial Statements'!D42)/'Financial Statements'!D55</f>
        <v>0.86195355461486722</v>
      </c>
    </row>
    <row r="7" spans="1:10" x14ac:dyDescent="0.3">
      <c r="A7" s="22">
        <f t="shared" si="0"/>
        <v>1.3000000000000003</v>
      </c>
      <c r="B7" s="1" t="s">
        <v>17</v>
      </c>
      <c r="C7" s="32">
        <f>('Financial Statements'!C39+'Financial Statements'!C40)/'Financial Statements'!C55</f>
        <v>0.45063805962945563</v>
      </c>
      <c r="D7" s="32">
        <f>('Financial Statements'!B39+'Financial Statements'!B40)/'Financial Statements'!B55</f>
        <v>0.67513671572968947</v>
      </c>
      <c r="E7" s="32">
        <f>('Financial Statements'!D39+'Financial Statements'!D40)/'Financial Statements'!D55</f>
        <v>0.66776911817066897</v>
      </c>
    </row>
    <row r="8" spans="1:10" x14ac:dyDescent="0.3">
      <c r="A8" s="22">
        <f t="shared" si="0"/>
        <v>1.4000000000000004</v>
      </c>
      <c r="B8" s="1" t="s">
        <v>18</v>
      </c>
      <c r="C8" s="32">
        <f>'Financial Statements'!C43/'List of Ratios'!C9</f>
        <v>294.95251910245963</v>
      </c>
      <c r="D8" s="32">
        <f>'Financial Statements'!B43/'List of Ratios'!D9</f>
        <v>421.18693090519554</v>
      </c>
      <c r="E8" s="32">
        <f>'Financial Statements'!D43/'List of Ratios'!E9</f>
        <v>814.27182426300044</v>
      </c>
    </row>
    <row r="9" spans="1:10" x14ac:dyDescent="0.3">
      <c r="A9" s="22"/>
      <c r="B9" s="1" t="s">
        <v>152</v>
      </c>
      <c r="C9" s="32">
        <f>('Financial Statements'!B18-'List of Ratios'!C10)/365</f>
        <v>497.67671232876711</v>
      </c>
      <c r="D9" s="32">
        <f>('Financial Statements'!C18-'List of Ratios'!D10)/365</f>
        <v>383.63013698630135</v>
      </c>
      <c r="E9" s="32">
        <f>('Financial Statements'!D18-'List of Ratios'!E10)/365</f>
        <v>163.00821917808219</v>
      </c>
    </row>
    <row r="10" spans="1:10" x14ac:dyDescent="0.3">
      <c r="A10" s="22"/>
      <c r="B10" s="1" t="s">
        <v>153</v>
      </c>
      <c r="C10" s="32">
        <f>SUM('Financial Statements'!B81:B84)</f>
        <v>31252</v>
      </c>
      <c r="D10" s="32">
        <f>SUM('Financial Statements'!C81:C84)</f>
        <v>32574</v>
      </c>
      <c r="E10" s="32">
        <f>SUM('Financial Statements'!D81:D84)</f>
        <v>70360</v>
      </c>
    </row>
    <row r="11" spans="1:10" x14ac:dyDescent="0.3">
      <c r="A11" s="22">
        <f>+A8+0.1</f>
        <v>1.5000000000000004</v>
      </c>
      <c r="B11" s="1" t="s">
        <v>19</v>
      </c>
      <c r="C11" s="32">
        <f>('Financial Statements'!C41/'Financial Statements'!B10)*365</f>
        <v>43.4781065744328</v>
      </c>
      <c r="D11" s="32">
        <f>('Financial Statements'!B41/'Financial Statements'!C10)*365</f>
        <v>43.744675851129458</v>
      </c>
      <c r="E11" s="32">
        <f>('Financial Statements'!D41/'Financial Statements'!D10)*365</f>
        <v>37.226379834295585</v>
      </c>
    </row>
    <row r="12" spans="1:10" x14ac:dyDescent="0.3">
      <c r="A12" s="22">
        <f t="shared" si="0"/>
        <v>1.6000000000000005</v>
      </c>
      <c r="B12" s="1" t="s">
        <v>20</v>
      </c>
      <c r="C12" s="32">
        <f>('Financial Statements'!C52/'Financial Statements'!D10)*365</f>
        <v>124.53119709224327</v>
      </c>
      <c r="D12" s="32">
        <f>('Financial Statements'!B52/'Financial Statements'!C10)*365</f>
        <v>105.42681314807743</v>
      </c>
      <c r="E12" s="32">
        <f>('Financial Statements'!D52/'Financial Statements'!D10)*365</f>
        <v>113.48452896826929</v>
      </c>
    </row>
    <row r="13" spans="1:10" x14ac:dyDescent="0.3">
      <c r="A13" s="22">
        <f t="shared" si="0"/>
        <v>1.7000000000000006</v>
      </c>
      <c r="B13" s="1" t="s">
        <v>21</v>
      </c>
      <c r="C13" s="32">
        <f>('Financial Statements'!C42/'Financial Statements'!B9)*365</f>
        <v>30.081539661817608</v>
      </c>
      <c r="D13" s="32">
        <f>('Financial Statements'!B42/'Financial Statements'!C9)*365</f>
        <v>25.552688039299991</v>
      </c>
      <c r="E13" s="32">
        <f>('Financial Statements'!D42/'Financial Statements'!D9)*365</f>
        <v>23.202966347548593</v>
      </c>
    </row>
    <row r="14" spans="1:10" x14ac:dyDescent="0.3">
      <c r="A14" s="22">
        <f t="shared" si="0"/>
        <v>1.8000000000000007</v>
      </c>
      <c r="B14" s="1" t="s">
        <v>22</v>
      </c>
      <c r="C14" s="32">
        <f>C11+C13-C12</f>
        <v>-50.971550855992859</v>
      </c>
      <c r="D14" s="32">
        <f>D11+D13-D12</f>
        <v>-36.129449257647977</v>
      </c>
      <c r="E14" s="32">
        <f>E11+E13-E12</f>
        <v>-53.055182786425107</v>
      </c>
    </row>
    <row r="15" spans="1:10" x14ac:dyDescent="0.3">
      <c r="A15" s="22">
        <f t="shared" si="0"/>
        <v>1.9000000000000008</v>
      </c>
      <c r="B15" s="1" t="s">
        <v>23</v>
      </c>
      <c r="C15" s="31">
        <f>C16/'Financial Statements'!B9</f>
        <v>-5.5157466297523459E-3</v>
      </c>
      <c r="D15" s="31">
        <f>D16/'Financial Statements'!C9</f>
        <v>-2.7953139699716061E-2</v>
      </c>
      <c r="E15" s="31">
        <f>E16/'Financial Statements'!D9</f>
        <v>-6.2689087819636127E-2</v>
      </c>
    </row>
    <row r="16" spans="1:10" x14ac:dyDescent="0.3">
      <c r="A16" s="22"/>
      <c r="B16" s="19" t="s">
        <v>24</v>
      </c>
      <c r="C16">
        <f>'Financial Statements'!C41+'Financial Statements'!C42-'Financial Statements'!C52</f>
        <v>-2835</v>
      </c>
      <c r="D16">
        <f>'Financial Statements'!B41+'Financial Statements'!B42-'Financial Statements'!B52</f>
        <v>-13133</v>
      </c>
      <c r="E16">
        <f>'Financial Statements'!D41+'Financial Statements'!D42-'Financial Statements'!D52</f>
        <v>-24202</v>
      </c>
    </row>
    <row r="17" spans="1:6" x14ac:dyDescent="0.3">
      <c r="A17" s="22"/>
    </row>
    <row r="18" spans="1:6" x14ac:dyDescent="0.3">
      <c r="A18" s="22">
        <f>+A4+1</f>
        <v>2</v>
      </c>
      <c r="B18" s="23" t="s">
        <v>25</v>
      </c>
    </row>
    <row r="19" spans="1:6" x14ac:dyDescent="0.3">
      <c r="A19" s="22">
        <f>+A18+0.1</f>
        <v>2.1</v>
      </c>
      <c r="B19" s="1" t="s">
        <v>11</v>
      </c>
      <c r="C19" s="31">
        <f>'Financial Statements'!B11/'Financial Statements'!B9</f>
        <v>0.43805339865326287</v>
      </c>
      <c r="D19" s="31">
        <f>'Financial Statements'!C11/'Financial Statements'!C9</f>
        <v>0.42032514441639601</v>
      </c>
      <c r="E19" s="31">
        <f>('Financial Statements'!D11/'Financial Statements'!D9)</f>
        <v>0.3956779186870571</v>
      </c>
    </row>
    <row r="20" spans="1:6" x14ac:dyDescent="0.3">
      <c r="A20" s="22">
        <f>+A19+0.1</f>
        <v>2.2000000000000002</v>
      </c>
      <c r="B20" s="1" t="s">
        <v>26</v>
      </c>
      <c r="C20" s="31">
        <f>(C21/'Financial Statements'!B9)</f>
        <v>4.2040300943805536E-2</v>
      </c>
      <c r="D20" s="31">
        <f>D21/'Financial Statements'!C9</f>
        <v>0.15835146076599221</v>
      </c>
      <c r="E20" s="31">
        <f>E21/'Financial Statements'!D9</f>
        <v>0.17552012101620457</v>
      </c>
    </row>
    <row r="21" spans="1:6" x14ac:dyDescent="0.3">
      <c r="A21" s="22"/>
      <c r="B21" s="19" t="s">
        <v>27</v>
      </c>
      <c r="C21">
        <f>'Financial Statements'!B27-'Financial Statements'!B25-'Financial Statements'!B21+'Financial Statements'!B81</f>
        <v>21608</v>
      </c>
      <c r="D21">
        <f>'Financial Statements'!C27-'Financial Statements'!C25-'Financial Statements'!C21+'Financial Statements'!C81</f>
        <v>74397</v>
      </c>
      <c r="E21">
        <f>'Financial Statements'!D27-'Financial Statements'!D25-'Financial Statements'!D21+'Financial Statements'!D81</f>
        <v>67762</v>
      </c>
    </row>
    <row r="22" spans="1:6" x14ac:dyDescent="0.3">
      <c r="A22" s="22">
        <f>+A20+0.1</f>
        <v>2.3000000000000003</v>
      </c>
      <c r="B22" s="1" t="s">
        <v>28</v>
      </c>
      <c r="C22" s="31">
        <f>C23/'Financial Statements'!B9</f>
        <v>2.3829581912242232E-2</v>
      </c>
      <c r="D22" s="31">
        <f>D23/'Financial Statements'!C9</f>
        <v>5.2954097509269465E-2</v>
      </c>
      <c r="E22" s="31">
        <f>E23/'Financial Statements'!D9</f>
        <v>5.9313999751336569E-2</v>
      </c>
    </row>
    <row r="23" spans="1:6" x14ac:dyDescent="0.3">
      <c r="A23" s="22"/>
      <c r="B23" s="19" t="s">
        <v>29</v>
      </c>
      <c r="C23">
        <f>'Financial Statements'!B19</f>
        <v>12248</v>
      </c>
      <c r="D23">
        <f>'Financial Statements'!C19</f>
        <v>24879</v>
      </c>
      <c r="E23">
        <f>'Financial Statements'!D19</f>
        <v>22899</v>
      </c>
    </row>
    <row r="24" spans="1:6" x14ac:dyDescent="0.3">
      <c r="A24" s="22">
        <f>+A22+0.1</f>
        <v>2.4000000000000004</v>
      </c>
      <c r="B24" s="1" t="s">
        <v>30</v>
      </c>
      <c r="C24" s="31">
        <f>'Financial Statements'!B27/'Financial Statements'!B9</f>
        <v>-5.2958950004183018E-3</v>
      </c>
      <c r="D24" s="31">
        <f>'Financial Statements'!C27/'Financial Statements'!C9</f>
        <v>7.1014128755145567E-2</v>
      </c>
      <c r="E24" s="31">
        <f>'Financial Statements'!D27/'Financial Statements'!D9</f>
        <v>5.5252496995316841E-2</v>
      </c>
    </row>
    <row r="25" spans="1:6" x14ac:dyDescent="0.3">
      <c r="A25" s="22"/>
    </row>
    <row r="26" spans="1:6" x14ac:dyDescent="0.3">
      <c r="A26" s="22">
        <f>+A18+1</f>
        <v>3</v>
      </c>
      <c r="B26" s="9" t="s">
        <v>31</v>
      </c>
    </row>
    <row r="27" spans="1:6" x14ac:dyDescent="0.3">
      <c r="A27" s="22">
        <f>+A26+0.1</f>
        <v>3.1</v>
      </c>
      <c r="B27" s="1" t="s">
        <v>32</v>
      </c>
      <c r="C27" s="32">
        <f>'Financial Statements'!C57/'Financial Statements'!C67</f>
        <v>0.45979608745369516</v>
      </c>
      <c r="D27" s="32">
        <f>'Financial Statements'!B57/'Financial Statements'!B67</f>
        <v>0.35259141379435061</v>
      </c>
      <c r="E27" s="32">
        <f>'Financial Statements'!D57/'Financial Statements'!D67</f>
        <v>0.34062781037214679</v>
      </c>
    </row>
    <row r="28" spans="1:6" x14ac:dyDescent="0.3">
      <c r="A28" s="22">
        <f t="shared" ref="A28:A32" si="1">+A27+0.1</f>
        <v>3.2</v>
      </c>
      <c r="B28" s="1" t="s">
        <v>33</v>
      </c>
      <c r="C28" s="32">
        <f>'Financial Statements'!C57/'Financial Statements'!C48</f>
        <v>0.14513427351812827</v>
      </c>
      <c r="D28" s="32">
        <f>'Financial Statements'!B57/'Financial Statements'!B48</f>
        <v>0.11590563763081116</v>
      </c>
      <c r="E28" s="32">
        <f>'Financial Statements'!D57/'Financial Statements'!D48</f>
        <v>9.9055091144009094E-2</v>
      </c>
    </row>
    <row r="29" spans="1:6" x14ac:dyDescent="0.3">
      <c r="A29" s="22">
        <f t="shared" si="1"/>
        <v>3.3000000000000003</v>
      </c>
      <c r="B29" s="1" t="s">
        <v>34</v>
      </c>
      <c r="C29" s="32">
        <f>'Financial Statements'!C57/'Financial Statements'!C57 + 'Financial Statements'!C62</f>
        <v>109</v>
      </c>
      <c r="D29" s="32">
        <f>'Financial Statements'!B57/'Financial Statements'!B57 + 'Financial Statements'!B62</f>
        <v>107</v>
      </c>
      <c r="E29" s="32" t="s">
        <v>158</v>
      </c>
      <c r="F29" t="s">
        <v>163</v>
      </c>
    </row>
    <row r="30" spans="1:6" x14ac:dyDescent="0.3">
      <c r="A30" s="22">
        <f t="shared" si="1"/>
        <v>3.4000000000000004</v>
      </c>
      <c r="B30" s="1" t="s">
        <v>35</v>
      </c>
      <c r="C30" s="32">
        <f>-'Financial Statements'!B19/2367</f>
        <v>-5.1744824672581329</v>
      </c>
      <c r="D30" s="32">
        <f>-'Financial Statements'!C19/1809</f>
        <v>-13.752902155887231</v>
      </c>
      <c r="E30" s="32">
        <f>'Financial Statements'!D19/'Financial Statements'!D21</f>
        <v>-13.903460837887067</v>
      </c>
      <c r="F30" t="s">
        <v>164</v>
      </c>
    </row>
    <row r="31" spans="1:6" x14ac:dyDescent="0.3">
      <c r="A31" s="22">
        <f t="shared" si="1"/>
        <v>3.5000000000000004</v>
      </c>
      <c r="B31" s="1" t="s">
        <v>36</v>
      </c>
      <c r="C31" s="32">
        <f>'Financial Statements'!B19/(2367+1553)</f>
        <v>3.1244897959183673</v>
      </c>
      <c r="D31" s="32">
        <f>'Financial Statements'!C19/-('Financial Statements'!C21+'Financial Statements'!C106)</f>
        <v>7.3195057369814656</v>
      </c>
      <c r="E31" s="32">
        <f>'Financial Statements'!B19/-('Financial Statements'!B21+'Financial Statements'!D106)</f>
        <v>3.3787586206896552</v>
      </c>
    </row>
    <row r="32" spans="1:6" x14ac:dyDescent="0.3">
      <c r="A32" s="22">
        <f t="shared" si="1"/>
        <v>3.6000000000000005</v>
      </c>
      <c r="B32" s="1" t="s">
        <v>37</v>
      </c>
      <c r="C32" s="32">
        <f>C33/C61</f>
        <v>12.845440343682874</v>
      </c>
      <c r="D32" s="32"/>
      <c r="E32" s="32"/>
    </row>
    <row r="33" spans="1:6" x14ac:dyDescent="0.3">
      <c r="A33" s="22"/>
      <c r="B33" s="19" t="s">
        <v>38</v>
      </c>
      <c r="C33">
        <f>'Financial Statements'!D91+'List of Ratios'!C34+'Financial Statements'!D103</f>
        <v>131563</v>
      </c>
      <c r="D33">
        <f>'Financial Statements'!C91+D34+'Financial Statements'!C103</f>
        <v>126383</v>
      </c>
      <c r="F33" t="s">
        <v>169</v>
      </c>
    </row>
    <row r="34" spans="1:6" x14ac:dyDescent="0.3">
      <c r="A34" s="22"/>
      <c r="B34" s="19" t="s">
        <v>157</v>
      </c>
      <c r="C34">
        <f>-'Financial Statements'!D96</f>
        <v>63645</v>
      </c>
      <c r="D34">
        <f>-'Financial Statements'!C96</f>
        <v>61053</v>
      </c>
      <c r="F34" t="s">
        <v>165</v>
      </c>
    </row>
    <row r="35" spans="1:6" x14ac:dyDescent="0.3">
      <c r="A35" s="22"/>
    </row>
    <row r="36" spans="1:6" x14ac:dyDescent="0.3">
      <c r="A36" s="22">
        <f>+A26+1</f>
        <v>4</v>
      </c>
      <c r="B36" s="23" t="s">
        <v>39</v>
      </c>
    </row>
    <row r="37" spans="1:6" x14ac:dyDescent="0.3">
      <c r="A37" s="22">
        <f>+A36+0.1</f>
        <v>4.0999999999999996</v>
      </c>
      <c r="B37" s="1" t="s">
        <v>40</v>
      </c>
      <c r="C37" s="36">
        <f>'Financial Statements'!B9/'List of Ratios'!C38</f>
        <v>1.1638791518346421</v>
      </c>
      <c r="D37" s="36">
        <f>'Financial Statements'!C9/'List of Ratios'!D38</f>
        <v>1.2668036411484285</v>
      </c>
      <c r="E37" s="36">
        <f>'Financial Statements'!D9/'List of Ratios'!E38</f>
        <v>1.2019614253023865</v>
      </c>
    </row>
    <row r="38" spans="1:6" x14ac:dyDescent="0.3">
      <c r="A38" s="22"/>
      <c r="B38" s="1" t="s">
        <v>154</v>
      </c>
      <c r="C38" s="10">
        <f>('Financial Statements'!C48+'Financial Statements'!B48)/2</f>
        <v>441612</v>
      </c>
      <c r="D38" s="10">
        <f>('Financial Statements'!B48+'Financial Statements'!D48)/2</f>
        <v>370872</v>
      </c>
      <c r="E38" s="10">
        <f>'Financial Statements'!D48</f>
        <v>321195</v>
      </c>
    </row>
    <row r="39" spans="1:6" x14ac:dyDescent="0.3">
      <c r="A39" s="22">
        <f>+A37+0.1</f>
        <v>4.1999999999999993</v>
      </c>
      <c r="B39" s="1" t="s">
        <v>41</v>
      </c>
      <c r="C39" s="36">
        <f>'Financial Statements'!B9/'List of Ratios'!C40</f>
        <v>1.1540623101993068</v>
      </c>
      <c r="D39" s="36">
        <f>'Financial Statements'!C9/'List of Ratios'!D40</f>
        <v>1.3301868629671574</v>
      </c>
      <c r="E39" s="36">
        <f>'Financial Statements'!D9/'List of Ratios'!E40</f>
        <v>4.0969956808269039</v>
      </c>
    </row>
    <row r="40" spans="1:6" x14ac:dyDescent="0.3">
      <c r="A40" s="22"/>
      <c r="B40" s="1" t="s">
        <v>155</v>
      </c>
      <c r="C40" s="10">
        <f>('Financial Statements'!C48-'Financial Statements'!C43)+('Financial Statements'!B48-'Financial Statements'!B43)/2</f>
        <v>445368.5</v>
      </c>
      <c r="D40" s="10">
        <f>('Financial Statements'!B48-'Financial Statements'!B43)+('Financial Statements'!D48-'Financial Statements'!D43)/2</f>
        <v>353200</v>
      </c>
      <c r="E40" s="10">
        <f>('Financial Statements'!D48-'Financial Statements'!D43)/2</f>
        <v>94231</v>
      </c>
    </row>
    <row r="41" spans="1:6" x14ac:dyDescent="0.3">
      <c r="A41" s="22">
        <f>+A39+0.1</f>
        <v>4.2999999999999989</v>
      </c>
      <c r="B41" s="1" t="s">
        <v>42</v>
      </c>
      <c r="C41" s="36">
        <f>'Financial Statements'!B9/'List of Ratios'!C42</f>
        <v>15.332478186292789</v>
      </c>
      <c r="D41" s="36">
        <f>'Financial Statements'!C9/'List of Ratios'!D42</f>
        <v>16.650022149375388</v>
      </c>
      <c r="E41" s="36">
        <f>'Financial Statements'!D9/'List of Ratios'!E42</f>
        <v>32.449169993696152</v>
      </c>
    </row>
    <row r="42" spans="1:6" x14ac:dyDescent="0.3">
      <c r="A42" s="22"/>
      <c r="B42" s="1" t="s">
        <v>156</v>
      </c>
      <c r="C42" s="10">
        <f>('Financial Statements'!C41+'Financial Statements'!B41)/2</f>
        <v>33522.5</v>
      </c>
      <c r="D42" s="10">
        <f>('Financial Statements'!B41+'Financial Statements'!D41)/2</f>
        <v>28217.5</v>
      </c>
      <c r="E42" s="10">
        <f>'Financial Statements'!D41/2</f>
        <v>11897.5</v>
      </c>
    </row>
    <row r="43" spans="1:6" x14ac:dyDescent="0.3">
      <c r="A43" s="22">
        <f t="shared" ref="A43" si="2">+A41+0.1</f>
        <v>4.3999999999999986</v>
      </c>
      <c r="B43" s="1" t="s">
        <v>43</v>
      </c>
      <c r="C43" s="36">
        <f>'Financial Statements'!D27/'List of Ratios'!C38</f>
        <v>4.8302582357363476E-2</v>
      </c>
      <c r="D43" s="36">
        <f>'Financial Statements'!C27/'List of Ratios'!D38</f>
        <v>8.9960956880001719E-2</v>
      </c>
      <c r="E43" s="36">
        <f>'Financial Statements'!D27/'List of Ratios'!E38</f>
        <v>6.6411370040006856E-2</v>
      </c>
    </row>
    <row r="44" spans="1:6" x14ac:dyDescent="0.3">
      <c r="A44" s="22"/>
    </row>
    <row r="45" spans="1:6" x14ac:dyDescent="0.3">
      <c r="A45" s="22">
        <f>+A36+1</f>
        <v>5</v>
      </c>
      <c r="B45" s="23" t="s">
        <v>44</v>
      </c>
    </row>
    <row r="46" spans="1:6" x14ac:dyDescent="0.3">
      <c r="A46" s="22">
        <f>+A45+0.1</f>
        <v>5.0999999999999996</v>
      </c>
      <c r="B46" s="1" t="s">
        <v>45</v>
      </c>
      <c r="C46" s="32">
        <f>C47/C48</f>
        <v>-366.85185185185179</v>
      </c>
      <c r="D46" s="32">
        <f>D47/D48</f>
        <v>52.580246913580247</v>
      </c>
      <c r="E46" s="37"/>
    </row>
    <row r="47" spans="1:6" x14ac:dyDescent="0.3">
      <c r="A47" s="22"/>
      <c r="B47" s="1" t="s">
        <v>160</v>
      </c>
      <c r="C47">
        <v>99.05</v>
      </c>
      <c r="D47">
        <v>170.36</v>
      </c>
      <c r="E47">
        <v>162.85</v>
      </c>
    </row>
    <row r="48" spans="1:6" x14ac:dyDescent="0.3">
      <c r="A48" s="22">
        <f>+A46+0.1</f>
        <v>5.1999999999999993</v>
      </c>
      <c r="B48" s="19" t="s">
        <v>46</v>
      </c>
      <c r="C48">
        <f>'Financial Statements'!B30</f>
        <v>-0.27</v>
      </c>
      <c r="D48">
        <f>'Financial Statements'!C30</f>
        <v>3.24</v>
      </c>
      <c r="E48">
        <f>'Financial Statements'!D30</f>
        <v>2.09</v>
      </c>
    </row>
    <row r="49" spans="1:6" x14ac:dyDescent="0.3">
      <c r="A49" s="22"/>
      <c r="B49" s="19" t="s">
        <v>161</v>
      </c>
      <c r="C49">
        <f>'Financial Statements'!C67</f>
        <v>146043</v>
      </c>
      <c r="D49">
        <f>'Financial Statements'!B67</f>
        <v>138245</v>
      </c>
      <c r="E49">
        <f>'Financial Statements'!D67</f>
        <v>93404</v>
      </c>
    </row>
    <row r="50" spans="1:6" x14ac:dyDescent="0.3">
      <c r="A50" s="22">
        <f>+A48+0.1</f>
        <v>5.2999999999999989</v>
      </c>
      <c r="B50" s="1" t="s">
        <v>47</v>
      </c>
      <c r="C50">
        <f>(C47/C49)</f>
        <v>6.7822490636319441E-4</v>
      </c>
      <c r="D50">
        <f>(D47/D49)</f>
        <v>1.2323049658215489E-3</v>
      </c>
      <c r="E50">
        <f>(E47/E49)</f>
        <v>1.7435013489786304E-3</v>
      </c>
      <c r="F50" t="s">
        <v>166</v>
      </c>
    </row>
    <row r="51" spans="1:6" x14ac:dyDescent="0.3">
      <c r="A51" s="22">
        <f t="shared" ref="A51:A52" si="3">+A50+0.1</f>
        <v>5.3999999999999986</v>
      </c>
      <c r="B51" s="19" t="s">
        <v>48</v>
      </c>
      <c r="C51">
        <f>(C49/'Financial Statements'!B33)</f>
        <v>14.333398763372264</v>
      </c>
      <c r="D51">
        <f>D49/'Financial Statements'!C33</f>
        <v>13.427059052059052</v>
      </c>
      <c r="E51">
        <f>E49/'Financial Statements'!D33</f>
        <v>9.1590507942733872</v>
      </c>
    </row>
    <row r="52" spans="1:6" x14ac:dyDescent="0.3">
      <c r="A52" s="22">
        <f t="shared" si="3"/>
        <v>5.4999999999999982</v>
      </c>
      <c r="B52" s="1" t="s">
        <v>49</v>
      </c>
      <c r="C52" t="s">
        <v>158</v>
      </c>
    </row>
    <row r="53" spans="1:6" x14ac:dyDescent="0.3">
      <c r="A53" s="22"/>
      <c r="B53" s="19" t="s">
        <v>50</v>
      </c>
      <c r="C53" t="s">
        <v>158</v>
      </c>
    </row>
    <row r="54" spans="1:6" x14ac:dyDescent="0.3">
      <c r="A54" s="22">
        <f>+A52+0.1</f>
        <v>5.5999999999999979</v>
      </c>
      <c r="B54" s="1" t="s">
        <v>51</v>
      </c>
      <c r="C54" t="s">
        <v>158</v>
      </c>
    </row>
    <row r="55" spans="1:6" x14ac:dyDescent="0.3">
      <c r="A55" s="22">
        <f t="shared" ref="A55:A58" si="4">+A53+0.1</f>
        <v>0.1</v>
      </c>
      <c r="B55" s="1" t="s">
        <v>52</v>
      </c>
      <c r="C55" s="38">
        <f>'Financial Statements'!B27/'Financial Statements'!C67</f>
        <v>-1.8638346240490815E-2</v>
      </c>
      <c r="D55" s="38">
        <f>'Financial Statements'!C27/'Financial Statements'!B67</f>
        <v>0.2413396506202756</v>
      </c>
      <c r="E55" s="38">
        <f>'Financial Statements'!D27/'Financial Statements'!D67</f>
        <v>0.22837351719412444</v>
      </c>
    </row>
    <row r="56" spans="1:6" x14ac:dyDescent="0.3">
      <c r="A56" s="22">
        <f t="shared" si="4"/>
        <v>5.6999999999999975</v>
      </c>
      <c r="B56" s="1" t="s">
        <v>53</v>
      </c>
      <c r="C56" s="31">
        <f>C23/('Financial Statements'!C57+'Financial Statements'!C67)</f>
        <v>5.745029151989043E-2</v>
      </c>
      <c r="D56" s="31">
        <f>D23/('Financial Statements'!B57+'Financial Statements'!B67)</f>
        <v>0.13305060725497223</v>
      </c>
      <c r="E56" s="31">
        <f>E23/('Financial Statements'!D57+'Financial Statements'!D67)</f>
        <v>0.18287014853857211</v>
      </c>
      <c r="F56" t="s">
        <v>167</v>
      </c>
    </row>
    <row r="57" spans="1:6" x14ac:dyDescent="0.3">
      <c r="A57" s="22">
        <f t="shared" si="4"/>
        <v>0.2</v>
      </c>
      <c r="B57" s="1" t="s">
        <v>43</v>
      </c>
      <c r="C57" s="31">
        <f>'Financial Statements'!B27/C38</f>
        <v>-6.1637817812921752E-3</v>
      </c>
      <c r="D57" s="31">
        <f>'Financial Statements'!C27/'List of Ratios'!D38</f>
        <v>8.9960956880001719E-2</v>
      </c>
      <c r="E57" s="31">
        <f>'Financial Statements'!D27/'List of Ratios'!E38</f>
        <v>6.6411370040006856E-2</v>
      </c>
    </row>
    <row r="58" spans="1:6" x14ac:dyDescent="0.3">
      <c r="A58" s="22">
        <f t="shared" si="4"/>
        <v>5.7999999999999972</v>
      </c>
      <c r="B58" s="1" t="s">
        <v>54</v>
      </c>
      <c r="C58" s="36">
        <f>C59/C21</f>
        <v>47.562574046649395</v>
      </c>
      <c r="D58" s="36">
        <f>D59/D21</f>
        <v>23.621263222979422</v>
      </c>
    </row>
    <row r="59" spans="1:6" x14ac:dyDescent="0.3">
      <c r="A59" s="22"/>
      <c r="B59" s="19" t="s">
        <v>55</v>
      </c>
      <c r="C59" s="36">
        <f>(C47*C61)+('Financial Statements'!C57)-('Financial Statements'!C39)</f>
        <v>1027732.1000000001</v>
      </c>
      <c r="D59" s="36">
        <f>(D47*C61)+('Financial Statements'!B57)-('Financial Statements'!B39)</f>
        <v>1757351.12</v>
      </c>
      <c r="F59" t="s">
        <v>168</v>
      </c>
    </row>
    <row r="61" spans="1:6" x14ac:dyDescent="0.3">
      <c r="B61" s="1" t="s">
        <v>159</v>
      </c>
      <c r="C61" s="16">
        <v>10242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36" zoomScale="74" workbookViewId="0">
      <selection activeCell="A43" sqref="A43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1" t="s">
        <v>10</v>
      </c>
      <c r="B2" s="41"/>
      <c r="C2" s="41"/>
      <c r="D2" s="41"/>
    </row>
    <row r="3" spans="1:10" x14ac:dyDescent="0.3">
      <c r="B3" s="40" t="s">
        <v>57</v>
      </c>
      <c r="C3" s="40"/>
      <c r="D3" s="40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B5" s="9">
        <v>2022</v>
      </c>
      <c r="C5" s="9">
        <v>2021</v>
      </c>
      <c r="D5" s="9">
        <v>2020</v>
      </c>
    </row>
    <row r="6" spans="1:10" x14ac:dyDescent="0.3">
      <c r="A6" t="s">
        <v>64</v>
      </c>
    </row>
    <row r="7" spans="1:10" x14ac:dyDescent="0.3">
      <c r="A7" s="1" t="s">
        <v>65</v>
      </c>
      <c r="B7" s="10">
        <v>220747</v>
      </c>
      <c r="C7" s="10">
        <v>241787</v>
      </c>
      <c r="D7" s="10">
        <v>215915</v>
      </c>
    </row>
    <row r="8" spans="1:10" x14ac:dyDescent="0.3">
      <c r="A8" s="1" t="s">
        <v>66</v>
      </c>
      <c r="B8" s="10">
        <v>53768</v>
      </c>
      <c r="C8" s="10">
        <v>228035</v>
      </c>
      <c r="D8" s="10">
        <v>170149</v>
      </c>
    </row>
    <row r="9" spans="1:10" x14ac:dyDescent="0.3">
      <c r="A9" s="11" t="s">
        <v>67</v>
      </c>
      <c r="B9" s="12">
        <v>513983</v>
      </c>
      <c r="C9" s="12">
        <f t="shared" ref="C9" si="0">+C7+C8</f>
        <v>469822</v>
      </c>
      <c r="D9" s="12">
        <f>+D7+D8</f>
        <v>386064</v>
      </c>
    </row>
    <row r="10" spans="1:10" x14ac:dyDescent="0.3">
      <c r="A10" t="s">
        <v>76</v>
      </c>
      <c r="B10" s="10">
        <v>288831</v>
      </c>
      <c r="C10" s="10">
        <v>272344</v>
      </c>
      <c r="D10" s="10">
        <v>233307</v>
      </c>
    </row>
    <row r="11" spans="1:10" x14ac:dyDescent="0.3">
      <c r="A11" s="11" t="s">
        <v>11</v>
      </c>
      <c r="B11" s="12">
        <f>B9-B10</f>
        <v>225152</v>
      </c>
      <c r="C11" s="12">
        <f>C9-C10</f>
        <v>197478</v>
      </c>
      <c r="D11" s="12">
        <f>D9-D10</f>
        <v>152757</v>
      </c>
    </row>
    <row r="12" spans="1:10" x14ac:dyDescent="0.3">
      <c r="A12" t="s">
        <v>68</v>
      </c>
      <c r="B12" s="10"/>
      <c r="C12" s="10"/>
      <c r="D12" s="10"/>
    </row>
    <row r="13" spans="1:10" x14ac:dyDescent="0.3">
      <c r="A13" s="1" t="s">
        <v>77</v>
      </c>
      <c r="B13" s="10">
        <v>84299</v>
      </c>
      <c r="C13" s="10">
        <v>75111</v>
      </c>
      <c r="D13" s="10">
        <v>58517</v>
      </c>
    </row>
    <row r="14" spans="1:10" x14ac:dyDescent="0.3">
      <c r="A14" s="1" t="s">
        <v>78</v>
      </c>
      <c r="B14" s="10">
        <v>73213</v>
      </c>
      <c r="C14" s="10">
        <v>56052</v>
      </c>
      <c r="D14" s="10">
        <v>42740</v>
      </c>
    </row>
    <row r="15" spans="1:10" x14ac:dyDescent="0.3">
      <c r="A15" s="1" t="s">
        <v>79</v>
      </c>
      <c r="B15" s="10">
        <v>42238</v>
      </c>
      <c r="C15" s="10">
        <v>32551</v>
      </c>
      <c r="D15" s="10">
        <v>22008</v>
      </c>
    </row>
    <row r="16" spans="1:10" x14ac:dyDescent="0.3">
      <c r="A16" s="1" t="s">
        <v>80</v>
      </c>
      <c r="B16" s="10">
        <v>11891</v>
      </c>
      <c r="C16" s="10">
        <v>8823</v>
      </c>
      <c r="D16" s="10">
        <v>6668</v>
      </c>
    </row>
    <row r="17" spans="1:4" x14ac:dyDescent="0.3">
      <c r="A17" s="1" t="s">
        <v>81</v>
      </c>
      <c r="B17" s="10">
        <v>1263</v>
      </c>
      <c r="C17" s="10">
        <v>62</v>
      </c>
      <c r="D17" s="10">
        <v>-75</v>
      </c>
    </row>
    <row r="18" spans="1:4" s="11" customFormat="1" x14ac:dyDescent="0.3">
      <c r="A18" s="11" t="s">
        <v>69</v>
      </c>
      <c r="B18" s="12">
        <f>SUM(B13:B17)</f>
        <v>212904</v>
      </c>
      <c r="C18" s="12">
        <f>SUM(C13:C17)</f>
        <v>172599</v>
      </c>
      <c r="D18" s="12">
        <f>SUM(D13:D17)</f>
        <v>129858</v>
      </c>
    </row>
    <row r="19" spans="1:4" x14ac:dyDescent="0.3">
      <c r="A19" s="11" t="s">
        <v>70</v>
      </c>
      <c r="B19" s="12">
        <f>B11-B18</f>
        <v>12248</v>
      </c>
      <c r="C19" s="12">
        <f>+C11-C18</f>
        <v>24879</v>
      </c>
      <c r="D19" s="12">
        <f>D11-D18</f>
        <v>22899</v>
      </c>
    </row>
    <row r="20" spans="1:4" x14ac:dyDescent="0.3">
      <c r="A20" s="24" t="s">
        <v>82</v>
      </c>
      <c r="B20" s="25">
        <v>989</v>
      </c>
      <c r="C20" s="25">
        <v>448</v>
      </c>
      <c r="D20" s="25">
        <v>555</v>
      </c>
    </row>
    <row r="21" spans="1:4" x14ac:dyDescent="0.3">
      <c r="A21" s="24" t="s">
        <v>83</v>
      </c>
      <c r="B21" s="25">
        <v>-2367</v>
      </c>
      <c r="C21" s="25">
        <v>-1809</v>
      </c>
      <c r="D21" s="25">
        <v>-1647</v>
      </c>
    </row>
    <row r="22" spans="1:4" x14ac:dyDescent="0.3">
      <c r="A22" s="26" t="s">
        <v>84</v>
      </c>
      <c r="B22" s="25">
        <v>-16806</v>
      </c>
      <c r="C22" s="25">
        <v>14633</v>
      </c>
      <c r="D22" s="25">
        <v>2371</v>
      </c>
    </row>
    <row r="23" spans="1:4" x14ac:dyDescent="0.3">
      <c r="A23" s="26" t="s">
        <v>85</v>
      </c>
      <c r="B23" s="25">
        <v>-18184</v>
      </c>
      <c r="C23" s="25">
        <v>-13272</v>
      </c>
      <c r="D23" s="25">
        <f>SUM(D20:D22)</f>
        <v>1279</v>
      </c>
    </row>
    <row r="24" spans="1:4" x14ac:dyDescent="0.3">
      <c r="A24" s="26" t="s">
        <v>86</v>
      </c>
      <c r="B24" s="25">
        <v>-5936</v>
      </c>
      <c r="C24" s="25">
        <v>38151</v>
      </c>
      <c r="D24" s="25">
        <f>D19+D23</f>
        <v>24178</v>
      </c>
    </row>
    <row r="25" spans="1:4" x14ac:dyDescent="0.3">
      <c r="A25" s="26" t="s">
        <v>87</v>
      </c>
      <c r="B25" s="25">
        <v>3217</v>
      </c>
      <c r="C25" s="25">
        <v>-4791</v>
      </c>
      <c r="D25" s="25">
        <v>-2863</v>
      </c>
    </row>
    <row r="26" spans="1:4" x14ac:dyDescent="0.3">
      <c r="A26" s="26" t="s">
        <v>88</v>
      </c>
      <c r="B26" s="25">
        <v>-3</v>
      </c>
      <c r="C26" s="25">
        <v>4</v>
      </c>
      <c r="D26" s="25">
        <v>16</v>
      </c>
    </row>
    <row r="27" spans="1:4" ht="15" thickBot="1" x14ac:dyDescent="0.35">
      <c r="A27" s="13" t="s">
        <v>89</v>
      </c>
      <c r="B27" s="14">
        <f>SUM(B24:B26)</f>
        <v>-2722</v>
      </c>
      <c r="C27" s="14">
        <f>SUM(C24:C26)</f>
        <v>33364</v>
      </c>
      <c r="D27" s="14">
        <f>SUM(D24:D26)</f>
        <v>21331</v>
      </c>
    </row>
    <row r="28" spans="1:4" ht="15" thickTop="1" x14ac:dyDescent="0.3">
      <c r="A28" t="s">
        <v>72</v>
      </c>
    </row>
    <row r="29" spans="1:4" x14ac:dyDescent="0.3">
      <c r="A29" s="1" t="s">
        <v>73</v>
      </c>
      <c r="B29" s="15">
        <v>-0.27</v>
      </c>
      <c r="C29" s="15">
        <v>3.3</v>
      </c>
      <c r="D29" s="15">
        <v>2.13</v>
      </c>
    </row>
    <row r="30" spans="1:4" x14ac:dyDescent="0.3">
      <c r="A30" s="1" t="s">
        <v>74</v>
      </c>
      <c r="B30" s="15">
        <v>-0.27</v>
      </c>
      <c r="C30" s="15">
        <v>3.24</v>
      </c>
      <c r="D30" s="15">
        <v>2.09</v>
      </c>
    </row>
    <row r="31" spans="1:4" x14ac:dyDescent="0.3">
      <c r="A31" t="s">
        <v>75</v>
      </c>
    </row>
    <row r="32" spans="1:4" x14ac:dyDescent="0.3">
      <c r="A32" s="1" t="s">
        <v>73</v>
      </c>
      <c r="B32" s="16">
        <v>10189</v>
      </c>
      <c r="C32" s="16">
        <v>10117</v>
      </c>
      <c r="D32" s="16">
        <v>10005</v>
      </c>
    </row>
    <row r="33" spans="1:4" x14ac:dyDescent="0.3">
      <c r="A33" s="1" t="s">
        <v>74</v>
      </c>
      <c r="B33" s="16">
        <v>10189</v>
      </c>
      <c r="C33" s="16">
        <v>10296</v>
      </c>
      <c r="D33" s="16">
        <v>10198</v>
      </c>
    </row>
    <row r="35" spans="1:4" x14ac:dyDescent="0.3">
      <c r="A35" s="41" t="s">
        <v>12</v>
      </c>
      <c r="B35" s="41"/>
      <c r="C35" s="41"/>
      <c r="D35" s="41"/>
    </row>
    <row r="36" spans="1:4" x14ac:dyDescent="0.3">
      <c r="B36" s="40" t="s">
        <v>58</v>
      </c>
      <c r="C36" s="40"/>
      <c r="D36" s="40"/>
    </row>
    <row r="37" spans="1:4" x14ac:dyDescent="0.3">
      <c r="A37" s="9" t="s">
        <v>90</v>
      </c>
      <c r="B37" s="9">
        <v>2021</v>
      </c>
      <c r="C37" s="9">
        <v>2022</v>
      </c>
      <c r="D37" s="9">
        <v>2020</v>
      </c>
    </row>
    <row r="38" spans="1:4" x14ac:dyDescent="0.3">
      <c r="A38" t="s">
        <v>91</v>
      </c>
    </row>
    <row r="39" spans="1:4" x14ac:dyDescent="0.3">
      <c r="A39" t="s">
        <v>92</v>
      </c>
      <c r="B39">
        <v>36220</v>
      </c>
      <c r="C39">
        <v>53888</v>
      </c>
      <c r="D39" s="16">
        <v>42122</v>
      </c>
    </row>
    <row r="40" spans="1:4" x14ac:dyDescent="0.3">
      <c r="A40" s="1" t="s">
        <v>93</v>
      </c>
      <c r="B40" s="10">
        <v>59829</v>
      </c>
      <c r="C40" s="10">
        <v>16138</v>
      </c>
      <c r="D40" s="10">
        <v>42274</v>
      </c>
    </row>
    <row r="41" spans="1:4" x14ac:dyDescent="0.3">
      <c r="A41" s="1" t="s">
        <v>94</v>
      </c>
      <c r="B41" s="10">
        <v>32640</v>
      </c>
      <c r="C41" s="10">
        <v>34405</v>
      </c>
      <c r="D41" s="10">
        <v>23795</v>
      </c>
    </row>
    <row r="42" spans="1:4" x14ac:dyDescent="0.3">
      <c r="A42" s="1" t="s">
        <v>95</v>
      </c>
      <c r="B42" s="10">
        <v>32891</v>
      </c>
      <c r="C42" s="10">
        <v>42360</v>
      </c>
      <c r="D42" s="10">
        <v>24542</v>
      </c>
    </row>
    <row r="43" spans="1:4" x14ac:dyDescent="0.3">
      <c r="A43" s="18" t="s">
        <v>96</v>
      </c>
      <c r="B43" s="10">
        <f>SUM(B39:B42)</f>
        <v>161580</v>
      </c>
      <c r="C43" s="10">
        <f>SUM(C39:C42)</f>
        <v>146791</v>
      </c>
      <c r="D43" s="10">
        <f>SUM(D39:D42)</f>
        <v>132733</v>
      </c>
    </row>
    <row r="44" spans="1:4" x14ac:dyDescent="0.3">
      <c r="A44" s="1" t="s">
        <v>97</v>
      </c>
      <c r="B44" s="10">
        <v>160281</v>
      </c>
      <c r="C44" s="10">
        <v>186715</v>
      </c>
      <c r="D44" s="10">
        <v>113114</v>
      </c>
    </row>
    <row r="45" spans="1:4" x14ac:dyDescent="0.3">
      <c r="A45" s="1" t="s">
        <v>98</v>
      </c>
      <c r="B45" s="10">
        <v>56082</v>
      </c>
      <c r="C45" s="10">
        <v>66123</v>
      </c>
      <c r="D45" s="10">
        <v>37553</v>
      </c>
    </row>
    <row r="46" spans="1:4" x14ac:dyDescent="0.3">
      <c r="A46" s="27" t="s">
        <v>99</v>
      </c>
      <c r="B46" s="12">
        <v>15371</v>
      </c>
      <c r="C46" s="12">
        <v>20288</v>
      </c>
      <c r="D46" s="12">
        <v>15017</v>
      </c>
    </row>
    <row r="47" spans="1:4" x14ac:dyDescent="0.3">
      <c r="A47" s="1" t="s">
        <v>101</v>
      </c>
      <c r="B47" s="10">
        <v>27235</v>
      </c>
      <c r="C47" s="10">
        <v>42758</v>
      </c>
      <c r="D47" s="10">
        <v>22778</v>
      </c>
    </row>
    <row r="48" spans="1:4" x14ac:dyDescent="0.3">
      <c r="A48" s="18" t="s">
        <v>100</v>
      </c>
      <c r="B48" s="10">
        <f>SUM(B43:B47)</f>
        <v>420549</v>
      </c>
      <c r="C48" s="10">
        <f>SUM(C43:C47)</f>
        <v>462675</v>
      </c>
      <c r="D48" s="10">
        <f>SUM(D43:D47)</f>
        <v>321195</v>
      </c>
    </row>
    <row r="49" spans="1:4" x14ac:dyDescent="0.3">
      <c r="A49" s="1"/>
      <c r="B49" s="10"/>
      <c r="C49" s="10"/>
      <c r="D49" s="10"/>
    </row>
    <row r="50" spans="1:4" x14ac:dyDescent="0.3">
      <c r="A50" s="1" t="s">
        <v>102</v>
      </c>
      <c r="B50" s="10"/>
      <c r="C50" s="10"/>
      <c r="D50" s="10"/>
    </row>
    <row r="51" spans="1:4" x14ac:dyDescent="0.3">
      <c r="A51" s="11" t="s">
        <v>103</v>
      </c>
      <c r="B51" s="12"/>
      <c r="C51" s="12"/>
      <c r="D51" s="12"/>
    </row>
    <row r="52" spans="1:4" s="35" customFormat="1" ht="15" thickBot="1" x14ac:dyDescent="0.35">
      <c r="A52" s="33" t="s">
        <v>104</v>
      </c>
      <c r="B52" s="34">
        <v>78664</v>
      </c>
      <c r="C52" s="34">
        <v>79600</v>
      </c>
      <c r="D52" s="34">
        <v>72539</v>
      </c>
    </row>
    <row r="53" spans="1:4" ht="15" thickTop="1" x14ac:dyDescent="0.3">
      <c r="A53" t="s">
        <v>105</v>
      </c>
      <c r="B53">
        <v>51775</v>
      </c>
      <c r="C53">
        <v>62566</v>
      </c>
      <c r="D53">
        <v>44138</v>
      </c>
    </row>
    <row r="54" spans="1:4" x14ac:dyDescent="0.3">
      <c r="A54" t="s">
        <v>106</v>
      </c>
      <c r="B54">
        <v>11827</v>
      </c>
      <c r="C54">
        <v>13227</v>
      </c>
      <c r="D54">
        <v>9708</v>
      </c>
    </row>
    <row r="55" spans="1:4" x14ac:dyDescent="0.3">
      <c r="A55" s="18" t="s">
        <v>107</v>
      </c>
      <c r="B55" s="10">
        <v>142266</v>
      </c>
      <c r="C55" s="10">
        <v>155393</v>
      </c>
      <c r="D55" s="10">
        <f>SUM(D52:D54)</f>
        <v>126385</v>
      </c>
    </row>
    <row r="56" spans="1:4" x14ac:dyDescent="0.3">
      <c r="A56" s="1" t="s">
        <v>108</v>
      </c>
      <c r="B56" s="10">
        <v>67651</v>
      </c>
      <c r="C56" s="10">
        <v>72968</v>
      </c>
      <c r="D56" s="10">
        <v>52573</v>
      </c>
    </row>
    <row r="57" spans="1:4" x14ac:dyDescent="0.3">
      <c r="A57" s="1" t="s">
        <v>109</v>
      </c>
      <c r="B57" s="10">
        <v>48744</v>
      </c>
      <c r="C57" s="10">
        <v>67150</v>
      </c>
      <c r="D57" s="10">
        <v>31816</v>
      </c>
    </row>
    <row r="58" spans="1:4" x14ac:dyDescent="0.3">
      <c r="A58" s="1" t="s">
        <v>110</v>
      </c>
      <c r="B58" s="10">
        <v>23643</v>
      </c>
      <c r="C58" s="10">
        <v>21121</v>
      </c>
      <c r="D58" s="10">
        <v>17017</v>
      </c>
    </row>
    <row r="59" spans="1:4" x14ac:dyDescent="0.3">
      <c r="A59" s="1" t="s">
        <v>111</v>
      </c>
      <c r="B59" s="10"/>
      <c r="C59" s="10"/>
      <c r="D59" s="10"/>
    </row>
    <row r="60" spans="1:4" x14ac:dyDescent="0.3">
      <c r="A60" s="11" t="s">
        <v>112</v>
      </c>
      <c r="B60" s="12"/>
      <c r="C60" s="12"/>
      <c r="D60" s="12"/>
    </row>
    <row r="61" spans="1:4" x14ac:dyDescent="0.3">
      <c r="A61" t="s">
        <v>113</v>
      </c>
      <c r="B61" s="10">
        <v>0</v>
      </c>
      <c r="C61" s="10">
        <v>0</v>
      </c>
      <c r="D61" s="10"/>
    </row>
    <row r="62" spans="1:4" x14ac:dyDescent="0.3">
      <c r="A62" s="1" t="s">
        <v>120</v>
      </c>
      <c r="B62" s="10">
        <v>106</v>
      </c>
      <c r="C62" s="10">
        <v>108</v>
      </c>
      <c r="D62" s="10" t="s">
        <v>158</v>
      </c>
    </row>
    <row r="63" spans="1:4" x14ac:dyDescent="0.3">
      <c r="A63" s="1" t="s">
        <v>114</v>
      </c>
      <c r="B63" s="10">
        <v>-1837</v>
      </c>
      <c r="C63" s="10">
        <v>-7837</v>
      </c>
      <c r="D63" s="10">
        <v>-1837</v>
      </c>
    </row>
    <row r="64" spans="1:4" x14ac:dyDescent="0.3">
      <c r="A64" s="1" t="s">
        <v>115</v>
      </c>
      <c r="B64" s="10">
        <v>55437</v>
      </c>
      <c r="C64" s="10">
        <v>75066</v>
      </c>
      <c r="D64" s="10">
        <v>42865</v>
      </c>
    </row>
    <row r="65" spans="1:4" x14ac:dyDescent="0.3">
      <c r="A65" s="27" t="s">
        <v>116</v>
      </c>
      <c r="B65" s="12">
        <v>-1376</v>
      </c>
      <c r="C65" s="12">
        <v>-4487</v>
      </c>
      <c r="D65" s="12">
        <v>-180</v>
      </c>
    </row>
    <row r="66" spans="1:4" x14ac:dyDescent="0.3">
      <c r="A66" t="s">
        <v>117</v>
      </c>
      <c r="B66" s="10">
        <v>85915</v>
      </c>
      <c r="C66" s="10">
        <v>83193</v>
      </c>
      <c r="D66" s="10">
        <v>52551</v>
      </c>
    </row>
    <row r="67" spans="1:4" x14ac:dyDescent="0.3">
      <c r="A67" t="s">
        <v>118</v>
      </c>
      <c r="B67" s="10">
        <v>138245</v>
      </c>
      <c r="C67" s="10">
        <v>146043</v>
      </c>
      <c r="D67" s="10">
        <v>93404</v>
      </c>
    </row>
    <row r="68" spans="1:4" x14ac:dyDescent="0.3">
      <c r="A68" s="18" t="s">
        <v>119</v>
      </c>
      <c r="B68" s="10">
        <v>420549</v>
      </c>
      <c r="C68" s="10">
        <v>462675</v>
      </c>
      <c r="D68" s="10">
        <f>SUM(D63:D67)</f>
        <v>186803</v>
      </c>
    </row>
    <row r="69" spans="1:4" x14ac:dyDescent="0.3">
      <c r="A69" s="18" t="s">
        <v>162</v>
      </c>
      <c r="B69" s="10">
        <f>B68-B67</f>
        <v>282304</v>
      </c>
      <c r="C69" s="10">
        <f>C68-C67</f>
        <v>316632</v>
      </c>
      <c r="D69" s="10">
        <f>D68-D67</f>
        <v>93399</v>
      </c>
    </row>
    <row r="70" spans="1:4" x14ac:dyDescent="0.3">
      <c r="A70" s="1"/>
      <c r="B70" s="10"/>
      <c r="C70" s="10"/>
      <c r="D70" s="10"/>
    </row>
    <row r="71" spans="1:4" x14ac:dyDescent="0.3">
      <c r="A71" s="11"/>
      <c r="B71" s="12"/>
      <c r="C71" s="12"/>
      <c r="D71" s="12"/>
    </row>
    <row r="72" spans="1:4" ht="15" thickBot="1" x14ac:dyDescent="0.35">
      <c r="A72" s="13"/>
      <c r="B72" s="14"/>
      <c r="C72" s="14"/>
      <c r="D72" s="14"/>
    </row>
    <row r="73" spans="1:4" ht="15" thickTop="1" x14ac:dyDescent="0.3"/>
    <row r="74" spans="1:4" x14ac:dyDescent="0.3">
      <c r="A74" s="41" t="s">
        <v>13</v>
      </c>
      <c r="B74" s="41"/>
      <c r="C74" s="41"/>
      <c r="D74" s="41"/>
    </row>
    <row r="75" spans="1:4" x14ac:dyDescent="0.3">
      <c r="B75" s="40" t="s">
        <v>57</v>
      </c>
      <c r="C75" s="40"/>
      <c r="D75" s="40"/>
    </row>
    <row r="76" spans="1:4" x14ac:dyDescent="0.3">
      <c r="B76" s="9">
        <v>2020</v>
      </c>
      <c r="C76" s="9">
        <v>2021</v>
      </c>
      <c r="D76" s="9">
        <v>2022</v>
      </c>
    </row>
    <row r="77" spans="1:4" x14ac:dyDescent="0.3">
      <c r="A77" s="9" t="s">
        <v>121</v>
      </c>
      <c r="B77" s="17"/>
      <c r="C77" s="17"/>
      <c r="D77" s="17"/>
    </row>
    <row r="78" spans="1:4" x14ac:dyDescent="0.3">
      <c r="A78" t="s">
        <v>122</v>
      </c>
      <c r="B78" s="10"/>
      <c r="C78" s="10"/>
      <c r="D78" s="10"/>
    </row>
    <row r="79" spans="1:4" x14ac:dyDescent="0.3">
      <c r="A79" s="18" t="s">
        <v>71</v>
      </c>
      <c r="B79" s="17">
        <v>21331</v>
      </c>
      <c r="C79" s="17">
        <v>33364</v>
      </c>
      <c r="D79" s="17">
        <v>-2722</v>
      </c>
    </row>
    <row r="80" spans="1:4" x14ac:dyDescent="0.3">
      <c r="A80" s="1" t="s">
        <v>123</v>
      </c>
      <c r="B80" s="10"/>
      <c r="C80" s="10"/>
      <c r="D80" s="10"/>
    </row>
    <row r="81" spans="1:4" x14ac:dyDescent="0.3">
      <c r="A81" s="19" t="s">
        <v>124</v>
      </c>
      <c r="B81" s="10">
        <v>25180</v>
      </c>
      <c r="C81" s="10">
        <v>34433</v>
      </c>
      <c r="D81" s="10">
        <v>41921</v>
      </c>
    </row>
    <row r="82" spans="1:4" x14ac:dyDescent="0.3">
      <c r="A82" s="19" t="s">
        <v>125</v>
      </c>
      <c r="B82" s="10">
        <v>9208</v>
      </c>
      <c r="C82" s="10">
        <v>12757</v>
      </c>
      <c r="D82" s="10">
        <v>19621</v>
      </c>
    </row>
    <row r="83" spans="1:4" x14ac:dyDescent="0.3">
      <c r="A83" s="19" t="s">
        <v>140</v>
      </c>
      <c r="B83" s="10">
        <v>-2582</v>
      </c>
      <c r="C83" s="10">
        <v>-14306</v>
      </c>
      <c r="D83" s="10">
        <v>16966</v>
      </c>
    </row>
    <row r="84" spans="1:4" x14ac:dyDescent="0.3">
      <c r="A84" s="19" t="s">
        <v>126</v>
      </c>
      <c r="B84" s="10">
        <v>-554</v>
      </c>
      <c r="C84" s="10">
        <v>-310</v>
      </c>
      <c r="D84" s="10">
        <v>-8148</v>
      </c>
    </row>
    <row r="85" spans="1:4" x14ac:dyDescent="0.3">
      <c r="A85" t="s">
        <v>127</v>
      </c>
      <c r="B85" s="10"/>
      <c r="C85" s="10"/>
      <c r="D85" s="10"/>
    </row>
    <row r="86" spans="1:4" x14ac:dyDescent="0.3">
      <c r="A86" s="1" t="s">
        <v>128</v>
      </c>
      <c r="B86" s="10">
        <v>-8169</v>
      </c>
      <c r="C86" s="10">
        <v>-18163</v>
      </c>
      <c r="D86" s="10">
        <v>-21897</v>
      </c>
    </row>
    <row r="87" spans="1:4" x14ac:dyDescent="0.3">
      <c r="A87" s="1" t="s">
        <v>94</v>
      </c>
      <c r="B87" s="10">
        <v>-2849</v>
      </c>
      <c r="C87" s="10">
        <v>-9487</v>
      </c>
      <c r="D87" s="10">
        <v>-2592</v>
      </c>
    </row>
    <row r="88" spans="1:4" x14ac:dyDescent="0.3">
      <c r="A88" s="1" t="s">
        <v>104</v>
      </c>
      <c r="B88" s="10">
        <v>17480</v>
      </c>
      <c r="C88" s="10">
        <v>3602</v>
      </c>
      <c r="D88" s="10">
        <v>2945</v>
      </c>
    </row>
    <row r="89" spans="1:4" x14ac:dyDescent="0.3">
      <c r="A89" s="1" t="s">
        <v>141</v>
      </c>
      <c r="B89" s="10">
        <v>5754</v>
      </c>
      <c r="C89" s="10">
        <v>2123</v>
      </c>
      <c r="D89" s="10">
        <v>-1558</v>
      </c>
    </row>
    <row r="90" spans="1:4" x14ac:dyDescent="0.3">
      <c r="A90" s="1" t="s">
        <v>129</v>
      </c>
      <c r="B90" s="10">
        <v>1265</v>
      </c>
      <c r="C90" s="10">
        <v>2314</v>
      </c>
      <c r="D90" s="10">
        <v>2216</v>
      </c>
    </row>
    <row r="91" spans="1:4" x14ac:dyDescent="0.3">
      <c r="A91" s="11" t="s">
        <v>130</v>
      </c>
      <c r="B91" s="12">
        <f>+SUM(B78:B90)</f>
        <v>66064</v>
      </c>
      <c r="C91" s="12">
        <f>+SUM(C78:C90)</f>
        <v>46327</v>
      </c>
      <c r="D91" s="12">
        <f>+SUM(D78:D90)</f>
        <v>46752</v>
      </c>
    </row>
    <row r="92" spans="1:4" x14ac:dyDescent="0.3">
      <c r="A92" s="9" t="s">
        <v>131</v>
      </c>
      <c r="B92" s="10"/>
      <c r="C92" s="10"/>
      <c r="D92" s="10"/>
    </row>
    <row r="93" spans="1:4" x14ac:dyDescent="0.3">
      <c r="A93" s="1" t="s">
        <v>132</v>
      </c>
      <c r="B93" s="10">
        <v>-72479</v>
      </c>
      <c r="C93" s="10">
        <v>-60157</v>
      </c>
      <c r="D93" s="10">
        <v>-2565</v>
      </c>
    </row>
    <row r="94" spans="1:4" x14ac:dyDescent="0.3">
      <c r="A94" s="1" t="s">
        <v>144</v>
      </c>
      <c r="B94" s="10">
        <v>50237</v>
      </c>
      <c r="C94" s="10">
        <v>59384</v>
      </c>
      <c r="D94" s="10">
        <v>31601</v>
      </c>
    </row>
    <row r="95" spans="1:4" x14ac:dyDescent="0.3">
      <c r="A95" s="1" t="s">
        <v>142</v>
      </c>
      <c r="B95" s="10">
        <v>5096</v>
      </c>
      <c r="C95" s="10">
        <v>5657</v>
      </c>
      <c r="D95" s="10">
        <v>5324</v>
      </c>
    </row>
    <row r="96" spans="1:4" x14ac:dyDescent="0.3">
      <c r="A96" s="1" t="s">
        <v>133</v>
      </c>
      <c r="B96" s="10">
        <v>-40140</v>
      </c>
      <c r="C96" s="10">
        <v>-61053</v>
      </c>
      <c r="D96" s="10">
        <v>-63645</v>
      </c>
    </row>
    <row r="97" spans="1:4" x14ac:dyDescent="0.3">
      <c r="A97" s="1" t="s">
        <v>143</v>
      </c>
      <c r="B97" s="10">
        <v>-2325</v>
      </c>
      <c r="C97" s="10">
        <v>-1985</v>
      </c>
      <c r="D97" s="10">
        <v>-8316</v>
      </c>
    </row>
    <row r="98" spans="1:4" x14ac:dyDescent="0.3">
      <c r="A98" s="11" t="s">
        <v>134</v>
      </c>
      <c r="B98" s="12">
        <f>+SUM(B93:B97)</f>
        <v>-59611</v>
      </c>
      <c r="C98" s="12">
        <f>+SUM(C93:C97)</f>
        <v>-58154</v>
      </c>
      <c r="D98" s="12">
        <f>+SUM(D93:D97)</f>
        <v>-37601</v>
      </c>
    </row>
    <row r="99" spans="1:4" x14ac:dyDescent="0.3">
      <c r="A99" s="9" t="s">
        <v>135</v>
      </c>
      <c r="B99" s="29"/>
      <c r="C99" s="10"/>
      <c r="D99" s="10"/>
    </row>
    <row r="100" spans="1:4" x14ac:dyDescent="0.3">
      <c r="A100" s="1" t="s">
        <v>149</v>
      </c>
      <c r="B100" s="29">
        <v>-10642</v>
      </c>
      <c r="C100" s="10">
        <v>-11163</v>
      </c>
      <c r="D100" s="10">
        <v>-7941</v>
      </c>
    </row>
    <row r="101" spans="1:4" x14ac:dyDescent="0.3">
      <c r="A101" s="1" t="s">
        <v>150</v>
      </c>
      <c r="B101" s="29">
        <v>-53</v>
      </c>
      <c r="C101" s="10">
        <v>-162</v>
      </c>
      <c r="D101" s="10">
        <v>-248</v>
      </c>
    </row>
    <row r="102" spans="1:4" x14ac:dyDescent="0.3">
      <c r="A102" s="1" t="s">
        <v>136</v>
      </c>
      <c r="B102" s="29">
        <v>0</v>
      </c>
      <c r="C102" s="10">
        <v>0</v>
      </c>
      <c r="D102" s="10">
        <v>-6000</v>
      </c>
    </row>
    <row r="103" spans="1:4" x14ac:dyDescent="0.3">
      <c r="A103" s="1" t="s">
        <v>147</v>
      </c>
      <c r="B103" s="29">
        <v>10525</v>
      </c>
      <c r="C103" s="10">
        <v>19003</v>
      </c>
      <c r="D103" s="10">
        <v>21166</v>
      </c>
    </row>
    <row r="104" spans="1:4" x14ac:dyDescent="0.3">
      <c r="A104" s="1" t="s">
        <v>146</v>
      </c>
      <c r="B104" s="29">
        <v>-6177</v>
      </c>
      <c r="C104" s="10">
        <v>-7753</v>
      </c>
      <c r="D104" s="10">
        <v>-37554</v>
      </c>
    </row>
    <row r="105" spans="1:4" x14ac:dyDescent="0.3">
      <c r="A105" s="1" t="s">
        <v>145</v>
      </c>
      <c r="B105" s="29">
        <v>6796</v>
      </c>
      <c r="C105" s="10">
        <v>7956</v>
      </c>
      <c r="D105" s="10">
        <v>41553</v>
      </c>
    </row>
    <row r="106" spans="1:4" x14ac:dyDescent="0.3">
      <c r="A106" s="1" t="s">
        <v>148</v>
      </c>
      <c r="B106" s="29">
        <v>-1553</v>
      </c>
      <c r="C106" s="10">
        <v>-1590</v>
      </c>
      <c r="D106" s="10">
        <v>-1258</v>
      </c>
    </row>
    <row r="107" spans="1:4" x14ac:dyDescent="0.3">
      <c r="A107" s="11" t="s">
        <v>137</v>
      </c>
      <c r="B107" s="12">
        <f>+SUM(B100:B106)</f>
        <v>-1104</v>
      </c>
      <c r="C107" s="12">
        <f t="shared" ref="C107:D107" si="1">+SUM(C100:C106)</f>
        <v>6291</v>
      </c>
      <c r="D107" s="12">
        <f t="shared" si="1"/>
        <v>9718</v>
      </c>
    </row>
    <row r="108" spans="1:4" x14ac:dyDescent="0.3">
      <c r="A108" s="11" t="s">
        <v>151</v>
      </c>
      <c r="B108" s="12">
        <v>618</v>
      </c>
      <c r="C108" s="12">
        <v>-364</v>
      </c>
      <c r="D108" s="12">
        <v>-1093</v>
      </c>
    </row>
    <row r="109" spans="1:4" x14ac:dyDescent="0.3">
      <c r="A109" s="11" t="s">
        <v>138</v>
      </c>
      <c r="B109" s="12">
        <v>5967</v>
      </c>
      <c r="C109" s="12">
        <v>-5900</v>
      </c>
      <c r="D109" s="12">
        <v>17776</v>
      </c>
    </row>
    <row r="110" spans="1:4" ht="15" thickBot="1" x14ac:dyDescent="0.35">
      <c r="A110" s="13" t="s">
        <v>139</v>
      </c>
      <c r="B110" s="14">
        <v>42377</v>
      </c>
      <c r="C110" s="14">
        <v>36477</v>
      </c>
      <c r="D110" s="14">
        <v>54253</v>
      </c>
    </row>
    <row r="111" spans="1:4" ht="15" thickTop="1" x14ac:dyDescent="0.3">
      <c r="B111" s="10"/>
      <c r="C111" s="10"/>
      <c r="D111" s="10"/>
    </row>
    <row r="112" spans="1:4" x14ac:dyDescent="0.3">
      <c r="A112" s="30"/>
      <c r="B112" s="28"/>
      <c r="C112" s="28"/>
      <c r="D112" s="28"/>
    </row>
    <row r="113" spans="1:4" x14ac:dyDescent="0.3">
      <c r="A113" s="30"/>
      <c r="B113" s="28"/>
      <c r="C113" s="28"/>
      <c r="D113" s="28"/>
    </row>
    <row r="114" spans="1:4" x14ac:dyDescent="0.3">
      <c r="A114" s="30"/>
      <c r="B114" s="28"/>
      <c r="C114" s="28"/>
      <c r="D114" s="28"/>
    </row>
    <row r="115" spans="1:4" x14ac:dyDescent="0.3">
      <c r="A115" s="30"/>
      <c r="B115" s="28"/>
      <c r="C115" s="28"/>
      <c r="D115" s="28"/>
    </row>
    <row r="116" spans="1:4" x14ac:dyDescent="0.3">
      <c r="B116" s="10"/>
      <c r="C116" s="10"/>
      <c r="D116" s="10"/>
    </row>
  </sheetData>
  <mergeCells count="6">
    <mergeCell ref="B75:D75"/>
    <mergeCell ref="A2:D2"/>
    <mergeCell ref="B3:D3"/>
    <mergeCell ref="A35:D35"/>
    <mergeCell ref="B36:D36"/>
    <mergeCell ref="A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2020-05-19T16:15:53Z</dcterms:created>
  <dcterms:modified xsi:type="dcterms:W3CDTF">2023-10-05T17:44:54Z</dcterms:modified>
</cp:coreProperties>
</file>