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EABB57F7-7C5C-4F9E-A261-965F1D56993F}" xr6:coauthVersionLast="47" xr6:coauthVersionMax="47" xr10:uidLastSave="{00000000-0000-0000-0000-000000000000}"/>
  <bookViews>
    <workbookView xWindow="2328" yWindow="3012" windowWidth="17280" windowHeight="8964" firstSheet="1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E11" i="3"/>
  <c r="C11" i="3"/>
  <c r="D10" i="3"/>
  <c r="E10" i="3"/>
  <c r="C10" i="3"/>
  <c r="D48" i="3"/>
  <c r="E48" i="3"/>
  <c r="C48" i="3"/>
  <c r="D36" i="3"/>
  <c r="E36" i="3"/>
  <c r="C36" i="3"/>
  <c r="D26" i="3"/>
  <c r="E26" i="3"/>
  <c r="C26" i="3"/>
  <c r="D30" i="3"/>
  <c r="E30" i="3"/>
  <c r="C30" i="3"/>
  <c r="D75" i="3"/>
  <c r="E75" i="3"/>
  <c r="C75" i="3"/>
  <c r="D74" i="3"/>
  <c r="E74" i="3"/>
  <c r="C74" i="3"/>
  <c r="D73" i="3"/>
  <c r="E73" i="3"/>
  <c r="C73" i="3"/>
  <c r="D60" i="3"/>
  <c r="C60" i="3"/>
  <c r="D59" i="3"/>
  <c r="C59" i="3"/>
  <c r="D58" i="3"/>
  <c r="C58" i="3"/>
  <c r="D57" i="3"/>
  <c r="C57" i="3"/>
  <c r="D56" i="3"/>
  <c r="C56" i="3"/>
  <c r="D69" i="3"/>
  <c r="E69" i="3"/>
  <c r="C69" i="3"/>
  <c r="E68" i="3"/>
  <c r="D68" i="3"/>
  <c r="C68" i="3"/>
  <c r="D67" i="3"/>
  <c r="E67" i="3"/>
  <c r="C67" i="3"/>
  <c r="D66" i="3"/>
  <c r="E66" i="3"/>
  <c r="C66" i="3"/>
  <c r="D65" i="3"/>
  <c r="E65" i="3"/>
  <c r="C65" i="3"/>
  <c r="D64" i="3"/>
  <c r="E64" i="3"/>
  <c r="C64" i="3"/>
  <c r="D55" i="3"/>
  <c r="C55" i="3"/>
  <c r="D49" i="3"/>
  <c r="E49" i="3"/>
  <c r="D31" i="3"/>
  <c r="E31" i="3"/>
  <c r="C31" i="3"/>
  <c r="D29" i="3"/>
  <c r="E29" i="3"/>
  <c r="C29" i="3"/>
  <c r="C28" i="3"/>
  <c r="E25" i="3"/>
  <c r="D25" i="3"/>
  <c r="C25" i="3"/>
  <c r="E17" i="3"/>
  <c r="D17" i="3"/>
  <c r="C17" i="3"/>
  <c r="D21" i="3"/>
  <c r="D20" i="3" s="1"/>
  <c r="E21" i="3"/>
  <c r="C21" i="3"/>
  <c r="D9" i="3"/>
  <c r="E9" i="3"/>
  <c r="C9" i="3"/>
  <c r="C8" i="3"/>
  <c r="B74" i="3"/>
  <c r="B75" i="3"/>
  <c r="B73" i="3"/>
  <c r="B65" i="3"/>
  <c r="B68" i="3"/>
  <c r="B69" i="3"/>
  <c r="B64" i="3"/>
  <c r="B56" i="3"/>
  <c r="B55" i="3"/>
  <c r="D51" i="3"/>
  <c r="E51" i="3"/>
  <c r="C51" i="3"/>
  <c r="C49" i="3"/>
  <c r="D47" i="3"/>
  <c r="E47" i="3"/>
  <c r="C47" i="3"/>
  <c r="D45" i="3"/>
  <c r="D46" i="3" s="1"/>
  <c r="E45" i="3"/>
  <c r="E46" i="3" s="1"/>
  <c r="C45" i="3"/>
  <c r="C46" i="3" s="1"/>
  <c r="C44" i="3"/>
  <c r="D44" i="3"/>
  <c r="E44" i="3"/>
  <c r="D43" i="3"/>
  <c r="D42" i="3" s="1"/>
  <c r="E43" i="3"/>
  <c r="E42" i="3" s="1"/>
  <c r="C43" i="3"/>
  <c r="C42" i="3" s="1"/>
  <c r="C30" i="1"/>
  <c r="D30" i="1"/>
  <c r="B30" i="1"/>
  <c r="D41" i="3"/>
  <c r="D40" i="3" s="1"/>
  <c r="E41" i="3"/>
  <c r="E40" i="3" s="1"/>
  <c r="C41" i="3"/>
  <c r="C40" i="3" s="1"/>
  <c r="D37" i="3"/>
  <c r="E37" i="3"/>
  <c r="C37" i="3"/>
  <c r="D35" i="3"/>
  <c r="E35" i="3"/>
  <c r="C35" i="3"/>
  <c r="D34" i="3"/>
  <c r="E34" i="3"/>
  <c r="C34" i="3"/>
  <c r="D27" i="3"/>
  <c r="E27" i="3"/>
  <c r="C27" i="3"/>
  <c r="D22" i="3"/>
  <c r="E22" i="3"/>
  <c r="C22" i="3"/>
  <c r="E28" i="3"/>
  <c r="C20" i="3"/>
  <c r="D19" i="3"/>
  <c r="D18" i="3" s="1"/>
  <c r="E19" i="3"/>
  <c r="E18" i="3" s="1"/>
  <c r="C19" i="3"/>
  <c r="C18" i="3" s="1"/>
  <c r="D14" i="3"/>
  <c r="D13" i="3" s="1"/>
  <c r="E14" i="3"/>
  <c r="E13" i="3" s="1"/>
  <c r="C14" i="3"/>
  <c r="C13" i="3" s="1"/>
  <c r="C120" i="1"/>
  <c r="D120" i="1"/>
  <c r="B120" i="1"/>
  <c r="C119" i="1"/>
  <c r="D119" i="1"/>
  <c r="B119" i="1"/>
  <c r="D8" i="3"/>
  <c r="E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C12" i="3" l="1"/>
  <c r="C50" i="3"/>
  <c r="E50" i="3"/>
  <c r="E20" i="3"/>
  <c r="E12" i="3"/>
  <c r="D12" i="3"/>
  <c r="D50" i="3"/>
  <c r="D28" i="3"/>
  <c r="D68" i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B48" i="1" s="1"/>
  <c r="D17" i="1"/>
  <c r="C17" i="1"/>
  <c r="B17" i="1"/>
  <c r="D12" i="1"/>
  <c r="D13" i="1" s="1"/>
  <c r="D18" i="1" s="1"/>
  <c r="D20" i="1" s="1"/>
  <c r="D22" i="1" s="1"/>
  <c r="D76" i="1" s="1"/>
  <c r="D91" i="1" s="1"/>
  <c r="D109" i="1" s="1"/>
  <c r="C12" i="1"/>
  <c r="B12" i="1"/>
  <c r="D8" i="1"/>
  <c r="C8" i="1"/>
  <c r="C13" i="1" s="1"/>
  <c r="B8" i="1"/>
  <c r="B13" i="1" s="1"/>
  <c r="E3" i="3"/>
  <c r="D3" i="3"/>
  <c r="C3" i="3"/>
  <c r="D33" i="1"/>
  <c r="D73" i="1" s="1"/>
  <c r="C33" i="1"/>
  <c r="C73" i="1" s="1"/>
  <c r="B33" i="1"/>
  <c r="B73" i="1" s="1"/>
  <c r="C62" i="1" l="1"/>
  <c r="C69" i="1" s="1"/>
  <c r="C18" i="1"/>
  <c r="C20" i="1" s="1"/>
  <c r="C22" i="1" s="1"/>
  <c r="C76" i="1" s="1"/>
  <c r="C91" i="1" s="1"/>
  <c r="C109" i="1" s="1"/>
  <c r="B62" i="1"/>
  <c r="B18" i="1"/>
  <c r="B20" i="1" s="1"/>
  <c r="B22" i="1" s="1"/>
  <c r="B76" i="1" s="1"/>
  <c r="B91" i="1" s="1"/>
  <c r="B109" i="1" s="1"/>
  <c r="C48" i="1"/>
  <c r="D62" i="1"/>
  <c r="D69" i="1" s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<sst xmlns="http://schemas.openxmlformats.org/spreadsheetml/2006/main" count="188" uniqueCount="160">
  <si>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</si>
  <si>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</si>
  <si>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</si>
  <si>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</si>
  <si>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</si>
  <si>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</si>
  <si>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</si>
  <si>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</si>
  <si>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</si>
  <si>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</si>
  <si>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</si>
  <si>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</si>
  <si>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</si>
  <si>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</si>
  <si>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</si>
  <si>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</si>
  <si>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</si>
  <si>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</si>
  <si>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</si>
  <si>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</si>
  <si>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</si>
  <si>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</si>
  <si>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</si>
  <si>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</si>
  <si>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</si>
  <si>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</si>
  <si>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</si>
  <si>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</si>
  <si>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</si>
  <si>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</si>
  <si>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</si>
  <si>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</si>
  <si>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</si>
  <si>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</si>
  <si>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</si>
  <si>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</si>
  <si>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</si>
  <si>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</si>
  <si>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</si>
  <si>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</si>
  <si>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</si>
  <si>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</si>
  <si>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</si>
  <si>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</si>
  <si>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</si>
  <si>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</si>
  <si>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</si>
  <si>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</si>
  <si>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</si>
  <si>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</si>
  <si>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</si>
  <si>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</si>
  <si>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</si>
  <si>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</si>
  <si>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</si>
  <si>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</si>
  <si>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</si>
  <si>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</si>
  <si>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</si>
  <si>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</si>
  <si>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</si>
  <si>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</si>
  <si>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</si>
  <si>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</si>
  <si>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</si>
  <si>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</si>
  <si>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</si>
  <si>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</si>
  <si>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</si>
  <si>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</si>
  <si>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</si>
  <si>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</si>
  <si>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</si>
  <si>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</si>
  <si>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</si>
  <si>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</si>
  <si>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</si>
  <si>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</si>
  <si>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</si>
  <si>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</si>
  <si>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</si>
  <si>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</si>
  <si>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</si>
  <si>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</si>
  <si>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</si>
  <si>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</si>
  <si>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</si>
  <si>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</si>
  <si>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</si>
  <si>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</si>
  <si>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</si>
  <si>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</si>
  <si>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</si>
  <si>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</si>
  <si>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</si>
  <si>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</si>
  <si>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</si>
  <si>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</si>
  <si>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</si>
  <si>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</si>
  <si>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</si>
  <si>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</si>
  <si>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</si>
  <si>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</si>
  <si>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</si>
  <si>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</si>
  <si>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</si>
  <si>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</si>
  <si>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</si>
  <si>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</si>
  <si>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</si>
  <si>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</si>
  <si>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</si>
  <si>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</si>
  <si>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</si>
  <si>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</si>
  <si>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</si>
  <si>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</si>
  <si>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</si>
  <si>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</si>
  <si>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</si>
  <si>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</si>
  <si>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</si>
  <si>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</si>
  <si>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</si>
  <si>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</si>
  <si>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</si>
  <si>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</si>
  <si>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</si>
  <si>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</si>
  <si>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</si>
  <si>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</si>
  <si>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</si>
  <si>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</si>
  <si>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</si>
  <si>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</si>
  <si>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</si>
  <si>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</si>
  <si>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</si>
  <si>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</si>
  <si>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</si>
  <si>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</si>
  <si>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</si>
  <si>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</si>
  <si>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</si>
  <si>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</si>
  <si>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</si>
  <si>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</si>
  <si>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</si>
  <si>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</si>
  <si>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COGS</t>
  </si>
  <si>
    <t>Average Inventory</t>
  </si>
  <si>
    <t>Stock price</t>
  </si>
  <si>
    <t>Book value per share</t>
  </si>
  <si>
    <t>Diluted in millions</t>
  </si>
  <si>
    <t>Growth rates</t>
  </si>
  <si>
    <t>Total liabilities and shareholder's equity</t>
  </si>
  <si>
    <t xml:space="preserve">Margins </t>
  </si>
  <si>
    <t>Additional items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</si>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</sst>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9" fontId="0" fillId="0" borderId="0" xfId="3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4" zoomScale="76" workbookViewId="0">
      <selection activeCell="A35" sqref="A35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4"/>
  <sheetViews>
    <sheetView topLeftCell="A4" zoomScale="63" zoomScaleNormal="40" workbookViewId="0">
      <selection activeCell="A63" sqref="A63"/>
    </sheetView>
  </sheetViews>
  <sheetFormatPr defaultRowHeight="14.4" x14ac:dyDescent="0.3"/>
  <cols>
    <col min="1" max="1" width="91.77734375" customWidth="1"/>
    <col min="2" max="2" width="12.77734375" bestFit="1" customWidth="1"/>
    <col min="3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6" t="s">
        <v>1</v>
      </c>
      <c r="B2" s="26"/>
      <c r="C2" s="26"/>
      <c r="D2" s="26"/>
    </row>
    <row r="3" spans="1:10" x14ac:dyDescent="0.3">
      <c r="B3" s="25" t="s">
        <v>23</v>
      </c>
      <c r="C3" s="25"/>
      <c r="D3" s="25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0" spans="1:4" x14ac:dyDescent="0.3">
      <c r="A30" s="1" t="s">
        <v>154</v>
      </c>
      <c r="B30">
        <f>B28/1000</f>
        <v>16325.819</v>
      </c>
      <c r="C30">
        <f t="shared" ref="C30:D30" si="8">C28/1000</f>
        <v>16864.919000000002</v>
      </c>
      <c r="D30">
        <f t="shared" si="8"/>
        <v>17528.214</v>
      </c>
    </row>
    <row r="31" spans="1:4" x14ac:dyDescent="0.3">
      <c r="A31" s="26" t="s">
        <v>24</v>
      </c>
      <c r="B31" s="26"/>
      <c r="C31" s="26"/>
      <c r="D31" s="26"/>
    </row>
    <row r="32" spans="1:4" x14ac:dyDescent="0.3">
      <c r="B32" s="25" t="s">
        <v>142</v>
      </c>
      <c r="C32" s="25"/>
      <c r="D32" s="25"/>
    </row>
    <row r="33" spans="1:4" x14ac:dyDescent="0.3">
      <c r="B33" s="7">
        <f>+B4</f>
        <v>2022</v>
      </c>
      <c r="C33" s="7">
        <f t="shared" ref="C33:D33" si="9">+C4</f>
        <v>2021</v>
      </c>
      <c r="D33" s="7">
        <f t="shared" si="9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10">+SUM(C36:C41)</f>
        <v>134836</v>
      </c>
      <c r="D42" s="13">
        <f t="shared" si="10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1">+SUM(C44:C46)</f>
        <v>216166</v>
      </c>
      <c r="D47" s="13">
        <f t="shared" si="11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2">+C42+C47</f>
        <v>351002</v>
      </c>
      <c r="D48" s="14">
        <f t="shared" si="12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3">+SUM(C51:C55)</f>
        <v>125481</v>
      </c>
      <c r="D56" s="13">
        <f t="shared" si="13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4">+C59+C60</f>
        <v>162431</v>
      </c>
      <c r="D61" s="21">
        <f t="shared" si="14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5">+C56+C61</f>
        <v>287912</v>
      </c>
      <c r="D62" s="13">
        <f t="shared" si="15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6">+SUM(C65:C67)</f>
        <v>63090</v>
      </c>
      <c r="D68" s="13">
        <f t="shared" si="16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7">+C68+C62</f>
        <v>351002</v>
      </c>
      <c r="D69" s="14">
        <f t="shared" si="17"/>
        <v>323888</v>
      </c>
    </row>
    <row r="70" spans="1:4" ht="15" thickTop="1" x14ac:dyDescent="0.3"/>
    <row r="71" spans="1:4" x14ac:dyDescent="0.3">
      <c r="A71" s="26" t="s">
        <v>55</v>
      </c>
      <c r="B71" s="26"/>
      <c r="C71" s="26"/>
      <c r="D71" s="26"/>
    </row>
    <row r="72" spans="1:4" x14ac:dyDescent="0.3">
      <c r="B72" s="25" t="s">
        <v>23</v>
      </c>
      <c r="C72" s="25"/>
      <c r="D72" s="25"/>
    </row>
    <row r="73" spans="1:4" x14ac:dyDescent="0.3">
      <c r="B73" s="7">
        <f>+B33</f>
        <v>2022</v>
      </c>
      <c r="C73" s="7">
        <f t="shared" ref="C73:D73" si="18">+C33</f>
        <v>2021</v>
      </c>
      <c r="D73" s="7">
        <f t="shared" si="18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9">+C22</f>
        <v>94680</v>
      </c>
      <c r="D76" s="12">
        <f t="shared" si="19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20">+SUM(C76:C90)</f>
        <v>104038</v>
      </c>
      <c r="D91" s="13">
        <f t="shared" si="20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1">+SUM(C93:C98)</f>
        <v>-14545</v>
      </c>
      <c r="D99" s="13">
        <f t="shared" si="21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2">+SUM(C101:C107)</f>
        <v>-93353</v>
      </c>
      <c r="D108" s="13">
        <f t="shared" si="22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3">+C91+C99+C108</f>
        <v>-3860</v>
      </c>
      <c r="D109" s="13">
        <f t="shared" si="23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  <row r="119" spans="1:4" x14ac:dyDescent="0.3">
      <c r="A119" t="s">
        <v>150</v>
      </c>
      <c r="B119" s="23">
        <f>B39+B12-B85</f>
        <v>227008</v>
      </c>
      <c r="C119" s="23">
        <f t="shared" ref="C119:D119" si="24">C39+C12-C85</f>
        <v>222203</v>
      </c>
      <c r="D119" s="23">
        <f t="shared" si="24"/>
        <v>173747</v>
      </c>
    </row>
    <row r="120" spans="1:4" x14ac:dyDescent="0.3">
      <c r="A120" t="s">
        <v>151</v>
      </c>
      <c r="B120" s="23">
        <f>B39+B85</f>
        <v>6430</v>
      </c>
      <c r="C120" s="23">
        <f t="shared" ref="C120:D120" si="25">C39+C85</f>
        <v>3938</v>
      </c>
      <c r="D120" s="23">
        <f t="shared" si="25"/>
        <v>3934</v>
      </c>
    </row>
    <row r="121" spans="1:4" x14ac:dyDescent="0.3">
      <c r="A121" t="s">
        <v>152</v>
      </c>
      <c r="B121">
        <v>138.19999999999999</v>
      </c>
      <c r="C121">
        <v>141.5</v>
      </c>
      <c r="D121">
        <v>115.81</v>
      </c>
    </row>
    <row r="122" spans="1:4" x14ac:dyDescent="0.3">
      <c r="A122" t="s">
        <v>153</v>
      </c>
    </row>
    <row r="124" spans="1:4" x14ac:dyDescent="0.3">
      <c r="B124" t="s">
        <v>159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5"/>
  <sheetViews>
    <sheetView tabSelected="1" zoomScale="74" zoomScaleNormal="160" workbookViewId="0">
      <selection activeCell="C14" sqref="C14"/>
    </sheetView>
  </sheetViews>
  <sheetFormatPr defaultRowHeight="14.4" x14ac:dyDescent="0.3"/>
  <cols>
    <col min="1" max="1" width="4.6640625" customWidth="1"/>
    <col min="2" max="2" width="44.88671875" customWidth="1"/>
    <col min="3" max="3" width="13" customWidth="1"/>
    <col min="4" max="5" width="13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5" t="s">
        <v>23</v>
      </c>
      <c r="D2" s="25"/>
      <c r="E2" s="25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>
        <f>('Financial Statements'!B36+'Financial Statements'!B38)/'Financial Statements'!B56</f>
        <v>0.33659778415658975</v>
      </c>
      <c r="D6">
        <f>('Financial Statements'!C36+'Financial Statements'!C38)/'Financial Statements'!C56</f>
        <v>0.48786668898080188</v>
      </c>
      <c r="E6">
        <f>('Financial Statements'!D36+'Financial Statements'!D38)/'Financial Statements'!D56</f>
        <v>0.51366327614999241</v>
      </c>
    </row>
    <row r="7" spans="1:10" x14ac:dyDescent="0.3">
      <c r="A7" s="18">
        <f t="shared" si="0"/>
        <v>1.3000000000000003</v>
      </c>
      <c r="B7" s="1" t="s">
        <v>102</v>
      </c>
      <c r="C7">
        <f>('Financial Statements'!B36 +'Financial Statements'!B37)/'Financial Statements'!B56</f>
        <v>0.31369900377966253</v>
      </c>
      <c r="D7">
        <f>('Financial Statements'!C36 +'Financial Statements'!C37)/'Financial Statements'!C56</f>
        <v>0.49919111259872012</v>
      </c>
      <c r="E7">
        <f>('Financial Statements'!D36 +'Financial Statements'!D37)/'Financial Statements'!D56</f>
        <v>0.86290230757552755</v>
      </c>
    </row>
    <row r="8" spans="1:10" x14ac:dyDescent="0.3">
      <c r="A8" s="18">
        <f t="shared" si="0"/>
        <v>1.4000000000000004</v>
      </c>
      <c r="B8" s="1" t="s">
        <v>103</v>
      </c>
      <c r="C8">
        <f>('Financial Statements'!B17-'Financial Statements'!B79)/365</f>
        <v>110.24931506849315</v>
      </c>
      <c r="D8">
        <f>'Financial Statements'!C42/('Financial Statements'!C17/365)</f>
        <v>1121.4058832911796</v>
      </c>
      <c r="E8">
        <f>'Financial Statements'!D42/('Financial Statements'!D17/365)</f>
        <v>1356.5543860556534</v>
      </c>
    </row>
    <row r="9" spans="1:10" x14ac:dyDescent="0.3">
      <c r="A9" s="18">
        <f t="shared" si="0"/>
        <v>1.5000000000000004</v>
      </c>
      <c r="B9" s="1" t="s">
        <v>104</v>
      </c>
      <c r="C9">
        <f>('Financial Statements'!B39/'Financial Statements'!B12)*365</f>
        <v>8.0756980666171607</v>
      </c>
      <c r="D9">
        <f>('Financial Statements'!C39/'Financial Statements'!C12)*365</f>
        <v>11.27659274770989</v>
      </c>
      <c r="E9">
        <f>('Financial Statements'!D39/'Financial Statements'!D12)*365</f>
        <v>8.7418833562358831</v>
      </c>
    </row>
    <row r="10" spans="1:10" x14ac:dyDescent="0.3">
      <c r="A10" s="18">
        <f t="shared" si="0"/>
        <v>1.6000000000000005</v>
      </c>
      <c r="B10" s="1" t="s">
        <v>105</v>
      </c>
      <c r="C10">
        <f>('Financial Statements'!B51)*365/'Financial Statements'!B12</f>
        <v>104.68527730310539</v>
      </c>
      <c r="D10">
        <f>('Financial Statements'!C51)*365/'Financial Statements'!C12</f>
        <v>93.85107122231561</v>
      </c>
      <c r="E10">
        <f>('Financial Statements'!D51)*365/'Financial Statements'!D12</f>
        <v>91.048189715674184</v>
      </c>
    </row>
    <row r="11" spans="1:10" x14ac:dyDescent="0.3">
      <c r="A11" s="18">
        <f t="shared" si="0"/>
        <v>1.7000000000000006</v>
      </c>
      <c r="B11" s="1" t="s">
        <v>106</v>
      </c>
      <c r="C11">
        <f>('Financial Statements'!B38/'Financial Statements'!B8)*365</f>
        <v>26.087825363656648</v>
      </c>
      <c r="D11">
        <f>('Financial Statements'!C38/'Financial Statements'!C8)*365</f>
        <v>26.219311841713207</v>
      </c>
      <c r="E11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>
        <f>C9+C11-C10</f>
        <v>-70.521753872831582</v>
      </c>
      <c r="D12">
        <f t="shared" ref="D12:E12" si="1">D9+D11-D10</f>
        <v>-56.355166632892512</v>
      </c>
      <c r="E12">
        <f t="shared" si="1"/>
        <v>-60.872869206641553</v>
      </c>
    </row>
    <row r="13" spans="1:10" x14ac:dyDescent="0.3">
      <c r="A13" s="18">
        <f t="shared" si="0"/>
        <v>1.9000000000000008</v>
      </c>
      <c r="B13" s="1" t="s">
        <v>108</v>
      </c>
      <c r="C13">
        <f>(C14/'Financial Statements'!B8)*100</f>
        <v>-4.7110527276784806</v>
      </c>
      <c r="D13">
        <f>(D14/'Financial Statements'!C8)*100</f>
        <v>2.5572895737486232</v>
      </c>
      <c r="E13">
        <f>(E14/'Financial Statements'!D8)*100</f>
        <v>13.959528623208204</v>
      </c>
    </row>
    <row r="14" spans="1:10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5" x14ac:dyDescent="0.3">
      <c r="A17" s="18">
        <f>+A16+0.1</f>
        <v>2.1</v>
      </c>
      <c r="B17" s="1" t="s">
        <v>9</v>
      </c>
      <c r="C17" s="24">
        <f>('Financial Statements'!B8-'Financial Statements'!B12)/'Financial Statements'!B8</f>
        <v>0.43309630561360085</v>
      </c>
      <c r="D17" s="24">
        <f>('Financial Statements'!C8-'Financial Statements'!C12)/'Financial Statements'!C8</f>
        <v>0.41779359625167778</v>
      </c>
      <c r="E17" s="24">
        <f>('Financial Statements'!D8-'Financial Statements'!D12)/'Financial Statements'!D8</f>
        <v>0.38233247727810865</v>
      </c>
    </row>
    <row r="18" spans="1:5" x14ac:dyDescent="0.3">
      <c r="A18" s="18">
        <f>+A17+0.1</f>
        <v>2.2000000000000002</v>
      </c>
      <c r="B18" s="1" t="s">
        <v>111</v>
      </c>
      <c r="C18" s="24">
        <f>C19/'Financial Statements'!B8</f>
        <v>0.3310467428130896</v>
      </c>
      <c r="D18" s="24">
        <f>D19/'Financial Statements'!C8</f>
        <v>0.32866979938056462</v>
      </c>
      <c r="E18" s="24">
        <f>E19/'Financial Statements'!D8</f>
        <v>0.2817478097736007</v>
      </c>
    </row>
    <row r="19" spans="1:5" x14ac:dyDescent="0.3">
      <c r="A19" s="18"/>
      <c r="B19" s="3" t="s">
        <v>112</v>
      </c>
      <c r="C19">
        <f>'Financial Statements'!B79+'Financial Statements'!B18</f>
        <v>130541</v>
      </c>
      <c r="D19">
        <f>'Financial Statements'!C79+'Financial Statements'!C18</f>
        <v>120233</v>
      </c>
      <c r="E19">
        <f>'Financial Statements'!D79+'Financial Statements'!D18</f>
        <v>77344</v>
      </c>
    </row>
    <row r="20" spans="1:5" x14ac:dyDescent="0.3">
      <c r="A20" s="18">
        <f>+A18+0.1</f>
        <v>2.3000000000000003</v>
      </c>
      <c r="B20" s="1" t="s">
        <v>113</v>
      </c>
      <c r="C20">
        <f>C21/'Financial Statements'!B8</f>
        <v>0.30288744395528594</v>
      </c>
      <c r="D20">
        <f>D21/'Financial Statements'!C8</f>
        <v>0.29782377527561593</v>
      </c>
      <c r="E20">
        <f>E21/'Financial Statements'!D8</f>
        <v>0.24147314354406862</v>
      </c>
    </row>
    <row r="21" spans="1:5" x14ac:dyDescent="0.3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</row>
    <row r="22" spans="1:5" x14ac:dyDescent="0.3">
      <c r="A22" s="18">
        <f>+A20+0.1</f>
        <v>2.4000000000000004</v>
      </c>
      <c r="B22" s="1" t="s">
        <v>115</v>
      </c>
      <c r="C22">
        <f>'Financial Statements'!B22*100/'Financial Statements'!B8</f>
        <v>25.309640705199733</v>
      </c>
      <c r="D22">
        <f>'Financial Statements'!C22*100/'Financial Statements'!C8</f>
        <v>25.881793355694242</v>
      </c>
      <c r="E22">
        <f>'Financial Statements'!D22*100/'Financial Statements'!D8</f>
        <v>20.913611278072235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>
        <f>'Financial Statements'!B59/'Financial Statements'!B68</f>
        <v>1.9529325860435744</v>
      </c>
      <c r="D25">
        <f>'Financial Statements'!C59/'Financial Statements'!C68</f>
        <v>1.729370740212395</v>
      </c>
      <c r="E25">
        <f>'Financial Statements'!D59/'Financial Statements'!D68</f>
        <v>1.5100782075024104</v>
      </c>
    </row>
    <row r="26" spans="1:5" x14ac:dyDescent="0.3">
      <c r="A26" s="18">
        <f t="shared" ref="A26:A30" si="2">+A25+0.1</f>
        <v>3.2</v>
      </c>
      <c r="B26" s="1" t="s">
        <v>118</v>
      </c>
      <c r="C26">
        <f>'Financial Statements'!B59/'Financial Statements'!B48</f>
        <v>0.28053181386514719</v>
      </c>
      <c r="D26">
        <f>'Financial Statements'!C59/'Financial Statements'!C48</f>
        <v>0.31084153366647482</v>
      </c>
      <c r="E26">
        <f>'Financial Statements'!D59/'Financial Statements'!D48</f>
        <v>0.30463308304105124</v>
      </c>
    </row>
    <row r="27" spans="1:5" x14ac:dyDescent="0.3">
      <c r="A27" s="18">
        <f t="shared" si="2"/>
        <v>3.3000000000000003</v>
      </c>
      <c r="B27" s="1" t="s">
        <v>119</v>
      </c>
      <c r="C27">
        <f>'Financial Statements'!B59/('Financial Statements'!B59+'Financial Statements'!B65)</f>
        <v>0.60411579410041027</v>
      </c>
      <c r="D27">
        <f>'Financial Statements'!C59/('Financial Statements'!C59+'Financial Statements'!C65)</f>
        <v>0.65540544599359651</v>
      </c>
      <c r="E27">
        <f>'Financial Statements'!D59/('Financial Statements'!D59+'Financial Statements'!D65)</f>
        <v>0.66021840664855536</v>
      </c>
    </row>
    <row r="28" spans="1:5" x14ac:dyDescent="0.3">
      <c r="A28" s="18">
        <f t="shared" si="2"/>
        <v>3.4000000000000004</v>
      </c>
      <c r="B28" s="1" t="s">
        <v>120</v>
      </c>
      <c r="C28">
        <f>C21/'Financial Statements'!B114</f>
        <v>41.68830715532286</v>
      </c>
      <c r="D28">
        <f>D21/'Financial Statements'!C114</f>
        <v>40.546706363974693</v>
      </c>
      <c r="E28">
        <f>E21/'Financial Statements'!D114</f>
        <v>22.081279147235175</v>
      </c>
    </row>
    <row r="29" spans="1:5" x14ac:dyDescent="0.3">
      <c r="A29" s="18">
        <f t="shared" si="2"/>
        <v>3.5000000000000004</v>
      </c>
      <c r="B29" s="1" t="s">
        <v>121</v>
      </c>
      <c r="C29">
        <f>'Financial Statements'!B20/('Financial Statements'!B114-'Financial Statements'!B105)</f>
        <v>9.5988878143133469</v>
      </c>
      <c r="D29">
        <f>'Financial Statements'!C20/('Financial Statements'!C114-'Financial Statements'!C105)</f>
        <v>9.548570429308386</v>
      </c>
      <c r="E29">
        <f>'Financial Statements'!D20/('Financial Statements'!D114-'Financial Statements'!D105)</f>
        <v>4.2921758044910758</v>
      </c>
    </row>
    <row r="30" spans="1:5" x14ac:dyDescent="0.3">
      <c r="A30" s="18">
        <f t="shared" si="2"/>
        <v>3.6000000000000005</v>
      </c>
      <c r="B30" s="1" t="s">
        <v>122</v>
      </c>
      <c r="C30">
        <f>C31/('Financial Statements'!B27+'Financial Statements'!B28)*1000</f>
        <v>2.9414185123605092</v>
      </c>
      <c r="D30">
        <f>D31/('Financial Statements'!C27+'Financial Statements'!C28)*1000</f>
        <v>3.0130317735485685</v>
      </c>
      <c r="E30">
        <f>E31/('Financial Statements'!D27+'Financial Statements'!D28)*1000</f>
        <v>2.2891696590167303</v>
      </c>
    </row>
    <row r="31" spans="1:5" x14ac:dyDescent="0.3">
      <c r="A31" s="18"/>
      <c r="B31" s="3" t="s">
        <v>123</v>
      </c>
      <c r="C31">
        <f>'Financial Statements'!B91+'Financial Statements'!B99+('Financial Statements'!B104+'Financial Statements'!B105)</f>
        <v>95719</v>
      </c>
      <c r="D31">
        <f>'Financial Statements'!C91+'Financial Statements'!C99+('Financial Statements'!C104+'Financial Statements'!C105)</f>
        <v>101136</v>
      </c>
      <c r="E31">
        <f>'Financial Statements'!D91+'Financial Statements'!D99+('Financial Statements'!D104+'Financial Statements'!D105)</f>
        <v>79847</v>
      </c>
    </row>
    <row r="32" spans="1:5" x14ac:dyDescent="0.3">
      <c r="A32" s="18"/>
    </row>
    <row r="33" spans="1:5" x14ac:dyDescent="0.3">
      <c r="A33" s="18">
        <f>+A24+1</f>
        <v>4</v>
      </c>
      <c r="B33" s="17" t="s">
        <v>124</v>
      </c>
    </row>
    <row r="34" spans="1:5" x14ac:dyDescent="0.3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5" x14ac:dyDescent="0.3">
      <c r="A35" s="18">
        <f t="shared" ref="A35:A37" si="3">+A34+0.1</f>
        <v>4.1999999999999993</v>
      </c>
      <c r="B35" s="1" t="s">
        <v>126</v>
      </c>
      <c r="C35">
        <f>'Financial Statements'!B8/'Financial Statements'!B47</f>
        <v>1.8142535081665516</v>
      </c>
      <c r="D35">
        <f>'Financial Statements'!C8/'Financial Statements'!C47</f>
        <v>1.6922966608994938</v>
      </c>
      <c r="E35">
        <f>'Financial Statements'!D8/'Financial Statements'!D47</f>
        <v>1.5236020535590398</v>
      </c>
    </row>
    <row r="36" spans="1:5" x14ac:dyDescent="0.3">
      <c r="A36" s="18">
        <f t="shared" si="3"/>
        <v>4.2999999999999989</v>
      </c>
      <c r="B36" s="1" t="s">
        <v>127</v>
      </c>
      <c r="C36">
        <f>'Financial Statements'!B12/(('Financial Statements'!B39))</f>
        <v>45.197331176708452</v>
      </c>
      <c r="D36">
        <f>'Financial Statements'!C12/(('Financial Statements'!C39))</f>
        <v>32.367933130699086</v>
      </c>
      <c r="E36">
        <f>'Financial Statements'!D12/(('Financial Statements'!D39))</f>
        <v>41.753016498399411</v>
      </c>
    </row>
    <row r="37" spans="1:5" x14ac:dyDescent="0.3">
      <c r="A37" s="18">
        <f t="shared" si="3"/>
        <v>4.3999999999999986</v>
      </c>
      <c r="B37" s="1" t="s">
        <v>128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129</v>
      </c>
    </row>
    <row r="40" spans="1:5" x14ac:dyDescent="0.3">
      <c r="A40" s="18">
        <f>+A39+0.1</f>
        <v>5.0999999999999996</v>
      </c>
      <c r="B40" s="1" t="s">
        <v>130</v>
      </c>
      <c r="C40">
        <f>'Financial Statements'!B121/'List of Ratios'!C41</f>
        <v>22.618657937806869</v>
      </c>
      <c r="D40">
        <f>'Financial Statements'!C121/'List of Ratios'!D41</f>
        <v>25.222816399286987</v>
      </c>
      <c r="E40">
        <f>'Financial Statements'!D121/'List of Ratios'!E41</f>
        <v>35.307926829268297</v>
      </c>
    </row>
    <row r="41" spans="1:5" x14ac:dyDescent="0.3">
      <c r="A41" s="18">
        <f t="shared" ref="A41:A44" si="4">+A40+0.1</f>
        <v>5.1999999999999993</v>
      </c>
      <c r="B41" s="3" t="s">
        <v>131</v>
      </c>
      <c r="C41">
        <f>'Financial Statements'!B25</f>
        <v>6.11</v>
      </c>
      <c r="D41">
        <f>'Financial Statements'!C25</f>
        <v>5.61</v>
      </c>
      <c r="E41">
        <f>'Financial Statements'!D25</f>
        <v>3.28</v>
      </c>
    </row>
    <row r="42" spans="1:5" x14ac:dyDescent="0.3">
      <c r="A42" s="18">
        <f t="shared" si="4"/>
        <v>5.2999999999999989</v>
      </c>
      <c r="B42" s="1" t="s">
        <v>132</v>
      </c>
      <c r="C42">
        <f>'Financial Statements'!B121/'List of Ratios'!C43</f>
        <v>44.526132495263646</v>
      </c>
      <c r="D42">
        <f>'Financial Statements'!C121/'List of Ratios'!D43</f>
        <v>37.82510760025361</v>
      </c>
      <c r="E42">
        <f>'Financial Statements'!D121/'List of Ratios'!E43</f>
        <v>31.067853247524447</v>
      </c>
    </row>
    <row r="43" spans="1:5" x14ac:dyDescent="0.3">
      <c r="A43" s="18">
        <f t="shared" si="4"/>
        <v>5.3999999999999986</v>
      </c>
      <c r="B43" s="3" t="s">
        <v>133</v>
      </c>
      <c r="C43">
        <f>('Financial Statements'!B48-'Financial Statements'!B62)/'Financial Statements'!B30</f>
        <v>3.1037952827971451</v>
      </c>
      <c r="D43">
        <f>('Financial Statements'!C48-'Financial Statements'!C62)/'Financial Statements'!C30</f>
        <v>3.740901453484597</v>
      </c>
      <c r="E43">
        <f>('Financial Statements'!D48-'Financial Statements'!D62)/'Financial Statements'!D30</f>
        <v>3.7276473233382479</v>
      </c>
    </row>
    <row r="44" spans="1:5" x14ac:dyDescent="0.3">
      <c r="A44" s="18">
        <f t="shared" si="4"/>
        <v>5.4999999999999982</v>
      </c>
      <c r="B44" s="1" t="s">
        <v>134</v>
      </c>
      <c r="C44">
        <f>-'Financial Statements'!B102/'Financial Statements'!B22</f>
        <v>0.14870294480125848</v>
      </c>
      <c r="D44">
        <f>-'Financial Statements'!C102/'Financial Statements'!C22</f>
        <v>0.15279890156316012</v>
      </c>
      <c r="E44">
        <f>-'Financial Statements'!D102/'Financial Statements'!D22</f>
        <v>0.24526658654264863</v>
      </c>
    </row>
    <row r="45" spans="1:5" x14ac:dyDescent="0.3">
      <c r="A45" s="18"/>
      <c r="B45" s="3" t="s">
        <v>135</v>
      </c>
      <c r="C45">
        <f>-'Financial Statements'!B102/'Financial Statements'!B30</f>
        <v>0.90905087211857494</v>
      </c>
      <c r="D45">
        <f>-'Financial Statements'!C102/'Financial Statements'!C30</f>
        <v>0.85781615672153533</v>
      </c>
      <c r="E45">
        <f>-'Financial Statements'!D102/'Financial Statements'!D30</f>
        <v>0.80333341434558025</v>
      </c>
    </row>
    <row r="46" spans="1:5" x14ac:dyDescent="0.3">
      <c r="A46" s="18">
        <f>+A44+0.1</f>
        <v>5.5999999999999979</v>
      </c>
      <c r="B46" s="1" t="s">
        <v>136</v>
      </c>
      <c r="C46">
        <f>'List of Ratios'!C45/'Financial Statements'!B121</f>
        <v>6.5777921282096597E-3</v>
      </c>
      <c r="D46">
        <f>'List of Ratios'!D45/'Financial Statements'!C121</f>
        <v>6.0623049944984828E-3</v>
      </c>
      <c r="E46">
        <f>'List of Ratios'!E45/'Financial Statements'!D121</f>
        <v>6.9366498087002869E-3</v>
      </c>
    </row>
    <row r="47" spans="1:5" x14ac:dyDescent="0.3">
      <c r="A47" s="18">
        <f t="shared" ref="A47:A50" si="5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5" x14ac:dyDescent="0.3">
      <c r="A48" s="18">
        <f t="shared" si="5"/>
        <v>5.6999999999999975</v>
      </c>
      <c r="B48" s="1" t="s">
        <v>138</v>
      </c>
      <c r="C48">
        <f>C21/('Financial Statements'!B59+'Financial Statements'!B68)</f>
        <v>0.79821026391589978</v>
      </c>
      <c r="D48">
        <f>D21/('Financial Statements'!C59+'Financial Statements'!C68)</f>
        <v>0.63270343097400639</v>
      </c>
      <c r="E48">
        <f>E21/('Financial Statements'!D59+'Financial Statements'!D68)</f>
        <v>0.40418033486579757</v>
      </c>
    </row>
    <row r="49" spans="1:5" x14ac:dyDescent="0.3">
      <c r="A49" s="18">
        <f t="shared" si="5"/>
        <v>0.2</v>
      </c>
      <c r="B49" s="1" t="s">
        <v>128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</row>
    <row r="50" spans="1:5" x14ac:dyDescent="0.3">
      <c r="A50" s="18">
        <f t="shared" si="5"/>
        <v>5.7999999999999972</v>
      </c>
      <c r="B50" s="1" t="s">
        <v>139</v>
      </c>
      <c r="C50">
        <f>C51/C19</f>
        <v>17.1775854773596</v>
      </c>
      <c r="D50">
        <f t="shared" ref="D50:E50" si="6">D51/D19</f>
        <v>19.629137079670308</v>
      </c>
      <c r="E50">
        <f t="shared" si="6"/>
        <v>25.844622250465452</v>
      </c>
    </row>
    <row r="51" spans="1:5" x14ac:dyDescent="0.3">
      <c r="A51" s="18"/>
      <c r="B51" s="3" t="s">
        <v>140</v>
      </c>
      <c r="C51">
        <f>('Financial Statements'!B121*'Financial Statements'!B30)+'Financial Statements'!B55-'Financial Statements'!B110</f>
        <v>2242379.1857999996</v>
      </c>
      <c r="D51">
        <f>('Financial Statements'!C121*'Financial Statements'!C30)+'Financial Statements'!C55-'Financial Statements'!C110</f>
        <v>2360070.0385000003</v>
      </c>
      <c r="E51">
        <f>('Financial Statements'!D121*'Financial Statements'!D30)+'Financial Statements'!D55-'Financial Statements'!D110</f>
        <v>1998926.46334</v>
      </c>
    </row>
    <row r="52" spans="1:5" x14ac:dyDescent="0.3">
      <c r="A52" s="18"/>
      <c r="B52" s="3"/>
    </row>
    <row r="54" spans="1:5" x14ac:dyDescent="0.3">
      <c r="A54">
        <v>6</v>
      </c>
      <c r="B54" s="11" t="s">
        <v>155</v>
      </c>
    </row>
    <row r="55" spans="1:5" x14ac:dyDescent="0.3">
      <c r="A55">
        <v>6.1</v>
      </c>
      <c r="B55" t="str">
        <f>Instructions!A9</f>
        <v>Sales (each category and net sales)</v>
      </c>
      <c r="C55" s="24">
        <f>(('Financial Statements'!B8-'Financial Statements'!C8)/'Financial Statements'!C8)</f>
        <v>7.7937876041846058E-2</v>
      </c>
      <c r="D55" s="24">
        <f>(('Financial Statements'!C8-'Financial Statements'!D8)/'Financial Statements'!D8)</f>
        <v>0.33259384733074693</v>
      </c>
    </row>
    <row r="56" spans="1:5" x14ac:dyDescent="0.3">
      <c r="A56">
        <v>6.2</v>
      </c>
      <c r="B56" t="str">
        <f>Instructions!A10</f>
        <v>Gross profits</v>
      </c>
      <c r="C56" s="24">
        <f>(('Financial Statements'!B13-'Financial Statements'!C13)/'Financial Statements'!C13)</f>
        <v>0.11741997958596143</v>
      </c>
      <c r="D56" s="24">
        <f>(('Financial Statements'!C13-'Financial Statements'!D13)/'Financial Statements'!D13)</f>
        <v>0.45619116582186819</v>
      </c>
    </row>
    <row r="57" spans="1:5" x14ac:dyDescent="0.3">
      <c r="A57">
        <v>6.3</v>
      </c>
      <c r="B57" t="s">
        <v>11</v>
      </c>
      <c r="C57" s="24">
        <f>(('Financial Statements'!B15-'Financial Statements'!C15)/'Financial Statements'!C15)</f>
        <v>0.19791001186456147</v>
      </c>
      <c r="D57" s="24">
        <f>(('Financial Statements'!C15-'Financial Statements'!D15)/'Financial Statements'!D15)</f>
        <v>0.16862201365187712</v>
      </c>
    </row>
    <row r="58" spans="1:5" x14ac:dyDescent="0.3">
      <c r="A58">
        <v>6.4</v>
      </c>
      <c r="B58" t="s">
        <v>12</v>
      </c>
      <c r="C58" s="24">
        <f>(('Financial Statements'!B16-'Financial Statements'!C16)/'Financial Statements'!C16)</f>
        <v>0.14203795567287125</v>
      </c>
      <c r="D58" s="24">
        <f>(('Financial Statements'!C16-'Financial Statements'!D16)/'Financial Statements'!D16)</f>
        <v>0.10328379192608958</v>
      </c>
    </row>
    <row r="59" spans="1:5" x14ac:dyDescent="0.3">
      <c r="A59">
        <v>6.5</v>
      </c>
      <c r="B59" t="s">
        <v>18</v>
      </c>
      <c r="C59" s="24">
        <f>(('Financial Statements'!B22-'Financial Statements'!C22)/'Financial Statements'!C22)</f>
        <v>5.4108576256865229E-2</v>
      </c>
      <c r="D59" s="24">
        <f>(('Financial Statements'!C22-'Financial Statements'!D22)/'Financial Statements'!D22)</f>
        <v>0.64916131055024295</v>
      </c>
    </row>
    <row r="60" spans="1:5" x14ac:dyDescent="0.3">
      <c r="A60">
        <v>6.6</v>
      </c>
      <c r="B60" t="s">
        <v>156</v>
      </c>
      <c r="C60" s="24">
        <f>(('Financial Statements'!B69-'Financial Statements'!C69)/'Financial Statements'!C69)</f>
        <v>4.9942735369029236E-3</v>
      </c>
      <c r="D60" s="24">
        <f>(('Financial Statements'!C69-'Financial Statements'!D69)/'Financial Statements'!D69)</f>
        <v>8.3714123400681711E-2</v>
      </c>
    </row>
    <row r="63" spans="1:5" x14ac:dyDescent="0.3">
      <c r="A63">
        <v>7</v>
      </c>
      <c r="B63" s="7" t="s">
        <v>157</v>
      </c>
    </row>
    <row r="64" spans="1:5" x14ac:dyDescent="0.3">
      <c r="B64" t="str">
        <f>Instructions!A15</f>
        <v>COGS (Cost of goods sold)</v>
      </c>
      <c r="C64" s="24">
        <f>('Financial Statements'!B12/'Financial Statements'!B8)</f>
        <v>0.56690369438639909</v>
      </c>
      <c r="D64" s="24">
        <f>('Financial Statements'!C12/'Financial Statements'!C8)</f>
        <v>0.58220640374832222</v>
      </c>
      <c r="E64" s="24">
        <f>('Financial Statements'!D12/'Financial Statements'!D8)</f>
        <v>0.61766752272189129</v>
      </c>
    </row>
    <row r="65" spans="1:5" x14ac:dyDescent="0.3">
      <c r="B65" t="str">
        <f>Instructions!A16</f>
        <v>Gross profits</v>
      </c>
      <c r="C65" s="24">
        <f>('Financial Statements'!B13/'Financial Statements'!B8)</f>
        <v>0.43309630561360085</v>
      </c>
      <c r="D65" s="24">
        <f>('Financial Statements'!C13/'Financial Statements'!C8)</f>
        <v>0.41779359625167778</v>
      </c>
      <c r="E65" s="24">
        <f>('Financial Statements'!D13/'Financial Statements'!D8)</f>
        <v>0.38233247727810865</v>
      </c>
    </row>
    <row r="66" spans="1:5" x14ac:dyDescent="0.3">
      <c r="B66" t="s">
        <v>11</v>
      </c>
      <c r="C66" s="24">
        <f>('Financial Statements'!B15/'Financial Statements'!B8)</f>
        <v>6.657148363798665E-2</v>
      </c>
      <c r="D66" s="24">
        <f>('Financial Statements'!C15/'Financial Statements'!C8)</f>
        <v>5.9904269074427925E-2</v>
      </c>
      <c r="E66" s="24">
        <f>('Financial Statements'!D15/'Financial Statements'!D8)</f>
        <v>6.8309564140393061E-2</v>
      </c>
    </row>
    <row r="67" spans="1:5" x14ac:dyDescent="0.3">
      <c r="B67" t="s">
        <v>12</v>
      </c>
      <c r="C67" s="24">
        <f>('Financial Statements'!B16/'Financial Statements'!B8)</f>
        <v>6.3637378020328261E-2</v>
      </c>
      <c r="D67" s="24">
        <f>('Financial Statements'!C16/'Financial Statements'!C8)</f>
        <v>6.006555190163388E-2</v>
      </c>
      <c r="E67" s="24">
        <f>('Financial Statements'!D16/'Financial Statements'!D8)</f>
        <v>7.2549769593646979E-2</v>
      </c>
    </row>
    <row r="68" spans="1:5" x14ac:dyDescent="0.3">
      <c r="B68" t="str">
        <f>Instructions!A18</f>
        <v>Operating income</v>
      </c>
      <c r="C68" s="24">
        <f>('Financial Statements'!B18/'Financial Statements'!B8)</f>
        <v>0.30288744395528594</v>
      </c>
      <c r="D68" s="24">
        <f>('Financial Statements'!C18/'Financial Statements'!C8)</f>
        <v>0.29782377527561593</v>
      </c>
      <c r="E68" s="24">
        <f>('Financial Statements'!D18/'Financial Statements'!D8)</f>
        <v>0.24147314354406862</v>
      </c>
    </row>
    <row r="69" spans="1:5" x14ac:dyDescent="0.3">
      <c r="B69" t="str">
        <f>Instructions!A19</f>
        <v>Net profit</v>
      </c>
      <c r="C69" s="24">
        <f>('Financial Statements'!B22/'Financial Statements'!B8)</f>
        <v>0.25309640705199732</v>
      </c>
      <c r="D69" s="24">
        <f>('Financial Statements'!C22/'Financial Statements'!C8)</f>
        <v>0.25881793355694238</v>
      </c>
      <c r="E69" s="24">
        <f>('Financial Statements'!D22/'Financial Statements'!D8)</f>
        <v>0.20913611278072236</v>
      </c>
    </row>
    <row r="72" spans="1:5" x14ac:dyDescent="0.3">
      <c r="A72">
        <v>8</v>
      </c>
      <c r="B72" s="7" t="s">
        <v>158</v>
      </c>
    </row>
    <row r="73" spans="1:5" x14ac:dyDescent="0.3">
      <c r="A73">
        <v>8.1</v>
      </c>
      <c r="B73" t="str">
        <f>Instructions!A22</f>
        <v>Income tax rate</v>
      </c>
      <c r="C73" s="24">
        <f>('Financial Statements'!B21/'Financial Statements'!B20)</f>
        <v>0.16204461684424407</v>
      </c>
      <c r="D73" s="24">
        <f>('Financial Statements'!C21/'Financial Statements'!C20)</f>
        <v>0.13302260844085087</v>
      </c>
      <c r="E73" s="24">
        <f>('Financial Statements'!D21/'Financial Statements'!D20)</f>
        <v>0.14428164731484103</v>
      </c>
    </row>
    <row r="74" spans="1:5" x14ac:dyDescent="0.3">
      <c r="A74">
        <v>8.1999999999999993</v>
      </c>
      <c r="B74" t="str">
        <f>Instructions!A23</f>
        <v>Capex as a percentage of sales</v>
      </c>
      <c r="C74" s="24">
        <f>(('Financial Statements'!B95+'Financial Statements'!B104+'Financial Statements'!B79)/'Financial Statements'!B8)</f>
        <v>0.13697987462214198</v>
      </c>
      <c r="D74" s="24">
        <f>(('Financial Statements'!C95+'Financial Statements'!C104+'Financial Statements'!C79)/'Financial Statements'!C8)</f>
        <v>0.21632947621351659</v>
      </c>
      <c r="E74" s="24">
        <f>(('Financial Statements'!D95+'Financial Statements'!D104+'Financial Statements'!D79)/'Financial Statements'!D8)</f>
        <v>0.282753219314063</v>
      </c>
    </row>
    <row r="75" spans="1:5" x14ac:dyDescent="0.3">
      <c r="A75">
        <v>8.3000000000000007</v>
      </c>
      <c r="B75" t="str">
        <f>Instructions!A24</f>
        <v>Capex as a percentage of fixed assets</v>
      </c>
      <c r="C75" s="24">
        <f>-('Financial Statements'!B96/'Financial Statements'!B45)</f>
        <v>0.25424412944891611</v>
      </c>
      <c r="D75" s="24">
        <f>-('Financial Statements'!C96/'Financial Statements'!C45)</f>
        <v>0.28105983772819471</v>
      </c>
      <c r="E75" s="24">
        <f>-('Financial Statements'!D96/'Financial Statements'!D45)</f>
        <v>0.19879780231735844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Kwabena Boaten</cp:lastModifiedBy>
  <dcterms:created xsi:type="dcterms:W3CDTF">2020-05-18T16:32:37Z</dcterms:created>
  <dcterms:modified xsi:type="dcterms:W3CDTF">2023-10-23T09:07:01Z</dcterms:modified>
</cp:coreProperties>
</file>