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07E50DE-DA5B-45D8-89BB-2D9196E6033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3" l="1"/>
  <c r="D73" i="3"/>
  <c r="C73" i="3"/>
  <c r="C74" i="3"/>
  <c r="E68" i="3"/>
  <c r="D68" i="3"/>
  <c r="C68" i="3"/>
  <c r="E67" i="3"/>
  <c r="D67" i="3"/>
  <c r="C67" i="3"/>
  <c r="E66" i="3"/>
  <c r="D66" i="3"/>
  <c r="C66" i="3"/>
  <c r="E65" i="3"/>
  <c r="D65" i="3"/>
  <c r="C65" i="3"/>
  <c r="E64" i="3"/>
  <c r="D64" i="3"/>
  <c r="C64" i="3"/>
  <c r="E63" i="3"/>
  <c r="D63" i="3"/>
  <c r="C63" i="3"/>
  <c r="E60" i="3"/>
  <c r="D60" i="3"/>
  <c r="C60" i="3"/>
  <c r="E59" i="3"/>
  <c r="D59" i="3"/>
  <c r="C59" i="3"/>
  <c r="E56" i="3"/>
  <c r="E55" i="3"/>
  <c r="E54" i="3"/>
  <c r="D56" i="3"/>
  <c r="C56" i="3"/>
  <c r="D55" i="3"/>
  <c r="C55" i="3"/>
  <c r="D54" i="3"/>
  <c r="C54" i="3"/>
  <c r="E44" i="3"/>
  <c r="C44" i="3"/>
  <c r="D44" i="3"/>
  <c r="E47" i="3"/>
  <c r="D47" i="3"/>
  <c r="C47" i="3"/>
  <c r="E51" i="3"/>
  <c r="D51" i="3"/>
  <c r="C51" i="3"/>
  <c r="E49" i="3"/>
  <c r="D49" i="3"/>
  <c r="C49" i="3"/>
  <c r="C37" i="3"/>
  <c r="E37" i="3"/>
  <c r="D37" i="3"/>
  <c r="E36" i="3"/>
  <c r="D36" i="3"/>
  <c r="C36" i="3"/>
  <c r="E35" i="3"/>
  <c r="D35" i="3"/>
  <c r="C35" i="3"/>
  <c r="E34" i="3"/>
  <c r="D34" i="3"/>
  <c r="C34" i="3"/>
  <c r="C31" i="3"/>
  <c r="C30" i="3" s="1"/>
  <c r="E30" i="3"/>
  <c r="D30" i="3"/>
  <c r="E31" i="3"/>
  <c r="D31" i="3"/>
  <c r="J31" i="3"/>
  <c r="I31" i="3"/>
  <c r="H31" i="3"/>
  <c r="E28" i="3"/>
  <c r="D28" i="3"/>
  <c r="C28" i="3"/>
  <c r="E27" i="3"/>
  <c r="D27" i="3"/>
  <c r="C27" i="3"/>
  <c r="E26" i="3"/>
  <c r="D26" i="3"/>
  <c r="C26" i="3"/>
  <c r="E25" i="3"/>
  <c r="D25" i="3"/>
  <c r="C25" i="3"/>
  <c r="C22" i="3"/>
  <c r="E20" i="3"/>
  <c r="D20" i="3"/>
  <c r="C20" i="3"/>
  <c r="E19" i="3"/>
  <c r="D19" i="3"/>
  <c r="C19" i="3"/>
  <c r="E17" i="3"/>
  <c r="D17" i="3"/>
  <c r="C17" i="3"/>
  <c r="E13" i="3"/>
  <c r="D13" i="3"/>
  <c r="C13" i="3"/>
  <c r="E14" i="3"/>
  <c r="D14" i="3"/>
  <c r="C14" i="3"/>
  <c r="E12" i="3"/>
  <c r="D12" i="3"/>
  <c r="C12" i="3"/>
  <c r="K12" i="3"/>
  <c r="J12" i="3"/>
  <c r="I12" i="3"/>
  <c r="K11" i="3"/>
  <c r="J11" i="3"/>
  <c r="I11" i="3"/>
  <c r="E11" i="3"/>
  <c r="D11" i="3"/>
  <c r="C11" i="3"/>
  <c r="E10" i="3"/>
  <c r="D10" i="3"/>
  <c r="C10" i="3"/>
  <c r="E9" i="3"/>
  <c r="D9" i="3"/>
  <c r="C9" i="3"/>
  <c r="K8" i="3"/>
  <c r="E8" i="3" s="1"/>
  <c r="J8" i="3"/>
  <c r="D8" i="3" s="1"/>
  <c r="I8" i="3"/>
  <c r="C8" i="3" s="1"/>
  <c r="E7" i="3" l="1"/>
  <c r="D7" i="3"/>
  <c r="C7" i="3"/>
  <c r="C18" i="3"/>
  <c r="E6" i="3"/>
  <c r="D6" i="3"/>
  <c r="C6" i="3"/>
  <c r="E5" i="3"/>
  <c r="D5" i="3"/>
  <c r="C5" i="3"/>
  <c r="E75" i="3" l="1"/>
  <c r="D75" i="3"/>
  <c r="C75" i="3"/>
  <c r="E74" i="3"/>
  <c r="D74" i="3"/>
  <c r="E29" i="3"/>
  <c r="D29" i="3"/>
  <c r="C29" i="3"/>
  <c r="E22" i="3"/>
  <c r="D22" i="3"/>
  <c r="E50" i="3"/>
  <c r="D50" i="3"/>
  <c r="C50" i="3"/>
  <c r="E48" i="3"/>
  <c r="D48" i="3"/>
  <c r="C48" i="3"/>
  <c r="E18" i="3"/>
  <c r="D18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C8" i="1"/>
  <c r="C13" i="1" s="1"/>
  <c r="B8" i="1"/>
  <c r="E3" i="3"/>
  <c r="D3" i="3"/>
  <c r="C3" i="3"/>
  <c r="D33" i="1"/>
  <c r="D73" i="1" s="1"/>
  <c r="C33" i="1"/>
  <c r="C73" i="1" s="1"/>
  <c r="B33" i="1"/>
  <c r="B73" i="1" s="1"/>
  <c r="C62" i="1" l="1"/>
  <c r="B13" i="1"/>
  <c r="D18" i="1"/>
  <c r="D20" i="1" s="1"/>
  <c r="D22" i="1" s="1"/>
  <c r="D76" i="1" s="1"/>
  <c r="D91" i="1" s="1"/>
  <c r="D109" i="1" s="1"/>
  <c r="C18" i="1"/>
  <c r="C20" i="1" s="1"/>
  <c r="C22" i="1" s="1"/>
  <c r="C76" i="1" s="1"/>
  <c r="C91" i="1" s="1"/>
  <c r="C109" i="1" s="1"/>
  <c r="B48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<sst xmlns="http://schemas.openxmlformats.org/spreadsheetml/2006/main" count="195" uniqueCount="162">
  <si>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</si>
  <si>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</si>
  <si>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</si>
  <si>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</si>
  <si>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</si>
  <si>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</si>
  <si>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</si>
  <si>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</si>
  <si>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</si>
  <si>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</si>
  <si>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</si>
  <si>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</si>
  <si>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</si>
  <si>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</si>
  <si>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</si>
  <si>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</si>
  <si>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</si>
  <si>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</si>
  <si>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</si>
  <si>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</si>
  <si>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</si>
  <si>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</si>
  <si>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</si>
  <si>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</si>
  <si>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</si>
  <si>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</si>
  <si>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</si>
  <si>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</si>
  <si>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</si>
  <si>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</si>
  <si>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</si>
  <si>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</si>
  <si>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</si>
  <si>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</si>
  <si>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</si>
  <si>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</si>
  <si>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</si>
  <si>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</si>
  <si>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</si>
  <si>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</si>
  <si>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</si>
  <si>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</si>
  <si>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</si>
  <si>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</si>
  <si>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</si>
  <si>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</si>
  <si>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</si>
  <si>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</si>
  <si>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</si>
  <si>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</si>
  <si>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</si>
  <si>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</si>
  <si>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</si>
  <si>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</si>
  <si>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</si>
  <si>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</si>
  <si>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</si>
  <si>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</si>
  <si>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</si>
  <si>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</si>
  <si>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</si>
  <si>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</si>
  <si>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</si>
  <si>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</si>
  <si>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</si>
  <si>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</si>
  <si>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</si>
  <si>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</si>
  <si>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</si>
  <si>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</si>
  <si>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</si>
  <si>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</si>
  <si>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</si>
  <si>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</si>
  <si>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</si>
  <si>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</si>
  <si>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</si>
  <si>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</si>
  <si>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</si>
  <si>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</si>
  <si>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</si>
  <si>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</si>
  <si>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</si>
  <si>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</si>
  <si>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</si>
  <si>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</si>
  <si>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</si>
  <si>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</si>
  <si>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</si>
  <si>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</si>
  <si>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</si>
  <si>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</si>
  <si>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</si>
  <si>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</si>
  <si>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</si>
  <si>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</si>
  <si>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</si>
  <si>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</si>
  <si>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</si>
  <si>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</si>
  <si>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</si>
  <si>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</si>
  <si>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</si>
  <si>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</si>
  <si>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</si>
  <si>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</si>
  <si>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</si>
  <si>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</si>
  <si>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</si>
  <si>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</si>
  <si>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</si>
  <si>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</si>
  <si>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</si>
  <si>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</si>
  <si>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</si>
  <si>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</si>
  <si>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</si>
  <si>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</si>
  <si>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</si>
  <si>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</si>
  <si>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</si>
  <si>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</si>
  <si>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</si>
  <si>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</si>
  <si>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</si>
  <si>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</si>
  <si>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</si>
  <si>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</si>
  <si>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</si>
  <si>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</si>
  <si>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</si>
  <si>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</si>
  <si>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</si>
  <si>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</si>
  <si>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</si>
  <si>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</si>
  <si>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</si>
  <si>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</si>
  <si>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</si>
  <si>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</si>
  <si>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</si>
  <si>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</si>
  <si>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</si>
  <si>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</si>
  <si>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</si>
  <si>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</si>
  <si>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</si>
  <si>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</si>
  <si>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</si>
  <si>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</si>
  <si>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Net sales</t>
  </si>
  <si>
    <t>Operating expenses</t>
  </si>
  <si>
    <t>R&amp;D</t>
  </si>
  <si>
    <t>SG&amp;A</t>
  </si>
  <si>
    <t>As a % of net sales</t>
  </si>
  <si>
    <t>Net Profit</t>
  </si>
  <si>
    <t>Tax &amp; Capex</t>
  </si>
  <si>
    <t>Avg daily exptr</t>
  </si>
  <si>
    <t>DSO</t>
  </si>
  <si>
    <t>DPO</t>
  </si>
  <si>
    <t>Net debt</t>
  </si>
  <si>
    <t>Sales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</si>
</sst>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10" fontId="0" fillId="0" borderId="0" xfId="0" quotePrefix="1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/>
    <xf numFmtId="10" fontId="0" fillId="5" borderId="0" xfId="0" applyNumberForma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5" workbookViewId="0">
      <selection activeCell="B10" sqref="B10"/>
    </sheetView>
  </sheetViews>
  <sheetFormatPr defaultRowHeight="14.4" x14ac:dyDescent="0.3"/>
  <cols>
    <col min="1" max="1" width="104.5546875" customWidth="1"/>
  </cols>
  <sheetData>
    <row r="1" spans="1:4" ht="23.4" x14ac:dyDescent="0.45">
      <c r="A1" s="5" t="s">
        <v>0</v>
      </c>
    </row>
    <row r="3" spans="1:4" x14ac:dyDescent="0.3">
      <c r="A3" s="7" t="s">
        <v>1</v>
      </c>
    </row>
    <row r="4" spans="1:4" x14ac:dyDescent="0.3">
      <c r="A4" s="16" t="s">
        <v>2</v>
      </c>
    </row>
    <row r="5" spans="1:4" x14ac:dyDescent="0.3">
      <c r="A5" s="7" t="s">
        <v>3</v>
      </c>
    </row>
    <row r="6" spans="1:4" x14ac:dyDescent="0.3">
      <c r="A6" s="1" t="s">
        <v>4</v>
      </c>
    </row>
    <row r="7" spans="1:4" x14ac:dyDescent="0.3">
      <c r="A7" s="1"/>
    </row>
    <row r="8" spans="1:4" x14ac:dyDescent="0.3">
      <c r="A8" s="17" t="s">
        <v>5</v>
      </c>
    </row>
    <row r="9" spans="1:4" x14ac:dyDescent="0.3">
      <c r="A9" s="1" t="s">
        <v>6</v>
      </c>
      <c r="B9" s="23"/>
      <c r="C9" s="23"/>
      <c r="D9" s="23"/>
    </row>
    <row r="10" spans="1:4" x14ac:dyDescent="0.3">
      <c r="A10" s="1" t="s">
        <v>7</v>
      </c>
      <c r="B10" s="23"/>
      <c r="C10" s="23"/>
      <c r="D10" s="23"/>
    </row>
    <row r="11" spans="1:4" x14ac:dyDescent="0.3">
      <c r="A11" s="1" t="s">
        <v>8</v>
      </c>
    </row>
    <row r="12" spans="1:4" x14ac:dyDescent="0.3">
      <c r="A12" s="1" t="s">
        <v>9</v>
      </c>
    </row>
    <row r="13" spans="1:4" x14ac:dyDescent="0.3">
      <c r="A13" s="1"/>
    </row>
    <row r="14" spans="1:4" x14ac:dyDescent="0.3">
      <c r="A14" s="17" t="s">
        <v>10</v>
      </c>
    </row>
    <row r="15" spans="1:4" x14ac:dyDescent="0.3">
      <c r="A15" s="1" t="s">
        <v>11</v>
      </c>
    </row>
    <row r="16" spans="1:4" x14ac:dyDescent="0.3">
      <c r="A16" s="1" t="s">
        <v>7</v>
      </c>
    </row>
    <row r="17" spans="1:1" x14ac:dyDescent="0.3">
      <c r="A17" s="1" t="s">
        <v>8</v>
      </c>
    </row>
    <row r="18" spans="1:1" x14ac:dyDescent="0.3">
      <c r="A18" s="1" t="s">
        <v>12</v>
      </c>
    </row>
    <row r="19" spans="1:1" x14ac:dyDescent="0.3">
      <c r="A19" s="1" t="s">
        <v>13</v>
      </c>
    </row>
    <row r="20" spans="1:1" x14ac:dyDescent="0.3">
      <c r="A20" s="1"/>
    </row>
    <row r="21" spans="1:1" x14ac:dyDescent="0.3">
      <c r="A21" s="17" t="s">
        <v>14</v>
      </c>
    </row>
    <row r="22" spans="1:1" x14ac:dyDescent="0.3">
      <c r="A22" s="1" t="s">
        <v>15</v>
      </c>
    </row>
    <row r="23" spans="1:1" x14ac:dyDescent="0.3">
      <c r="A23" s="1" t="s">
        <v>16</v>
      </c>
    </row>
    <row r="24" spans="1:1" x14ac:dyDescent="0.3">
      <c r="A24" s="1" t="s">
        <v>17</v>
      </c>
    </row>
    <row r="25" spans="1:1" x14ac:dyDescent="0.3">
      <c r="A25" s="1"/>
    </row>
    <row r="26" spans="1:1" x14ac:dyDescent="0.3">
      <c r="A26" s="17" t="s">
        <v>18</v>
      </c>
    </row>
    <row r="27" spans="1:1" x14ac:dyDescent="0.3">
      <c r="A27" s="16" t="s">
        <v>19</v>
      </c>
    </row>
    <row r="29" spans="1:1" x14ac:dyDescent="0.3">
      <c r="A29" s="7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" workbookViewId="0">
      <selection activeCell="B38" sqref="B3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7" t="s">
        <v>23</v>
      </c>
      <c r="B2" s="27"/>
      <c r="C2" s="27"/>
      <c r="D2" s="27"/>
    </row>
    <row r="3" spans="1:10" x14ac:dyDescent="0.3">
      <c r="B3" s="26" t="s">
        <v>24</v>
      </c>
      <c r="C3" s="26"/>
      <c r="D3" s="26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25</v>
      </c>
    </row>
    <row r="6" spans="1:10" x14ac:dyDescent="0.3">
      <c r="A6" s="1" t="s">
        <v>26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27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28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29</v>
      </c>
      <c r="B9" s="12"/>
      <c r="C9" s="12"/>
      <c r="D9" s="12"/>
    </row>
    <row r="10" spans="1:10" x14ac:dyDescent="0.3">
      <c r="A10" s="1" t="s">
        <v>26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27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30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31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32</v>
      </c>
      <c r="B14" s="12"/>
      <c r="C14" s="12"/>
      <c r="D14" s="12"/>
    </row>
    <row r="15" spans="1:10" x14ac:dyDescent="0.3">
      <c r="A15" s="1" t="s">
        <v>33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34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35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12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36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37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38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39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40</v>
      </c>
    </row>
    <row r="24" spans="1:4" x14ac:dyDescent="0.3">
      <c r="A24" s="1" t="s">
        <v>41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42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43</v>
      </c>
    </row>
    <row r="27" spans="1:4" x14ac:dyDescent="0.3">
      <c r="A27" s="1" t="s">
        <v>41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42</v>
      </c>
      <c r="B28" s="2">
        <v>16325819</v>
      </c>
      <c r="C28" s="2">
        <v>16864919</v>
      </c>
      <c r="D28" s="2">
        <v>17528214</v>
      </c>
    </row>
    <row r="31" spans="1:4" x14ac:dyDescent="0.3">
      <c r="A31" s="27" t="s">
        <v>44</v>
      </c>
      <c r="B31" s="27"/>
      <c r="C31" s="27"/>
      <c r="D31" s="27"/>
    </row>
    <row r="32" spans="1:4" x14ac:dyDescent="0.3">
      <c r="B32" s="26" t="s">
        <v>45</v>
      </c>
      <c r="C32" s="26"/>
      <c r="D32" s="26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46</v>
      </c>
    </row>
    <row r="36" spans="1:4" x14ac:dyDescent="0.3">
      <c r="A36" s="1" t="s">
        <v>47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48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49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50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51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52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53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54</v>
      </c>
      <c r="B43" s="12"/>
      <c r="C43" s="12"/>
      <c r="D43" s="12"/>
    </row>
    <row r="44" spans="1:4" x14ac:dyDescent="0.3">
      <c r="A44" s="1" t="s">
        <v>48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55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56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57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58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59</v>
      </c>
    </row>
    <row r="51" spans="1:4" x14ac:dyDescent="0.3">
      <c r="A51" s="1" t="s">
        <v>60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61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62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63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64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65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66</v>
      </c>
      <c r="B57" s="12"/>
      <c r="C57" s="12"/>
      <c r="D57" s="12"/>
    </row>
    <row r="58" spans="1:4" x14ac:dyDescent="0.3">
      <c r="A58" s="1" t="s">
        <v>62</v>
      </c>
      <c r="B58" s="12"/>
      <c r="C58" s="12"/>
      <c r="D58" s="12"/>
    </row>
    <row r="59" spans="1:4" x14ac:dyDescent="0.3">
      <c r="A59" s="1" t="s">
        <v>64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67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68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69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70</v>
      </c>
      <c r="B64" s="12"/>
      <c r="C64" s="12"/>
      <c r="D64" s="12"/>
    </row>
    <row r="65" spans="1:4" x14ac:dyDescent="0.3">
      <c r="A65" s="1" t="s">
        <v>71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72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73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74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75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7" t="s">
        <v>76</v>
      </c>
      <c r="B71" s="27"/>
      <c r="C71" s="27"/>
      <c r="D71" s="27"/>
    </row>
    <row r="72" spans="1:4" x14ac:dyDescent="0.3">
      <c r="B72" s="26" t="s">
        <v>24</v>
      </c>
      <c r="C72" s="26"/>
      <c r="D72" s="26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77</v>
      </c>
      <c r="B75" s="15"/>
      <c r="C75" s="15"/>
      <c r="D75" s="15"/>
    </row>
    <row r="76" spans="1:4" x14ac:dyDescent="0.3">
      <c r="A76" t="s">
        <v>78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39</v>
      </c>
      <c r="B77" s="15"/>
      <c r="C77" s="15"/>
      <c r="D77" s="15"/>
    </row>
    <row r="78" spans="1:4" x14ac:dyDescent="0.3">
      <c r="A78" s="1" t="s">
        <v>79</v>
      </c>
      <c r="B78" s="12"/>
      <c r="C78" s="12"/>
      <c r="D78" s="12"/>
    </row>
    <row r="79" spans="1:4" x14ac:dyDescent="0.3">
      <c r="A79" s="3" t="s">
        <v>80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81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82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83</v>
      </c>
      <c r="B82" s="12">
        <v>111</v>
      </c>
      <c r="C82" s="12">
        <v>-147</v>
      </c>
      <c r="D82" s="12">
        <v>-97</v>
      </c>
    </row>
    <row r="83" spans="1:4" x14ac:dyDescent="0.3">
      <c r="A83" t="s">
        <v>84</v>
      </c>
      <c r="B83" s="12"/>
      <c r="C83" s="12"/>
      <c r="D83" s="12"/>
    </row>
    <row r="84" spans="1:4" x14ac:dyDescent="0.3">
      <c r="A84" s="1" t="s">
        <v>49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50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51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85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60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62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86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87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88</v>
      </c>
      <c r="B92" s="12"/>
      <c r="C92" s="12"/>
      <c r="D92" s="12"/>
    </row>
    <row r="93" spans="1:4" x14ac:dyDescent="0.3">
      <c r="A93" s="1" t="s">
        <v>89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90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91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92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93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83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94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95</v>
      </c>
      <c r="B100" s="12"/>
      <c r="C100" s="12"/>
      <c r="D100" s="12"/>
    </row>
    <row r="101" spans="1:4" x14ac:dyDescent="0.3">
      <c r="A101" s="1" t="s">
        <v>96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97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98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99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100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101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83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102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103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104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105</v>
      </c>
      <c r="B112" s="12"/>
      <c r="C112" s="12"/>
      <c r="D112" s="12"/>
    </row>
    <row r="113" spans="1:4" x14ac:dyDescent="0.3">
      <c r="A113" t="s">
        <v>106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107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5"/>
  <sheetViews>
    <sheetView tabSelected="1" workbookViewId="0">
      <selection activeCell="B29" sqref="B29"/>
    </sheetView>
  </sheetViews>
  <sheetFormatPr defaultRowHeight="14.4" x14ac:dyDescent="0.3"/>
  <cols>
    <col min="1" max="1" width="4.6640625" customWidth="1"/>
    <col min="2" max="2" width="44.88671875" customWidth="1"/>
    <col min="3" max="3" width="11" bestFit="1" customWidth="1"/>
    <col min="4" max="4" width="13.109375" bestFit="1" customWidth="1"/>
    <col min="5" max="5" width="11" bestFit="1" customWidth="1"/>
  </cols>
  <sheetData>
    <row r="1" spans="1:11" ht="60" customHeight="1" x14ac:dyDescent="0.5">
      <c r="A1" s="6"/>
      <c r="B1" s="20" t="s">
        <v>21</v>
      </c>
      <c r="C1" s="19"/>
      <c r="D1" s="19"/>
      <c r="E1" s="19"/>
      <c r="F1" s="19"/>
      <c r="G1" s="19"/>
      <c r="H1" s="19"/>
      <c r="I1" s="19"/>
      <c r="J1" s="19"/>
    </row>
    <row r="2" spans="1:11" x14ac:dyDescent="0.3">
      <c r="C2" s="26" t="s">
        <v>24</v>
      </c>
      <c r="D2" s="26"/>
      <c r="E2" s="26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>
        <v>2022</v>
      </c>
      <c r="J3">
        <v>2021</v>
      </c>
      <c r="K3">
        <v>2020</v>
      </c>
    </row>
    <row r="4" spans="1:11" x14ac:dyDescent="0.3">
      <c r="A4" s="18">
        <v>1</v>
      </c>
      <c r="B4" s="7" t="s">
        <v>108</v>
      </c>
    </row>
    <row r="5" spans="1:11" x14ac:dyDescent="0.3">
      <c r="A5" s="18">
        <f>+A4+0.1</f>
        <v>1.1000000000000001</v>
      </c>
      <c r="B5" s="1" t="s">
        <v>109</v>
      </c>
      <c r="C5">
        <f>135405/153982</f>
        <v>0.87935602862672257</v>
      </c>
      <c r="D5">
        <f>134836/125481</f>
        <v>1.0745531195957954</v>
      </c>
      <c r="E5">
        <f>143713/105392</f>
        <v>1.3636044481554577</v>
      </c>
    </row>
    <row r="6" spans="1:11" x14ac:dyDescent="0.3">
      <c r="A6" s="18">
        <f t="shared" ref="A6:A13" si="0">+A5+0.1</f>
        <v>1.2000000000000002</v>
      </c>
      <c r="B6" s="1" t="s">
        <v>110</v>
      </c>
      <c r="C6">
        <f>(23646+28184)/153982</f>
        <v>0.33659778415658975</v>
      </c>
      <c r="D6">
        <f>(34940+26278)/125481</f>
        <v>0.48786668898080188</v>
      </c>
      <c r="E6">
        <f>(38016+16120)/105392</f>
        <v>0.51366327614999241</v>
      </c>
    </row>
    <row r="7" spans="1:11" x14ac:dyDescent="0.3">
      <c r="A7" s="18">
        <f t="shared" si="0"/>
        <v>1.3000000000000003</v>
      </c>
      <c r="B7" s="1" t="s">
        <v>111</v>
      </c>
      <c r="C7">
        <f>23646/153982</f>
        <v>0.15356340351469652</v>
      </c>
      <c r="D7">
        <f>34940/125481</f>
        <v>0.27844853005634318</v>
      </c>
      <c r="E7">
        <f>38016/105392</f>
        <v>0.36071049035979963</v>
      </c>
    </row>
    <row r="8" spans="1:11" x14ac:dyDescent="0.3">
      <c r="A8" s="18">
        <f t="shared" si="0"/>
        <v>1.4000000000000004</v>
      </c>
      <c r="B8" s="1" t="s">
        <v>112</v>
      </c>
      <c r="C8">
        <f>135405/I8</f>
        <v>187.35883496912282</v>
      </c>
      <c r="D8">
        <f>134836/J8</f>
        <v>200.40043325298063</v>
      </c>
      <c r="E8">
        <f>143713/K8</f>
        <v>266.76822656475849</v>
      </c>
      <c r="G8" t="s">
        <v>157</v>
      </c>
      <c r="I8">
        <f>(223546+51345-11104)/365</f>
        <v>722.70410958904108</v>
      </c>
      <c r="J8">
        <f>(212981+43887-11284)/365</f>
        <v>672.83287671232881</v>
      </c>
      <c r="K8">
        <f>(169559+38668-11056)/366</f>
        <v>538.71857923497271</v>
      </c>
    </row>
    <row r="9" spans="1:11" x14ac:dyDescent="0.3">
      <c r="A9" s="18">
        <f t="shared" si="0"/>
        <v>1.5000000000000004</v>
      </c>
      <c r="B9" s="1" t="s">
        <v>113</v>
      </c>
      <c r="C9">
        <f>(((4946+1484)/2)/223546)*365</f>
        <v>5.2493670206579406</v>
      </c>
      <c r="D9">
        <f>(((6580-2642)/2)/212981)*365</f>
        <v>3.3744089848390235</v>
      </c>
      <c r="E9">
        <f>(((4061-127)/2)/169559)*366</f>
        <v>4.2458495273031804</v>
      </c>
    </row>
    <row r="10" spans="1:11" x14ac:dyDescent="0.3">
      <c r="A10" s="18">
        <f t="shared" si="0"/>
        <v>1.6000000000000005</v>
      </c>
      <c r="B10" s="1" t="s">
        <v>114</v>
      </c>
      <c r="C10">
        <f>(64115*365)/223546</f>
        <v>104.68527730310539</v>
      </c>
      <c r="D10">
        <f>(54763*365)/212981</f>
        <v>93.85107122231561</v>
      </c>
      <c r="E10">
        <f>(42296*366)/169559</f>
        <v>91.297636810785633</v>
      </c>
    </row>
    <row r="11" spans="1:11" x14ac:dyDescent="0.3">
      <c r="A11" s="18">
        <f t="shared" si="0"/>
        <v>1.7000000000000006</v>
      </c>
      <c r="B11" s="1" t="s">
        <v>115</v>
      </c>
      <c r="C11">
        <f>(28184/394328)*365</f>
        <v>26.087825363656648</v>
      </c>
      <c r="D11">
        <f>(26278/365817)*365</f>
        <v>26.219311841713207</v>
      </c>
      <c r="E11">
        <f>(16120/274515)*366</f>
        <v>21.49215889842085</v>
      </c>
      <c r="G11" t="s">
        <v>158</v>
      </c>
      <c r="I11">
        <f>((28184-1823)/2)/(394328/365)</f>
        <v>12.200205159156845</v>
      </c>
      <c r="J11">
        <f>((26278-10125)/2)/(365817/365)</f>
        <v>8.0584622912549158</v>
      </c>
      <c r="K11">
        <f>((16120+6917)/2)/(274515/366)</f>
        <v>15.357160810884652</v>
      </c>
    </row>
    <row r="12" spans="1:11" x14ac:dyDescent="0.3">
      <c r="A12" s="18">
        <f t="shared" si="0"/>
        <v>1.8000000000000007</v>
      </c>
      <c r="B12" s="1" t="s">
        <v>116</v>
      </c>
      <c r="C12">
        <f>C9+I11-I12</f>
        <v>-42.606288806290983</v>
      </c>
      <c r="D12">
        <f>D9+J11-J12</f>
        <v>-46.054615870646849</v>
      </c>
      <c r="E12">
        <f>E9+K11-K12</f>
        <v>-21.66181193606479</v>
      </c>
      <c r="G12" t="s">
        <v>159</v>
      </c>
      <c r="I12">
        <f>((64115+9448)/2)/(223546/365)</f>
        <v>60.05586098610577</v>
      </c>
      <c r="J12">
        <f>((54763+12326)/2)/(212981/365)</f>
        <v>57.48748714674079</v>
      </c>
      <c r="K12">
        <f>((42296-4062)/2)/(169559/366)</f>
        <v>41.264822274252623</v>
      </c>
    </row>
    <row r="13" spans="1:11" x14ac:dyDescent="0.3">
      <c r="A13" s="18">
        <f t="shared" si="0"/>
        <v>1.9000000000000008</v>
      </c>
      <c r="B13" s="1" t="s">
        <v>117</v>
      </c>
      <c r="C13" s="23">
        <f>C14/394328</f>
        <v>-4.711052727678481E-2</v>
      </c>
      <c r="D13" s="23">
        <f>D14/365817</f>
        <v>2.557289573748623E-2</v>
      </c>
      <c r="E13" s="23">
        <f>E14/274515</f>
        <v>0.13959528623208203</v>
      </c>
    </row>
    <row r="14" spans="1:11" x14ac:dyDescent="0.3">
      <c r="A14" s="18"/>
      <c r="B14" s="3" t="s">
        <v>118</v>
      </c>
      <c r="C14">
        <f>135405-153982</f>
        <v>-18577</v>
      </c>
      <c r="D14">
        <f>134836-125481</f>
        <v>9355</v>
      </c>
      <c r="E14">
        <f>143713-105392</f>
        <v>38321</v>
      </c>
    </row>
    <row r="15" spans="1:11" x14ac:dyDescent="0.3">
      <c r="A15" s="18"/>
    </row>
    <row r="16" spans="1:11" x14ac:dyDescent="0.3">
      <c r="A16" s="18">
        <f>+A4+1</f>
        <v>2</v>
      </c>
      <c r="B16" s="17" t="s">
        <v>119</v>
      </c>
    </row>
    <row r="17" spans="1:10" x14ac:dyDescent="0.3">
      <c r="A17" s="18">
        <f>+A16+0.1</f>
        <v>2.1</v>
      </c>
      <c r="B17" s="1" t="s">
        <v>31</v>
      </c>
      <c r="C17" s="25">
        <f>(394328-223546)/394328</f>
        <v>0.43309630561360085</v>
      </c>
      <c r="D17" s="25">
        <f>(365817-212981)/365817</f>
        <v>0.41779359625167778</v>
      </c>
      <c r="E17" s="25">
        <f>(274515-169559)/274515</f>
        <v>0.38233247727810865</v>
      </c>
    </row>
    <row r="18" spans="1:10" x14ac:dyDescent="0.3">
      <c r="A18" s="18">
        <f>+A17+0.1</f>
        <v>2.2000000000000002</v>
      </c>
      <c r="B18" s="1" t="s">
        <v>120</v>
      </c>
      <c r="C18" s="25">
        <f>C19/394328</f>
        <v>0.3310467428130896</v>
      </c>
      <c r="D18" s="25">
        <f>D19/365817</f>
        <v>0.32866979938056462</v>
      </c>
      <c r="E18" s="25">
        <f>E19/274515</f>
        <v>0.2817478097736007</v>
      </c>
    </row>
    <row r="19" spans="1:10" x14ac:dyDescent="0.3">
      <c r="A19" s="18"/>
      <c r="B19" s="3" t="s">
        <v>121</v>
      </c>
      <c r="C19">
        <f>119437+11104</f>
        <v>130541</v>
      </c>
      <c r="D19">
        <f>108949+11284</f>
        <v>120233</v>
      </c>
      <c r="E19">
        <f>66288+11056</f>
        <v>77344</v>
      </c>
    </row>
    <row r="20" spans="1:10" x14ac:dyDescent="0.3">
      <c r="A20" s="18">
        <f>+A18+0.1</f>
        <v>2.3000000000000003</v>
      </c>
      <c r="B20" s="1" t="s">
        <v>122</v>
      </c>
      <c r="C20" s="23">
        <f>C21/394328</f>
        <v>0.30288744395528594</v>
      </c>
      <c r="D20" s="24">
        <f>D21/365817</f>
        <v>0.29782377527561593</v>
      </c>
      <c r="E20" s="23">
        <f>E21/274515</f>
        <v>0.24147314354406862</v>
      </c>
    </row>
    <row r="21" spans="1:10" x14ac:dyDescent="0.3">
      <c r="A21" s="18"/>
      <c r="B21" s="3" t="s">
        <v>123</v>
      </c>
      <c r="C21">
        <v>119437</v>
      </c>
      <c r="D21">
        <v>108949</v>
      </c>
      <c r="E21">
        <v>66288</v>
      </c>
    </row>
    <row r="22" spans="1:10" x14ac:dyDescent="0.3">
      <c r="A22" s="18">
        <f>+A20+0.1</f>
        <v>2.4000000000000004</v>
      </c>
      <c r="B22" s="1" t="s">
        <v>124</v>
      </c>
      <c r="C22" s="23">
        <f>99803/394328</f>
        <v>0.25309640705199732</v>
      </c>
      <c r="D22" s="24">
        <f>94680/365817</f>
        <v>0.25881793355694238</v>
      </c>
      <c r="E22" s="23">
        <f>57411/274515</f>
        <v>0.20913611278072236</v>
      </c>
    </row>
    <row r="23" spans="1:10" x14ac:dyDescent="0.3">
      <c r="A23" s="18"/>
    </row>
    <row r="24" spans="1:10" x14ac:dyDescent="0.3">
      <c r="A24" s="18">
        <f>+A16+1</f>
        <v>3</v>
      </c>
      <c r="B24" s="7" t="s">
        <v>125</v>
      </c>
    </row>
    <row r="25" spans="1:10" x14ac:dyDescent="0.3">
      <c r="A25" s="18">
        <f>+A24+0.1</f>
        <v>3.1</v>
      </c>
      <c r="B25" s="1" t="s">
        <v>126</v>
      </c>
      <c r="C25">
        <f>302083/50672</f>
        <v>5.9615369434796337</v>
      </c>
      <c r="D25">
        <f>287912/63090</f>
        <v>4.5635124425423994</v>
      </c>
      <c r="E25">
        <f>258549/65339</f>
        <v>3.9570394404566951</v>
      </c>
    </row>
    <row r="26" spans="1:10" x14ac:dyDescent="0.3">
      <c r="A26" s="18">
        <f t="shared" ref="A26:A30" si="1">+A25+0.1</f>
        <v>3.2</v>
      </c>
      <c r="B26" s="1" t="s">
        <v>127</v>
      </c>
      <c r="C26">
        <f>302083/352755</f>
        <v>0.85635355983614692</v>
      </c>
      <c r="D26">
        <f>287912/351002</f>
        <v>0.82025743443057308</v>
      </c>
      <c r="E26">
        <f>258549/323888</f>
        <v>0.79826668477992391</v>
      </c>
    </row>
    <row r="27" spans="1:10" x14ac:dyDescent="0.3">
      <c r="A27" s="18">
        <f t="shared" si="1"/>
        <v>3.3000000000000003</v>
      </c>
      <c r="B27" s="1" t="s">
        <v>128</v>
      </c>
      <c r="C27">
        <f>148161/C14</f>
        <v>-7.9755073477956611</v>
      </c>
      <c r="D27">
        <f>162431/D14</f>
        <v>17.363014430785675</v>
      </c>
      <c r="E27">
        <f>153157/E14</f>
        <v>3.9966858902429476</v>
      </c>
    </row>
    <row r="28" spans="1:10" x14ac:dyDescent="0.3">
      <c r="A28" s="18">
        <f t="shared" si="1"/>
        <v>3.4000000000000004</v>
      </c>
      <c r="B28" s="1" t="s">
        <v>129</v>
      </c>
      <c r="C28">
        <f>C21/2865</f>
        <v>41.68830715532286</v>
      </c>
      <c r="D28">
        <f>D21/2687</f>
        <v>40.546706363974693</v>
      </c>
      <c r="E28">
        <f>E21/3002</f>
        <v>22.081279147235175</v>
      </c>
    </row>
    <row r="29" spans="1:10" x14ac:dyDescent="0.3">
      <c r="A29" s="18">
        <f t="shared" si="1"/>
        <v>3.5000000000000004</v>
      </c>
      <c r="B29" s="1" t="s">
        <v>130</v>
      </c>
      <c r="C29">
        <f>119103/302083</f>
        <v>0.3942724350592387</v>
      </c>
      <c r="D29">
        <f>109207/287912</f>
        <v>0.37930687154408294</v>
      </c>
      <c r="E29">
        <f>67091/258549</f>
        <v>0.25949046408997906</v>
      </c>
    </row>
    <row r="30" spans="1:10" x14ac:dyDescent="0.3">
      <c r="A30" s="18">
        <f t="shared" si="1"/>
        <v>3.6000000000000005</v>
      </c>
      <c r="B30" s="1" t="s">
        <v>131</v>
      </c>
      <c r="C30">
        <f>16325819/C31</f>
        <v>66.173591069749349</v>
      </c>
      <c r="D30">
        <f>16864919/D31</f>
        <v>77.477875171127465</v>
      </c>
      <c r="E30">
        <f>17528214/E31</f>
        <v>110.41811973995867</v>
      </c>
    </row>
    <row r="31" spans="1:10" x14ac:dyDescent="0.3">
      <c r="A31" s="18"/>
      <c r="B31" s="3" t="s">
        <v>132</v>
      </c>
      <c r="C31" s="2">
        <f>122151-42117+H31</f>
        <v>246712</v>
      </c>
      <c r="D31" s="2">
        <f>104038-39440+I31</f>
        <v>217674</v>
      </c>
      <c r="E31" s="2">
        <f>80674-36766+J31</f>
        <v>158744</v>
      </c>
      <c r="G31" t="s">
        <v>160</v>
      </c>
      <c r="H31">
        <f>302083-135405</f>
        <v>166678</v>
      </c>
      <c r="I31">
        <f>287912-134836</f>
        <v>153076</v>
      </c>
      <c r="J31">
        <f>258549-143713</f>
        <v>114836</v>
      </c>
    </row>
    <row r="32" spans="1:10" x14ac:dyDescent="0.3">
      <c r="A32" s="18"/>
    </row>
    <row r="33" spans="1:5" x14ac:dyDescent="0.3">
      <c r="A33" s="18">
        <f>+A24+1</f>
        <v>4</v>
      </c>
      <c r="B33" s="17" t="s">
        <v>133</v>
      </c>
    </row>
    <row r="34" spans="1:5" x14ac:dyDescent="0.3">
      <c r="A34" s="18">
        <f>+A33+0.1</f>
        <v>4.0999999999999996</v>
      </c>
      <c r="B34" s="1" t="s">
        <v>134</v>
      </c>
      <c r="C34">
        <f>394328/((352755+351002)/2)</f>
        <v>1.1206368107173357</v>
      </c>
      <c r="D34">
        <f>365817/((351002+323888)/2)</f>
        <v>1.084078886929722</v>
      </c>
      <c r="E34">
        <f>274515/((323888+338516)/2)</f>
        <v>0.82884463258072116</v>
      </c>
    </row>
    <row r="35" spans="1:5" x14ac:dyDescent="0.3">
      <c r="A35" s="18">
        <f t="shared" ref="A35:A37" si="2">+A34+0.1</f>
        <v>4.1999999999999993</v>
      </c>
      <c r="B35" s="1" t="s">
        <v>135</v>
      </c>
      <c r="C35">
        <f>394328/((42117+10708)/2)</f>
        <v>14.92959772834832</v>
      </c>
      <c r="D35">
        <f>365817/((39440+11085)/2)</f>
        <v>14.480633349826819</v>
      </c>
      <c r="E35">
        <f>274515/((36766+7309)/2)</f>
        <v>12.456721497447532</v>
      </c>
    </row>
    <row r="36" spans="1:5" x14ac:dyDescent="0.3">
      <c r="A36" s="18">
        <f t="shared" si="2"/>
        <v>4.2999999999999989</v>
      </c>
      <c r="B36" s="1" t="s">
        <v>136</v>
      </c>
      <c r="C36">
        <f>223546/((4946+1484)/2)</f>
        <v>69.532192846034221</v>
      </c>
      <c r="D36">
        <f>212981/((6580-2642)/2)</f>
        <v>108.16708989334688</v>
      </c>
      <c r="E36">
        <f>169559/((4061-127)/2)</f>
        <v>86.20183019827148</v>
      </c>
    </row>
    <row r="37" spans="1:5" x14ac:dyDescent="0.3">
      <c r="A37" s="18">
        <f t="shared" si="2"/>
        <v>4.3999999999999986</v>
      </c>
      <c r="B37" s="1" t="s">
        <v>137</v>
      </c>
      <c r="C37">
        <f>99803/((352755+351002)/2)</f>
        <v>0.28362915040276687</v>
      </c>
      <c r="D37">
        <f>94680/((351002+323888)/2)</f>
        <v>0.28057905732786081</v>
      </c>
      <c r="E37">
        <f>57411/((323888+338516)/2)</f>
        <v>0.1733413445570981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138</v>
      </c>
    </row>
    <row r="40" spans="1:5" x14ac:dyDescent="0.3">
      <c r="A40" s="18">
        <f>+A39+0.1</f>
        <v>5.0999999999999996</v>
      </c>
      <c r="B40" s="1" t="s">
        <v>139</v>
      </c>
      <c r="C40" s="28">
        <v>22.4860884</v>
      </c>
      <c r="D40" s="28">
        <v>24.8449198</v>
      </c>
      <c r="E40" s="28">
        <v>34.679878000000002</v>
      </c>
    </row>
    <row r="41" spans="1:5" x14ac:dyDescent="0.3">
      <c r="A41" s="18">
        <f t="shared" ref="A41:A44" si="3">+A40+0.1</f>
        <v>5.1999999999999993</v>
      </c>
      <c r="B41" s="3" t="s">
        <v>140</v>
      </c>
      <c r="C41" s="28">
        <v>6.11</v>
      </c>
      <c r="D41" s="28">
        <v>5.61</v>
      </c>
      <c r="E41" s="28">
        <v>3.28</v>
      </c>
    </row>
    <row r="42" spans="1:5" x14ac:dyDescent="0.3">
      <c r="A42" s="18">
        <f t="shared" si="3"/>
        <v>5.2999999999999989</v>
      </c>
      <c r="B42" s="1" t="s">
        <v>141</v>
      </c>
      <c r="C42" s="28">
        <v>43.23</v>
      </c>
      <c r="D42" s="28">
        <v>36.42</v>
      </c>
      <c r="E42" s="28">
        <v>29.56</v>
      </c>
    </row>
    <row r="43" spans="1:5" x14ac:dyDescent="0.3">
      <c r="A43" s="18">
        <f t="shared" si="3"/>
        <v>5.3999999999999986</v>
      </c>
      <c r="B43" s="3" t="s">
        <v>142</v>
      </c>
      <c r="C43" s="28">
        <v>3.18</v>
      </c>
      <c r="D43" s="28">
        <v>3.84</v>
      </c>
      <c r="E43" s="28">
        <v>3.83</v>
      </c>
    </row>
    <row r="44" spans="1:5" x14ac:dyDescent="0.3">
      <c r="A44" s="18">
        <f t="shared" si="3"/>
        <v>5.4999999999999982</v>
      </c>
      <c r="B44" s="1" t="s">
        <v>143</v>
      </c>
      <c r="C44" s="25">
        <f>14841/99803</f>
        <v>0.14870294480125848</v>
      </c>
      <c r="D44" s="25">
        <f>14467/94680</f>
        <v>0.15279890156316012</v>
      </c>
      <c r="E44" s="25">
        <f>14801/57411</f>
        <v>0.25780773719322081</v>
      </c>
    </row>
    <row r="45" spans="1:5" x14ac:dyDescent="0.3">
      <c r="A45" s="18"/>
      <c r="B45" s="3" t="s">
        <v>144</v>
      </c>
      <c r="C45" s="28">
        <v>0.90857533000000001</v>
      </c>
      <c r="D45" s="28">
        <v>0.85720238999999998</v>
      </c>
      <c r="E45" s="28">
        <v>0.80447440000000003</v>
      </c>
    </row>
    <row r="46" spans="1:5" x14ac:dyDescent="0.3">
      <c r="A46" s="18">
        <f>+A44+0.1</f>
        <v>5.5999999999999979</v>
      </c>
      <c r="B46" s="1" t="s">
        <v>145</v>
      </c>
      <c r="C46" s="29">
        <v>6.6131100000000002E-3</v>
      </c>
      <c r="D46" s="29">
        <v>6.1501100000000003E-3</v>
      </c>
      <c r="E46" s="29">
        <v>7.0723000000000001E-3</v>
      </c>
    </row>
    <row r="47" spans="1:5" x14ac:dyDescent="0.3">
      <c r="A47" s="18">
        <f t="shared" ref="A47:A50" si="4">+A45+0.1</f>
        <v>0.1</v>
      </c>
      <c r="B47" s="1" t="s">
        <v>146</v>
      </c>
      <c r="C47">
        <f>99803/50672</f>
        <v>1.9695887275023682</v>
      </c>
      <c r="D47">
        <f>94680/63090</f>
        <v>1.5007132667617689</v>
      </c>
      <c r="E47">
        <f>57411/65339</f>
        <v>0.87866358530127486</v>
      </c>
    </row>
    <row r="48" spans="1:5" x14ac:dyDescent="0.3">
      <c r="A48" s="18">
        <f t="shared" si="4"/>
        <v>5.6999999999999975</v>
      </c>
      <c r="B48" s="1" t="s">
        <v>147</v>
      </c>
      <c r="C48">
        <f>C21/198773</f>
        <v>0.60087134570590572</v>
      </c>
      <c r="D48">
        <f>D21/225521</f>
        <v>0.48309913489209433</v>
      </c>
      <c r="E48">
        <f>E21/218496</f>
        <v>0.30338312829525482</v>
      </c>
    </row>
    <row r="49" spans="1:5" x14ac:dyDescent="0.3">
      <c r="A49" s="18">
        <f t="shared" si="4"/>
        <v>0.2</v>
      </c>
      <c r="B49" s="1" t="s">
        <v>137</v>
      </c>
      <c r="C49">
        <f>C37</f>
        <v>0.28362915040276687</v>
      </c>
      <c r="D49">
        <f>D37</f>
        <v>0.28057905732786081</v>
      </c>
      <c r="E49">
        <f>E37</f>
        <v>0.1733413445570981</v>
      </c>
    </row>
    <row r="50" spans="1:5" x14ac:dyDescent="0.3">
      <c r="A50" s="18">
        <f t="shared" si="4"/>
        <v>5.7999999999999972</v>
      </c>
      <c r="B50" s="1" t="s">
        <v>148</v>
      </c>
      <c r="C50">
        <f>C51/C19</f>
        <v>17287.420603411956</v>
      </c>
      <c r="D50">
        <f>D51/D19</f>
        <v>19906.804771568535</v>
      </c>
      <c r="E50">
        <f>E51/E19</f>
        <v>26664.198613984277</v>
      </c>
    </row>
    <row r="51" spans="1:5" x14ac:dyDescent="0.3">
      <c r="A51" s="18"/>
      <c r="B51" s="3" t="s">
        <v>149</v>
      </c>
      <c r="C51">
        <f>(138.21*16325819)+23646+302083</f>
        <v>2256717172.9900002</v>
      </c>
      <c r="D51">
        <f>(141.9*16864919)+34940+287912</f>
        <v>2393454858.0999999</v>
      </c>
      <c r="E51">
        <f>(117.64*17528215)+38016+258549</f>
        <v>2062315777.5999999</v>
      </c>
    </row>
    <row r="53" spans="1:5" x14ac:dyDescent="0.3">
      <c r="A53">
        <v>6</v>
      </c>
      <c r="B53" s="1" t="s">
        <v>161</v>
      </c>
    </row>
    <row r="54" spans="1:5" x14ac:dyDescent="0.3">
      <c r="A54">
        <v>6.1</v>
      </c>
      <c r="B54" s="1" t="s">
        <v>26</v>
      </c>
      <c r="C54" s="23">
        <f>(316199/297329)-1</f>
        <v>6.3465050499614817E-2</v>
      </c>
      <c r="D54" s="25">
        <f>(297329/220747)-1</f>
        <v>0.34692204197565535</v>
      </c>
      <c r="E54" s="23">
        <f>(220747/213881)-1</f>
        <v>3.2101963241241593E-2</v>
      </c>
    </row>
    <row r="55" spans="1:5" x14ac:dyDescent="0.3">
      <c r="A55">
        <v>6.2</v>
      </c>
      <c r="B55" s="1" t="s">
        <v>27</v>
      </c>
      <c r="C55" s="23">
        <f>(78129/68425)-1</f>
        <v>0.14181951041286078</v>
      </c>
      <c r="D55" s="23">
        <f>(68425/53768)-1</f>
        <v>0.27259708376729663</v>
      </c>
      <c r="E55" s="23">
        <f>(53768/46292)-1</f>
        <v>0.16149658688326274</v>
      </c>
    </row>
    <row r="56" spans="1:5" x14ac:dyDescent="0.3">
      <c r="A56">
        <v>6.3</v>
      </c>
      <c r="B56" s="1" t="s">
        <v>150</v>
      </c>
      <c r="C56" s="23">
        <f>(394328/365817)-1</f>
        <v>7.7937876041846099E-2</v>
      </c>
      <c r="D56" s="23">
        <f>(365817/274515)-1</f>
        <v>0.33259384733074704</v>
      </c>
      <c r="E56" s="23">
        <f>(274515/260179)-1</f>
        <v>5.5100526944910966E-2</v>
      </c>
    </row>
    <row r="58" spans="1:5" x14ac:dyDescent="0.3">
      <c r="A58">
        <v>7</v>
      </c>
      <c r="B58" s="1" t="s">
        <v>151</v>
      </c>
    </row>
    <row r="59" spans="1:5" x14ac:dyDescent="0.3">
      <c r="A59">
        <v>7.1</v>
      </c>
      <c r="B59" s="1" t="s">
        <v>152</v>
      </c>
      <c r="C59" s="23">
        <f>(26251/21914)-1</f>
        <v>0.19791001186456136</v>
      </c>
      <c r="D59" s="23">
        <f>(21914/18752)-1</f>
        <v>0.16862201365187723</v>
      </c>
      <c r="E59" s="23">
        <f>(18752/16217)-1</f>
        <v>0.15631744465684161</v>
      </c>
    </row>
    <row r="60" spans="1:5" x14ac:dyDescent="0.3">
      <c r="A60">
        <v>7.2</v>
      </c>
      <c r="B60" s="1" t="s">
        <v>153</v>
      </c>
      <c r="C60" s="23">
        <f>(25094/21973)-1</f>
        <v>0.14203795567287125</v>
      </c>
      <c r="D60" s="23">
        <f>(21973/19916)-1</f>
        <v>0.10328379192608961</v>
      </c>
      <c r="E60" s="23">
        <f>(19916/18245)-1</f>
        <v>9.1586736092080123E-2</v>
      </c>
    </row>
    <row r="62" spans="1:5" x14ac:dyDescent="0.3">
      <c r="A62">
        <v>8</v>
      </c>
      <c r="B62" s="1" t="s">
        <v>154</v>
      </c>
    </row>
    <row r="63" spans="1:5" x14ac:dyDescent="0.3">
      <c r="A63">
        <v>8.1</v>
      </c>
      <c r="B63" t="s">
        <v>11</v>
      </c>
      <c r="C63" s="23">
        <f>223546/394328</f>
        <v>0.56690369438639909</v>
      </c>
      <c r="D63" s="23">
        <f>212981/365817</f>
        <v>0.58220640374832222</v>
      </c>
      <c r="E63" s="23">
        <f>169559/274515</f>
        <v>0.61766752272189129</v>
      </c>
    </row>
    <row r="64" spans="1:5" x14ac:dyDescent="0.3">
      <c r="A64">
        <v>8.1999999999999993</v>
      </c>
      <c r="B64" t="s">
        <v>7</v>
      </c>
      <c r="C64" s="23">
        <f>170782/394328</f>
        <v>0.43309630561360085</v>
      </c>
      <c r="D64" s="23">
        <f>152836/365817</f>
        <v>0.41779359625167778</v>
      </c>
      <c r="E64" s="23">
        <f>104956/274515</f>
        <v>0.38233247727810865</v>
      </c>
    </row>
    <row r="65" spans="1:5" x14ac:dyDescent="0.3">
      <c r="A65">
        <v>8.3000000000000007</v>
      </c>
      <c r="B65" t="s">
        <v>155</v>
      </c>
      <c r="C65" s="23">
        <f>99803/394328</f>
        <v>0.25309640705199732</v>
      </c>
      <c r="D65" s="23">
        <f>94680/365817</f>
        <v>0.25881793355694238</v>
      </c>
      <c r="E65" s="23">
        <f>57411/274515</f>
        <v>0.20913611278072236</v>
      </c>
    </row>
    <row r="66" spans="1:5" x14ac:dyDescent="0.3">
      <c r="A66">
        <v>8.4</v>
      </c>
      <c r="B66" t="s">
        <v>12</v>
      </c>
      <c r="C66" s="23">
        <f>119437/394328</f>
        <v>0.30288744395528594</v>
      </c>
      <c r="D66" s="23">
        <f>108949/365817</f>
        <v>0.29782377527561593</v>
      </c>
      <c r="E66" s="23">
        <f>66288/274515</f>
        <v>0.24147314354406862</v>
      </c>
    </row>
    <row r="67" spans="1:5" x14ac:dyDescent="0.3">
      <c r="A67">
        <v>8.5</v>
      </c>
      <c r="B67" t="s">
        <v>152</v>
      </c>
      <c r="C67" s="23">
        <f>26251/394328</f>
        <v>6.657148363798665E-2</v>
      </c>
      <c r="D67" s="23">
        <f>21914/365817</f>
        <v>5.9904269074427925E-2</v>
      </c>
      <c r="E67" s="23">
        <f>18752/274515</f>
        <v>6.8309564140393061E-2</v>
      </c>
    </row>
    <row r="68" spans="1:5" x14ac:dyDescent="0.3">
      <c r="A68">
        <v>8.6</v>
      </c>
      <c r="B68" t="s">
        <v>153</v>
      </c>
      <c r="C68" s="23">
        <f>25094/394328</f>
        <v>6.3637378020328261E-2</v>
      </c>
      <c r="D68" s="23">
        <f>21973/365817</f>
        <v>6.006555190163388E-2</v>
      </c>
      <c r="E68" s="23">
        <f>19916/274515</f>
        <v>7.2549769593646979E-2</v>
      </c>
    </row>
    <row r="72" spans="1:5" x14ac:dyDescent="0.3">
      <c r="A72">
        <v>9</v>
      </c>
      <c r="B72" t="s">
        <v>156</v>
      </c>
    </row>
    <row r="73" spans="1:5" x14ac:dyDescent="0.3">
      <c r="A73">
        <v>9.1</v>
      </c>
      <c r="B73" t="s">
        <v>15</v>
      </c>
      <c r="C73" s="23">
        <f>19300/119103</f>
        <v>0.16204461684424407</v>
      </c>
      <c r="D73" s="23">
        <f>14527/109207</f>
        <v>0.13302260844085087</v>
      </c>
      <c r="E73" s="23">
        <f>9680/67091</f>
        <v>0.14428164731484103</v>
      </c>
    </row>
    <row r="74" spans="1:5" x14ac:dyDescent="0.3">
      <c r="A74">
        <v>9.1999999999999993</v>
      </c>
      <c r="B74" t="s">
        <v>16</v>
      </c>
      <c r="C74" s="23">
        <f>42117/394328</f>
        <v>0.10680702359457102</v>
      </c>
      <c r="D74" s="25">
        <f>(39440/365817)</f>
        <v>0.10781346957631821</v>
      </c>
      <c r="E74" s="25">
        <f>(36766/274515)</f>
        <v>0.13393075059650655</v>
      </c>
    </row>
    <row r="75" spans="1:5" x14ac:dyDescent="0.3">
      <c r="A75">
        <v>9.3000000000000007</v>
      </c>
      <c r="B75" t="s">
        <v>17</v>
      </c>
      <c r="C75" s="25">
        <f>42117/352755</f>
        <v>0.11939448058851045</v>
      </c>
      <c r="D75" s="25">
        <f>39440/351002</f>
        <v>0.11236403211377713</v>
      </c>
      <c r="E75" s="25">
        <f>36766/323888</f>
        <v>0.11351454823889739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Erkan Kubilay</cp:lastModifiedBy>
  <cp:revision/>
  <dcterms:created xsi:type="dcterms:W3CDTF">2023-09-26T10:49:44Z</dcterms:created>
  <dcterms:modified xsi:type="dcterms:W3CDTF">2023-11-12T13:57:47Z</dcterms:modified>
  <cp:category/>
  <cp:contentStatus/>
</cp:coreProperties>
</file>