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of\Downloads\"/>
    </mc:Choice>
  </mc:AlternateContent>
  <xr:revisionPtr revIDLastSave="0" documentId="13_ncr:1_{836933DE-7753-4ADC-9DE2-C7BE5457742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2" r:id="rId1"/>
    <sheet name="Financial Statements" sheetId="1" r:id="rId2"/>
    <sheet name="List of Ratios" sheetId="3" r:id="rId3"/>
    <sheet name="Other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4" l="1"/>
  <c r="F43" i="4"/>
  <c r="D43" i="4"/>
  <c r="D41" i="4" s="1"/>
  <c r="D55" i="3"/>
  <c r="E55" i="3"/>
  <c r="C55" i="3"/>
  <c r="D54" i="3"/>
  <c r="D53" i="3" s="1"/>
  <c r="E54" i="3"/>
  <c r="E53" i="3" s="1"/>
  <c r="C54" i="3"/>
  <c r="C53" i="3"/>
  <c r="F27" i="1"/>
  <c r="F30" i="1"/>
  <c r="F29" i="1"/>
  <c r="C45" i="3"/>
  <c r="D45" i="3"/>
  <c r="E45" i="3"/>
  <c r="C46" i="3"/>
  <c r="D41" i="3"/>
  <c r="E41" i="3"/>
  <c r="C41" i="3"/>
  <c r="D44" i="3"/>
  <c r="D46" i="3" s="1"/>
  <c r="E44" i="3"/>
  <c r="E46" i="3" s="1"/>
  <c r="C44" i="3"/>
  <c r="C48" i="3" s="1"/>
  <c r="C49" i="3" s="1"/>
  <c r="F26" i="1"/>
  <c r="G24" i="1"/>
  <c r="H24" i="1"/>
  <c r="F24" i="1"/>
  <c r="D47" i="3"/>
  <c r="E47" i="3"/>
  <c r="C47" i="3"/>
  <c r="D51" i="3"/>
  <c r="E51" i="3"/>
  <c r="C51" i="3"/>
  <c r="D32" i="3"/>
  <c r="D31" i="3" s="1"/>
  <c r="E32" i="3"/>
  <c r="E31" i="3" s="1"/>
  <c r="C32" i="3"/>
  <c r="C31" i="3" s="1"/>
  <c r="D37" i="3"/>
  <c r="E37" i="3"/>
  <c r="C37" i="3"/>
  <c r="D30" i="3"/>
  <c r="E30" i="3"/>
  <c r="C30" i="3"/>
  <c r="D28" i="3"/>
  <c r="E28" i="3"/>
  <c r="C28" i="3"/>
  <c r="D27" i="3"/>
  <c r="E27" i="3"/>
  <c r="C27" i="3"/>
  <c r="D26" i="3"/>
  <c r="E26" i="3"/>
  <c r="C26" i="3"/>
  <c r="D8" i="3"/>
  <c r="E8" i="3"/>
  <c r="C8" i="3"/>
  <c r="D9" i="3"/>
  <c r="E9" i="3"/>
  <c r="C9" i="3"/>
  <c r="B12" i="1"/>
  <c r="D30" i="4" s="1"/>
  <c r="B68" i="1"/>
  <c r="B47" i="1"/>
  <c r="C36" i="3" s="1"/>
  <c r="B42" i="1"/>
  <c r="B17" i="1"/>
  <c r="B8" i="1"/>
  <c r="B13" i="1" s="1"/>
  <c r="B108" i="1"/>
  <c r="C11" i="3"/>
  <c r="C10" i="3"/>
  <c r="D34" i="4"/>
  <c r="D33" i="4"/>
  <c r="D14" i="4"/>
  <c r="D13" i="4"/>
  <c r="E14" i="4"/>
  <c r="E13" i="4"/>
  <c r="D7" i="4"/>
  <c r="D6" i="4"/>
  <c r="E7" i="4"/>
  <c r="E6" i="4"/>
  <c r="F3" i="4"/>
  <c r="E3" i="4"/>
  <c r="D3" i="4"/>
  <c r="D48" i="3" l="1"/>
  <c r="D43" i="3"/>
  <c r="C43" i="3"/>
  <c r="E43" i="3"/>
  <c r="E48" i="3"/>
  <c r="D31" i="4"/>
  <c r="C18" i="3"/>
  <c r="B18" i="1"/>
  <c r="C12" i="3"/>
  <c r="C13" i="3" s="1"/>
  <c r="B48" i="1"/>
  <c r="D42" i="4"/>
  <c r="D108" i="1"/>
  <c r="C108" i="1"/>
  <c r="D99" i="1"/>
  <c r="C99" i="1"/>
  <c r="B99" i="1"/>
  <c r="B20" i="1" l="1"/>
  <c r="D35" i="4"/>
  <c r="C35" i="3"/>
  <c r="D68" i="1"/>
  <c r="C68" i="1"/>
  <c r="D61" i="1"/>
  <c r="C61" i="1"/>
  <c r="E22" i="4" s="1"/>
  <c r="B61" i="1"/>
  <c r="D22" i="4" s="1"/>
  <c r="D56" i="1"/>
  <c r="E7" i="3" s="1"/>
  <c r="C56" i="1"/>
  <c r="B56" i="1"/>
  <c r="D47" i="1"/>
  <c r="F42" i="4" s="1"/>
  <c r="C47" i="1"/>
  <c r="D42" i="1"/>
  <c r="C42" i="1"/>
  <c r="D17" i="1"/>
  <c r="C17" i="1"/>
  <c r="D12" i="1"/>
  <c r="C12" i="1"/>
  <c r="D8" i="1"/>
  <c r="C8" i="1"/>
  <c r="E3" i="3"/>
  <c r="D3" i="3"/>
  <c r="C3" i="3"/>
  <c r="D33" i="1"/>
  <c r="D73" i="1" s="1"/>
  <c r="C33" i="1"/>
  <c r="C73" i="1" s="1"/>
  <c r="B33" i="1"/>
  <c r="B73" i="1" s="1"/>
  <c r="C13" i="1" l="1"/>
  <c r="E34" i="4"/>
  <c r="D8" i="4"/>
  <c r="D36" i="3"/>
  <c r="E8" i="4"/>
  <c r="E33" i="4"/>
  <c r="E41" i="4"/>
  <c r="E15" i="4"/>
  <c r="D15" i="4"/>
  <c r="D13" i="1"/>
  <c r="F41" i="4"/>
  <c r="E35" i="3"/>
  <c r="F33" i="4"/>
  <c r="F34" i="4"/>
  <c r="E36" i="3"/>
  <c r="D12" i="3"/>
  <c r="E30" i="4"/>
  <c r="D10" i="3"/>
  <c r="D11" i="3"/>
  <c r="B62" i="1"/>
  <c r="C6" i="3"/>
  <c r="C7" i="3"/>
  <c r="D21" i="4"/>
  <c r="C5" i="3"/>
  <c r="C15" i="3"/>
  <c r="C14" i="3" s="1"/>
  <c r="E24" i="4"/>
  <c r="D24" i="4"/>
  <c r="F30" i="4"/>
  <c r="E10" i="3"/>
  <c r="E11" i="3"/>
  <c r="E12" i="3"/>
  <c r="E18" i="4"/>
  <c r="D15" i="3"/>
  <c r="D14" i="3" s="1"/>
  <c r="D5" i="3"/>
  <c r="D6" i="3"/>
  <c r="D18" i="4"/>
  <c r="E19" i="4"/>
  <c r="E42" i="4"/>
  <c r="D19" i="4"/>
  <c r="C62" i="1"/>
  <c r="C69" i="1" s="1"/>
  <c r="D7" i="3"/>
  <c r="E21" i="4"/>
  <c r="E15" i="3"/>
  <c r="E14" i="3" s="1"/>
  <c r="E5" i="3"/>
  <c r="E6" i="3"/>
  <c r="C22" i="3"/>
  <c r="D40" i="4"/>
  <c r="B22" i="1"/>
  <c r="C20" i="3"/>
  <c r="C19" i="3" s="1"/>
  <c r="C48" i="1"/>
  <c r="D62" i="1"/>
  <c r="D48" i="1"/>
  <c r="A50" i="3"/>
  <c r="A52" i="3" s="1"/>
  <c r="A17" i="3"/>
  <c r="A18" i="3" s="1"/>
  <c r="A19" i="3" s="1"/>
  <c r="A21" i="3" s="1"/>
  <c r="A23" i="3" s="1"/>
  <c r="A5" i="3"/>
  <c r="A6" i="3" s="1"/>
  <c r="A7" i="3" s="1"/>
  <c r="A8" i="3" s="1"/>
  <c r="A10" i="3" s="1"/>
  <c r="A11" i="3" s="1"/>
  <c r="A12" i="3" s="1"/>
  <c r="A13" i="3" s="1"/>
  <c r="A14" i="3" s="1"/>
  <c r="D18" i="1" l="1"/>
  <c r="E18" i="3"/>
  <c r="F31" i="4"/>
  <c r="D23" i="4"/>
  <c r="B69" i="1"/>
  <c r="D25" i="4" s="1"/>
  <c r="D69" i="1"/>
  <c r="E25" i="4" s="1"/>
  <c r="E20" i="4"/>
  <c r="D20" i="4"/>
  <c r="B76" i="1"/>
  <c r="B91" i="1" s="1"/>
  <c r="B109" i="1" s="1"/>
  <c r="C23" i="3"/>
  <c r="D36" i="4"/>
  <c r="C50" i="3"/>
  <c r="C38" i="3"/>
  <c r="E23" i="4"/>
  <c r="D35" i="3"/>
  <c r="C21" i="3"/>
  <c r="C29" i="3"/>
  <c r="C52" i="3"/>
  <c r="E13" i="3"/>
  <c r="D13" i="3"/>
  <c r="C18" i="1"/>
  <c r="D18" i="3"/>
  <c r="E31" i="4"/>
  <c r="E10" i="4"/>
  <c r="D10" i="4"/>
  <c r="A25" i="3"/>
  <c r="A26" i="3" s="1"/>
  <c r="A27" i="3" s="1"/>
  <c r="A28" i="3" s="1"/>
  <c r="A29" i="3" s="1"/>
  <c r="A30" i="3" s="1"/>
  <c r="A31" i="3" s="1"/>
  <c r="D20" i="1" l="1"/>
  <c r="F35" i="4"/>
  <c r="C20" i="1"/>
  <c r="E35" i="4"/>
  <c r="A34" i="3"/>
  <c r="A40" i="3" s="1"/>
  <c r="A41" i="3" s="1"/>
  <c r="A43" i="3" s="1"/>
  <c r="A45" i="3" s="1"/>
  <c r="A46" i="3" s="1"/>
  <c r="A47" i="3" s="1"/>
  <c r="A49" i="3" s="1"/>
  <c r="A51" i="3" s="1"/>
  <c r="A53" i="3" s="1"/>
  <c r="C22" i="1" l="1"/>
  <c r="E40" i="4"/>
  <c r="D20" i="3"/>
  <c r="D19" i="3" s="1"/>
  <c r="D22" i="3"/>
  <c r="D22" i="1"/>
  <c r="F40" i="4"/>
  <c r="E20" i="3"/>
  <c r="E19" i="3" s="1"/>
  <c r="E22" i="3"/>
  <c r="A35" i="3"/>
  <c r="A36" i="3" s="1"/>
  <c r="A37" i="3" s="1"/>
  <c r="A38" i="3" s="1"/>
  <c r="E52" i="3" l="1"/>
  <c r="E29" i="3"/>
  <c r="E21" i="3"/>
  <c r="D76" i="1"/>
  <c r="D91" i="1" s="1"/>
  <c r="D109" i="1" s="1"/>
  <c r="E23" i="3"/>
  <c r="F36" i="4"/>
  <c r="E50" i="3"/>
  <c r="E38" i="3"/>
  <c r="D21" i="3"/>
  <c r="D29" i="3"/>
  <c r="D52" i="3"/>
  <c r="C76" i="1"/>
  <c r="C91" i="1" s="1"/>
  <c r="C109" i="1" s="1"/>
  <c r="E36" i="4"/>
  <c r="D38" i="3"/>
  <c r="D50" i="3"/>
  <c r="D23" i="3"/>
</calcChain>
</file>

<file path=xl/sharedStrings.xml><?xml version="1.0" encoding="utf-8"?>
<sst xmlns="http://schemas.openxmlformats.org/spreadsheetml/2006/main" count="230" uniqueCount="180">
  <si>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</si>
  <si>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</si>
  <si>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</si>
  <si>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</si>
  <si>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</si>
  <si>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</si>
  <si>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</si>
  <si>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</si>
  <si>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</si>
  <si>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</si>
  <si>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</si>
  <si>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</si>
  <si>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</si>
  <si>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</si>
  <si>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</si>
  <si>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</si>
  <si>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</si>
  <si>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</si>
  <si>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</si>
  <si>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</si>
  <si>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</si>
  <si>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</si>
  <si>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</si>
  <si>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</si>
  <si>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</si>
  <si>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</si>
  <si>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</si>
  <si>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</si>
  <si>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</si>
  <si>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</si>
  <si>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</si>
  <si>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</si>
  <si>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</si>
  <si>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</si>
  <si>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</si>
  <si>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</si>
  <si>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</si>
  <si>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</si>
  <si>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</si>
  <si>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</si>
  <si>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</si>
  <si>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</si>
  <si>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</si>
  <si>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</si>
  <si>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</si>
  <si>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</si>
  <si>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</si>
  <si>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</si>
  <si>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</si>
  <si>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</si>
  <si>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</si>
  <si>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</si>
  <si>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</si>
  <si>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</si>
  <si>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</si>
  <si>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</si>
  <si>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</si>
  <si>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</si>
  <si>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</si>
  <si>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</si>
  <si>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</si>
  <si>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</si>
  <si>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</si>
  <si>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</si>
  <si>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</si>
  <si>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</si>
  <si>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</si>
  <si>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</si>
  <si>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</si>
  <si>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</si>
  <si>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</si>
  <si>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</si>
  <si>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</si>
  <si>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</si>
  <si>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</si>
  <si>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</si>
  <si>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</si>
  <si>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</si>
  <si>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</si>
  <si>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</si>
  <si>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</si>
  <si>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</si>
  <si>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</si>
  <si>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</si>
  <si>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</si>
  <si>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</si>
  <si>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</si>
  <si>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</si>
  <si>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</si>
  <si>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</si>
  <si>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</si>
  <si>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</si>
  <si>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</si>
  <si>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</si>
  <si>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</si>
  <si>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</si>
  <si>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</si>
  <si>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</si>
  <si>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</si>
  <si>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</si>
  <si>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</si>
  <si>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</si>
  <si>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</si>
  <si>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</si>
  <si>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</si>
  <si>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</si>
  <si>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</si>
  <si>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</si>
  <si>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</si>
  <si>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</si>
  <si>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</si>
  <si>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</si>
  <si>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</si>
  <si>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</si>
  <si>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</si>
  <si>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</si>
  <si>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</si>
  <si>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</si>
  <si>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</si>
  <si>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</si>
  <si>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</si>
  <si>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</si>
  <si>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</si>
  <si>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</si>
  <si>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</si>
  <si>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</si>
  <si>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</si>
  <si>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</si>
  <si>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</si>
  <si>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</si>
  <si>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</si>
  <si>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</si>
  <si>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</si>
  <si>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</si>
  <si>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</si>
  <si>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</si>
  <si>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</si>
  <si>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</si>
  <si>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</si>
  <si>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</si>
  <si>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</si>
  <si>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</si>
  <si>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</si>
  <si>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</si>
  <si>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</si>
  <si>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</si>
  <si>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</si>
  <si>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</si>
  <si>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</si>
  <si>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</si>
  <si>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</t>
  </si>
  <si>
    <t>Gross Profits</t>
  </si>
  <si>
    <t>Operating Expenses</t>
  </si>
  <si>
    <t>Growth Rates (%)</t>
  </si>
  <si>
    <t>Balance Sheet Main Line Items</t>
  </si>
  <si>
    <t>Other Calculations (%)</t>
  </si>
  <si>
    <t>Margins/ as a percentage of net sales (%)</t>
  </si>
  <si>
    <t>Capex</t>
  </si>
  <si>
    <t>Current Assets / Daily Operational Expenses where Daily Operational Expenses = (Annual Operating Expenses - Noncash Charges) / 365</t>
  </si>
  <si>
    <t>Net Operating Income/ (Interest + Debt repayment)</t>
  </si>
  <si>
    <t>Cash from operations + Capex + Net debt issued</t>
  </si>
  <si>
    <t>COGS / Inventory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</si>
  <si>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</si>
  <si>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</si>
  <si>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</si>
  <si>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</si>
  <si>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</si>
  <si>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Market Cap + Total Debt - (Cash + Cash Equivalents)</t>
  </si>
  <si>
    <t>Net Income / Diluted number of Shares</t>
  </si>
  <si>
    <t>Total shareholder equity / Diluted number of Shares</t>
  </si>
  <si>
    <t>Dividend Paid (can be found in cash flow)/ Diluted number of Shares</t>
  </si>
  <si>
    <t>Capital = Long term Debt + Total shareholder equity</t>
  </si>
  <si>
    <t>For debt, include only the term debt under long term capital (other items in long term liabilities are not actual debt)</t>
  </si>
  <si>
    <t>For debt, include only the term debt under long term capital (other items in long term liabilities are not actual debt). Capital = Long term Debt + Total shareholder equity</t>
  </si>
  <si>
    <t>FCFE/Diluted number of shares</t>
  </si>
  <si>
    <t>Feedback</t>
  </si>
  <si>
    <t>Daily operational expenses</t>
  </si>
  <si>
    <t>Share price</t>
  </si>
  <si>
    <t>Diluted shares</t>
  </si>
  <si>
    <t>Market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</si>
</sst>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72" formatCode="0.000"/>
    <numFmt numFmtId="173" formatCode="_-* #,##0.000_-;\-* #,##0.000_-;_-* &quot;-&quot;??_-;_-@_-"/>
    <numFmt numFmtId="177" formatCode="_(* #,##0.00000_);_(* \(#,##0.00000\);_(* &quot;-&quot;??_);_(@_)"/>
    <numFmt numFmtId="198" formatCode="_-* #,##0.000000000000000000000_-;\-* #,##0.0000000000000000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1" applyFont="1"/>
    <xf numFmtId="165" fontId="0" fillId="0" borderId="0" xfId="0" applyNumberFormat="1"/>
    <xf numFmtId="43" fontId="0" fillId="0" borderId="0" xfId="0" applyNumberFormat="1"/>
    <xf numFmtId="1" fontId="0" fillId="0" borderId="0" xfId="0" applyNumberFormat="1"/>
    <xf numFmtId="165" fontId="2" fillId="0" borderId="0" xfId="0" applyNumberFormat="1" applyFont="1"/>
    <xf numFmtId="10" fontId="0" fillId="0" borderId="0" xfId="3" applyNumberFormat="1" applyFont="1"/>
    <xf numFmtId="0" fontId="0" fillId="5" borderId="0" xfId="0" applyFill="1" applyAlignment="1">
      <alignment horizontal="left" indent="1"/>
    </xf>
    <xf numFmtId="0" fontId="0" fillId="5" borderId="0" xfId="0" applyFill="1" applyAlignment="1">
      <alignment horizontal="left" indent="2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0" xfId="1" applyFont="1" applyAlignment="1">
      <alignment horizontal="center"/>
    </xf>
    <xf numFmtId="172" fontId="0" fillId="0" borderId="0" xfId="0" applyNumberFormat="1"/>
    <xf numFmtId="173" fontId="0" fillId="0" borderId="0" xfId="0" applyNumberFormat="1"/>
    <xf numFmtId="177" fontId="0" fillId="0" borderId="0" xfId="1" applyNumberFormat="1" applyFont="1"/>
    <xf numFmtId="0" fontId="0" fillId="5" borderId="0" xfId="0" applyFill="1" applyAlignment="1">
      <alignment horizontal="left" indent="3"/>
    </xf>
    <xf numFmtId="0" fontId="0" fillId="5" borderId="0" xfId="0" applyFill="1" applyAlignment="1">
      <alignment horizontal="left" indent="4"/>
    </xf>
    <xf numFmtId="198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9"/>
  <sheetViews>
    <sheetView tabSelected="1" topLeftCell="A50" workbookViewId="0">
      <selection activeCell="I76" sqref="I7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5" width="11.109375" bestFit="1" customWidth="1"/>
    <col min="6" max="6" width="25.21875" bestFit="1" customWidth="1"/>
    <col min="7" max="7" width="18.21875" bestFit="1" customWidth="1"/>
    <col min="8" max="8" width="16.33203125" bestFit="1" customWidth="1"/>
    <col min="9" max="9" width="13.5546875" bestFit="1" customWidth="1"/>
    <col min="10" max="10" width="13.6640625" bestFit="1" customWidth="1"/>
    <col min="11" max="11" width="18.44140625" bestFit="1" customWidth="1"/>
  </cols>
  <sheetData>
    <row r="1" spans="1:12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2" x14ac:dyDescent="0.3">
      <c r="A2" s="36" t="s">
        <v>1</v>
      </c>
      <c r="B2" s="36"/>
      <c r="C2" s="36"/>
      <c r="D2" s="36"/>
    </row>
    <row r="3" spans="1:12" x14ac:dyDescent="0.3">
      <c r="B3" s="35" t="s">
        <v>23</v>
      </c>
      <c r="C3" s="35"/>
      <c r="D3" s="35"/>
    </row>
    <row r="4" spans="1:12" x14ac:dyDescent="0.3">
      <c r="B4" s="7">
        <v>2022</v>
      </c>
      <c r="C4" s="7">
        <v>2021</v>
      </c>
      <c r="D4" s="7">
        <v>2020</v>
      </c>
    </row>
    <row r="5" spans="1:12" x14ac:dyDescent="0.3">
      <c r="A5" t="s">
        <v>3</v>
      </c>
    </row>
    <row r="6" spans="1:12" x14ac:dyDescent="0.3">
      <c r="A6" s="1" t="s">
        <v>4</v>
      </c>
      <c r="B6" s="12">
        <v>316199</v>
      </c>
      <c r="C6" s="12">
        <v>297392</v>
      </c>
      <c r="D6" s="12">
        <v>220747</v>
      </c>
      <c r="G6" s="27"/>
      <c r="I6" s="27"/>
    </row>
    <row r="7" spans="1:12" x14ac:dyDescent="0.3">
      <c r="A7" s="1" t="s">
        <v>5</v>
      </c>
      <c r="B7" s="12">
        <v>78129</v>
      </c>
      <c r="C7" s="12">
        <v>68425</v>
      </c>
      <c r="D7" s="12">
        <v>53768</v>
      </c>
      <c r="F7" s="23"/>
      <c r="G7" s="23"/>
      <c r="I7" s="23"/>
    </row>
    <row r="8" spans="1:12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15">
        <v>260174</v>
      </c>
      <c r="F8" s="23"/>
      <c r="G8" s="23"/>
    </row>
    <row r="9" spans="1:12" x14ac:dyDescent="0.3">
      <c r="A9" t="s">
        <v>7</v>
      </c>
      <c r="B9" s="12"/>
      <c r="C9" s="12"/>
      <c r="D9" s="12"/>
      <c r="J9" s="27"/>
    </row>
    <row r="10" spans="1:12" x14ac:dyDescent="0.3">
      <c r="A10" s="1" t="s">
        <v>4</v>
      </c>
      <c r="B10" s="12">
        <v>201471</v>
      </c>
      <c r="C10" s="12">
        <v>192266</v>
      </c>
      <c r="D10" s="12">
        <v>151286</v>
      </c>
      <c r="J10" s="28"/>
      <c r="L10" s="28"/>
    </row>
    <row r="11" spans="1:12" x14ac:dyDescent="0.3">
      <c r="A11" s="1" t="s">
        <v>5</v>
      </c>
      <c r="B11" s="12">
        <v>22075</v>
      </c>
      <c r="C11" s="12">
        <v>20715</v>
      </c>
      <c r="D11" s="12">
        <v>18273</v>
      </c>
      <c r="J11" s="27"/>
    </row>
    <row r="12" spans="1:12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31"/>
      <c r="J12" s="28"/>
    </row>
    <row r="13" spans="1:12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J13" s="28"/>
    </row>
    <row r="14" spans="1:12" x14ac:dyDescent="0.3">
      <c r="A14" t="s">
        <v>10</v>
      </c>
      <c r="B14" s="12"/>
      <c r="C14" s="12"/>
      <c r="D14" s="12"/>
      <c r="F14" s="27"/>
    </row>
    <row r="15" spans="1:12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2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11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11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30"/>
    </row>
    <row r="19" spans="1:11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1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1" x14ac:dyDescent="0.3">
      <c r="A21" t="s">
        <v>17</v>
      </c>
      <c r="B21" s="12">
        <v>19300</v>
      </c>
      <c r="C21" s="12">
        <v>14527</v>
      </c>
      <c r="D21" s="12">
        <v>9680</v>
      </c>
      <c r="G21" s="23"/>
      <c r="H21" s="23"/>
      <c r="I21" s="23"/>
    </row>
    <row r="22" spans="1:11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11" ht="15" thickTop="1" x14ac:dyDescent="0.3">
      <c r="A23" t="s">
        <v>19</v>
      </c>
    </row>
    <row r="24" spans="1:11" x14ac:dyDescent="0.3">
      <c r="A24" s="1" t="s">
        <v>20</v>
      </c>
      <c r="B24" s="10">
        <v>6.15</v>
      </c>
      <c r="C24" s="10">
        <v>5.67</v>
      </c>
      <c r="D24" s="10">
        <v>3.31</v>
      </c>
      <c r="F24" s="28">
        <f>B22/B25</f>
        <v>16334.369885433714</v>
      </c>
      <c r="G24" s="28">
        <f t="shared" ref="G24:H24" si="8">C22/C25</f>
        <v>16877.005347593582</v>
      </c>
      <c r="H24" s="28">
        <f t="shared" si="8"/>
        <v>17503.353658536587</v>
      </c>
      <c r="I24" s="27"/>
      <c r="J24" s="27"/>
      <c r="K24" s="27"/>
    </row>
    <row r="25" spans="1:11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1" x14ac:dyDescent="0.3">
      <c r="A26" t="s">
        <v>22</v>
      </c>
      <c r="F26">
        <f>B22/F24</f>
        <v>6.11</v>
      </c>
    </row>
    <row r="27" spans="1:11" x14ac:dyDescent="0.3">
      <c r="A27" s="1" t="s">
        <v>20</v>
      </c>
      <c r="B27" s="2">
        <v>16215963</v>
      </c>
      <c r="C27" s="2">
        <v>16701272</v>
      </c>
      <c r="D27" s="2">
        <v>17352119</v>
      </c>
      <c r="F27" s="28">
        <f>B$22/B27</f>
        <v>6.1546144376377768E-3</v>
      </c>
    </row>
    <row r="28" spans="1:11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29" spans="1:11" x14ac:dyDescent="0.3">
      <c r="F29" s="43">
        <f>B$22/B27</f>
        <v>6.1546144376377768E-3</v>
      </c>
    </row>
    <row r="30" spans="1:11" x14ac:dyDescent="0.3">
      <c r="F30" s="43">
        <f>B$22/B28</f>
        <v>6.1132002014722816E-3</v>
      </c>
    </row>
    <row r="31" spans="1:11" x14ac:dyDescent="0.3">
      <c r="A31" s="36" t="s">
        <v>24</v>
      </c>
      <c r="B31" s="36"/>
      <c r="C31" s="36"/>
      <c r="D31" s="36"/>
    </row>
    <row r="32" spans="1:11" x14ac:dyDescent="0.3">
      <c r="B32" s="35" t="s">
        <v>142</v>
      </c>
      <c r="C32" s="35"/>
      <c r="D32" s="35"/>
    </row>
    <row r="33" spans="1:10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10" x14ac:dyDescent="0.3">
      <c r="A35" t="s">
        <v>25</v>
      </c>
    </row>
    <row r="36" spans="1:10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0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0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10" x14ac:dyDescent="0.3">
      <c r="A39" s="1" t="s">
        <v>29</v>
      </c>
      <c r="B39" s="12">
        <v>4946</v>
      </c>
      <c r="C39" s="12">
        <v>6580</v>
      </c>
      <c r="D39" s="12">
        <v>4061</v>
      </c>
      <c r="G39" s="1"/>
      <c r="H39" s="12"/>
      <c r="I39" s="12"/>
      <c r="J39" s="12"/>
    </row>
    <row r="40" spans="1:10" x14ac:dyDescent="0.3">
      <c r="A40" s="1" t="s">
        <v>47</v>
      </c>
      <c r="B40" s="12">
        <v>32748</v>
      </c>
      <c r="C40" s="12">
        <v>25228</v>
      </c>
      <c r="D40" s="12">
        <v>21325</v>
      </c>
      <c r="F40" s="27"/>
      <c r="G40" s="27"/>
      <c r="H40" s="27"/>
    </row>
    <row r="41" spans="1:10" x14ac:dyDescent="0.3">
      <c r="A41" s="1" t="s">
        <v>30</v>
      </c>
      <c r="B41" s="12">
        <v>21223</v>
      </c>
      <c r="C41" s="12">
        <v>14111</v>
      </c>
      <c r="D41" s="12">
        <v>11264</v>
      </c>
      <c r="F41" s="27"/>
      <c r="G41" s="27"/>
      <c r="H41" s="27"/>
      <c r="I41" s="12"/>
      <c r="J41" s="12"/>
    </row>
    <row r="42" spans="1:10" x14ac:dyDescent="0.3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J42" s="27"/>
    </row>
    <row r="43" spans="1:10" x14ac:dyDescent="0.3">
      <c r="A43" t="s">
        <v>48</v>
      </c>
      <c r="B43" s="12"/>
      <c r="C43" s="12"/>
      <c r="D43" s="12"/>
      <c r="F43" s="27"/>
      <c r="G43" s="27"/>
      <c r="H43" s="27"/>
      <c r="I43" s="27"/>
      <c r="J43" s="27"/>
    </row>
    <row r="44" spans="1:10" x14ac:dyDescent="0.3">
      <c r="A44" s="1" t="s">
        <v>27</v>
      </c>
      <c r="B44" s="12">
        <v>120805</v>
      </c>
      <c r="C44" s="12">
        <v>127877</v>
      </c>
      <c r="D44" s="12">
        <v>100887</v>
      </c>
      <c r="G44" s="12"/>
      <c r="H44" s="12"/>
      <c r="I44" s="12"/>
    </row>
    <row r="45" spans="1:10" x14ac:dyDescent="0.3">
      <c r="A45" s="1" t="s">
        <v>32</v>
      </c>
      <c r="B45" s="12">
        <v>42117</v>
      </c>
      <c r="C45" s="12">
        <v>39440</v>
      </c>
      <c r="D45" s="12">
        <v>36766</v>
      </c>
      <c r="E45" s="12">
        <v>37378</v>
      </c>
      <c r="G45" s="27"/>
      <c r="H45" s="27"/>
      <c r="I45" s="27"/>
    </row>
    <row r="46" spans="1:10" x14ac:dyDescent="0.3">
      <c r="A46" s="1" t="s">
        <v>49</v>
      </c>
      <c r="B46" s="12">
        <v>54428</v>
      </c>
      <c r="C46" s="12">
        <v>48849</v>
      </c>
      <c r="D46" s="12">
        <v>42522</v>
      </c>
      <c r="G46" s="27"/>
      <c r="H46" s="27"/>
      <c r="I46" s="27"/>
    </row>
    <row r="47" spans="1:10" x14ac:dyDescent="0.3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  <c r="F47" s="27"/>
      <c r="G47" s="27"/>
      <c r="H47" s="27"/>
      <c r="I47" s="27"/>
    </row>
    <row r="48" spans="1:10" ht="15" thickBot="1" x14ac:dyDescent="0.3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  <c r="G48" s="27"/>
    </row>
    <row r="49" spans="1:11" ht="15" thickTop="1" x14ac:dyDescent="0.3"/>
    <row r="50" spans="1:11" x14ac:dyDescent="0.3">
      <c r="A50" t="s">
        <v>34</v>
      </c>
    </row>
    <row r="51" spans="1:11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11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11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11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1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11" x14ac:dyDescent="0.3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11" x14ac:dyDescent="0.3">
      <c r="A57" t="s">
        <v>51</v>
      </c>
      <c r="B57" s="12"/>
      <c r="C57" s="12"/>
      <c r="D57" s="12"/>
    </row>
    <row r="58" spans="1:11" x14ac:dyDescent="0.3">
      <c r="A58" s="1" t="s">
        <v>37</v>
      </c>
      <c r="B58" s="12"/>
      <c r="C58" s="12"/>
      <c r="D58" s="12"/>
    </row>
    <row r="59" spans="1:11" x14ac:dyDescent="0.3">
      <c r="A59" s="1" t="s">
        <v>39</v>
      </c>
      <c r="B59" s="12">
        <v>98959</v>
      </c>
      <c r="C59" s="12">
        <v>109106</v>
      </c>
      <c r="D59" s="12">
        <v>98667</v>
      </c>
      <c r="J59" s="26"/>
    </row>
    <row r="60" spans="1:11" x14ac:dyDescent="0.3">
      <c r="A60" s="1" t="s">
        <v>52</v>
      </c>
      <c r="B60" s="12">
        <v>49142</v>
      </c>
      <c r="C60" s="12">
        <v>53325</v>
      </c>
      <c r="D60" s="12">
        <v>54490</v>
      </c>
      <c r="J60" s="26"/>
      <c r="K60" s="28"/>
    </row>
    <row r="61" spans="1:11" x14ac:dyDescent="0.3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  <c r="J61" s="26"/>
    </row>
    <row r="62" spans="1:11" x14ac:dyDescent="0.3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  <c r="J62" s="28"/>
    </row>
    <row r="63" spans="1:11" x14ac:dyDescent="0.3">
      <c r="B63" s="12"/>
      <c r="C63" s="12"/>
      <c r="D63" s="12"/>
      <c r="G63" s="27"/>
      <c r="H63" s="27"/>
      <c r="I63" s="27"/>
      <c r="J63" s="28"/>
    </row>
    <row r="64" spans="1:11" x14ac:dyDescent="0.3">
      <c r="A64" t="s">
        <v>42</v>
      </c>
      <c r="B64" s="12"/>
      <c r="C64" s="12"/>
      <c r="D64" s="12"/>
      <c r="G64" s="12"/>
      <c r="H64" s="12"/>
      <c r="I64" s="12"/>
    </row>
    <row r="65" spans="1:10" x14ac:dyDescent="0.3">
      <c r="A65" s="1" t="s">
        <v>54</v>
      </c>
      <c r="B65" s="12">
        <v>64849</v>
      </c>
      <c r="C65" s="12">
        <v>57365</v>
      </c>
      <c r="D65" s="12">
        <v>50779</v>
      </c>
      <c r="J65" s="28"/>
    </row>
    <row r="66" spans="1:10" x14ac:dyDescent="0.3">
      <c r="A66" s="1" t="s">
        <v>43</v>
      </c>
      <c r="B66" s="12">
        <v>-3068</v>
      </c>
      <c r="C66" s="12">
        <v>5562</v>
      </c>
      <c r="D66" s="12">
        <v>14966</v>
      </c>
      <c r="G66" s="40"/>
      <c r="H66" s="40"/>
      <c r="I66" s="40"/>
    </row>
    <row r="67" spans="1:10" x14ac:dyDescent="0.3">
      <c r="A67" s="1" t="s">
        <v>44</v>
      </c>
      <c r="B67" s="12">
        <v>-11109</v>
      </c>
      <c r="C67" s="12">
        <v>163</v>
      </c>
      <c r="D67" s="12">
        <v>-406</v>
      </c>
      <c r="G67" s="12"/>
    </row>
    <row r="68" spans="1:10" x14ac:dyDescent="0.3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  <c r="G68" s="12"/>
    </row>
    <row r="69" spans="1:10" ht="15" thickBot="1" x14ac:dyDescent="0.3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  <c r="G69" s="12"/>
    </row>
    <row r="70" spans="1:10" ht="15" thickTop="1" x14ac:dyDescent="0.3">
      <c r="G70" s="27"/>
    </row>
    <row r="71" spans="1:10" x14ac:dyDescent="0.3">
      <c r="A71" s="36" t="s">
        <v>55</v>
      </c>
      <c r="B71" s="36"/>
      <c r="C71" s="36"/>
      <c r="D71" s="36"/>
    </row>
    <row r="72" spans="1:10" x14ac:dyDescent="0.3">
      <c r="B72" s="35" t="s">
        <v>23</v>
      </c>
      <c r="C72" s="35"/>
      <c r="D72" s="35"/>
    </row>
    <row r="73" spans="1:10" x14ac:dyDescent="0.3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10" x14ac:dyDescent="0.3">
      <c r="A75" s="7" t="s">
        <v>56</v>
      </c>
      <c r="B75" s="15"/>
      <c r="C75" s="15"/>
      <c r="D75" s="15"/>
    </row>
    <row r="76" spans="1:10" x14ac:dyDescent="0.3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10" x14ac:dyDescent="0.3">
      <c r="A77" s="11" t="s">
        <v>18</v>
      </c>
      <c r="B77" s="15"/>
      <c r="C77" s="15"/>
      <c r="D77" s="15"/>
    </row>
    <row r="78" spans="1:10" x14ac:dyDescent="0.3">
      <c r="A78" s="1" t="s">
        <v>58</v>
      </c>
      <c r="B78" s="12"/>
      <c r="C78" s="12"/>
      <c r="D78" s="12"/>
    </row>
    <row r="79" spans="1:10" x14ac:dyDescent="0.3">
      <c r="A79" s="3" t="s">
        <v>59</v>
      </c>
      <c r="B79" s="12">
        <v>11104</v>
      </c>
      <c r="C79" s="12">
        <v>11284</v>
      </c>
      <c r="D79" s="12">
        <v>11056</v>
      </c>
      <c r="E79" s="12">
        <v>12547</v>
      </c>
    </row>
    <row r="80" spans="1:10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8" x14ac:dyDescent="0.3">
      <c r="A97" s="1" t="s">
        <v>69</v>
      </c>
      <c r="B97" s="12">
        <v>-306</v>
      </c>
      <c r="C97" s="12">
        <v>-33</v>
      </c>
      <c r="D97" s="12">
        <v>-1524</v>
      </c>
      <c r="H97" s="27"/>
    </row>
    <row r="98" spans="1:8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8" x14ac:dyDescent="0.3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8" x14ac:dyDescent="0.3">
      <c r="A100" s="7" t="s">
        <v>71</v>
      </c>
      <c r="B100" s="12"/>
      <c r="C100" s="12"/>
      <c r="D100" s="12"/>
    </row>
    <row r="101" spans="1:8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8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8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8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8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8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8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8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8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8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8" ht="15" thickTop="1" x14ac:dyDescent="0.3">
      <c r="B111" s="12"/>
      <c r="C111" s="12"/>
      <c r="D111" s="12"/>
    </row>
    <row r="112" spans="1:8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9" spans="1:4" x14ac:dyDescent="0.3">
      <c r="B119" s="27"/>
      <c r="C119" s="27"/>
      <c r="D119" s="27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topLeftCell="A46" workbookViewId="0">
      <selection activeCell="E57" sqref="E57"/>
    </sheetView>
  </sheetViews>
  <sheetFormatPr defaultRowHeight="14.4" x14ac:dyDescent="0.3"/>
  <cols>
    <col min="1" max="1" width="4.6640625" customWidth="1"/>
    <col min="2" max="2" width="44.88671875" customWidth="1"/>
    <col min="3" max="5" width="12.77734375" bestFit="1" customWidth="1"/>
    <col min="6" max="6" width="32.6640625" customWidth="1"/>
    <col min="7" max="9" width="11.109375" bestFit="1" customWidth="1"/>
    <col min="10" max="10" width="11" bestFit="1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34" t="s">
        <v>175</v>
      </c>
      <c r="G1" s="19"/>
      <c r="H1" s="19"/>
      <c r="I1" s="19"/>
      <c r="J1" s="19"/>
    </row>
    <row r="2" spans="1:11" x14ac:dyDescent="0.3">
      <c r="C2" s="35" t="s">
        <v>23</v>
      </c>
      <c r="D2" s="35"/>
      <c r="E2" s="35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1" x14ac:dyDescent="0.3">
      <c r="A6" s="18">
        <f t="shared" ref="A6:A14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1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1" x14ac:dyDescent="0.3">
      <c r="A8" s="18">
        <f t="shared" si="0"/>
        <v>1.4000000000000004</v>
      </c>
      <c r="B8" s="1" t="s">
        <v>103</v>
      </c>
      <c r="C8" s="29">
        <f>('Financial Statements'!B42)/(('Financial Statements'!B17-'Financial Statements'!B79)/365)</f>
        <v>1228.1708953554833</v>
      </c>
      <c r="D8" s="29">
        <f>('Financial Statements'!C42)/(('Financial Statements'!C17-'Financial Statements'!C79)/365)</f>
        <v>1509.5279575499187</v>
      </c>
      <c r="E8" s="29">
        <f>('Financial Statements'!D42)/(('Financial Statements'!D17-'Financial Statements'!D79)/365)</f>
        <v>1899.7263870780819</v>
      </c>
      <c r="F8" t="s">
        <v>158</v>
      </c>
    </row>
    <row r="9" spans="1:11" x14ac:dyDescent="0.3">
      <c r="A9" s="18"/>
      <c r="B9" s="1" t="s">
        <v>176</v>
      </c>
      <c r="C9" s="29">
        <f>('Financial Statements'!B17-'Financial Statements'!B79)/365</f>
        <v>110.24931506849315</v>
      </c>
      <c r="D9" s="29">
        <f>('Financial Statements'!C17-'Financial Statements'!C79)/365</f>
        <v>89.323287671232876</v>
      </c>
      <c r="E9" s="29">
        <f>('Financial Statements'!D17-'Financial Statements'!D79)/365</f>
        <v>75.649315068493152</v>
      </c>
    </row>
    <row r="10" spans="1:11" x14ac:dyDescent="0.3">
      <c r="A10" s="18">
        <f>+A8+0.1</f>
        <v>1.5000000000000004</v>
      </c>
      <c r="B10" s="1" t="s">
        <v>104</v>
      </c>
      <c r="C10" s="29">
        <f>('Financial Statements'!B39/'Financial Statements'!B12)*365</f>
        <v>8.0756980666171607</v>
      </c>
      <c r="D10" s="29">
        <f>('Financial Statements'!C39/'Financial Statements'!C12)*365</f>
        <v>11.27659274770989</v>
      </c>
      <c r="E10" s="29">
        <f>('Financial Statements'!D39/'Financial Statements'!D12)*365</f>
        <v>8.7418833562358831</v>
      </c>
      <c r="G10" s="12"/>
      <c r="H10" s="12"/>
      <c r="I10" s="12"/>
    </row>
    <row r="11" spans="1:11" x14ac:dyDescent="0.3">
      <c r="A11" s="18">
        <f t="shared" si="0"/>
        <v>1.6000000000000005</v>
      </c>
      <c r="B11" s="1" t="s">
        <v>105</v>
      </c>
      <c r="C11" s="29">
        <f>'Financial Statements'!B51/('Financial Statements'!B12/365)</f>
        <v>104.68527730310541</v>
      </c>
      <c r="D11" s="29">
        <f>'Financial Statements'!C51/('Financial Statements'!C12/365)</f>
        <v>93.85107122231561</v>
      </c>
      <c r="E11" s="29">
        <f>'Financial Statements'!D51/('Financial Statements'!D12/365)</f>
        <v>91.048189715674184</v>
      </c>
      <c r="G11" s="12"/>
      <c r="H11" s="12"/>
      <c r="I11" s="12"/>
    </row>
    <row r="12" spans="1:11" x14ac:dyDescent="0.3">
      <c r="A12" s="18">
        <f t="shared" si="0"/>
        <v>1.7000000000000006</v>
      </c>
      <c r="B12" s="1" t="s">
        <v>106</v>
      </c>
      <c r="C12" s="29">
        <f>('Financial Statements'!B38/'Financial Statements'!B12)*365</f>
        <v>46.018090236461397</v>
      </c>
      <c r="D12" s="29">
        <f>('Financial Statements'!C38/'Financial Statements'!C12)*365</f>
        <v>45.034392739258436</v>
      </c>
      <c r="E12" s="29">
        <f>('Financial Statements'!D38/'Financial Statements'!D12)*365</f>
        <v>34.700605688875257</v>
      </c>
      <c r="G12" s="12"/>
      <c r="H12" s="12"/>
      <c r="I12" s="12"/>
      <c r="K12" s="24"/>
    </row>
    <row r="13" spans="1:11" x14ac:dyDescent="0.3">
      <c r="A13" s="18">
        <f t="shared" si="0"/>
        <v>1.8000000000000007</v>
      </c>
      <c r="B13" s="1" t="s">
        <v>107</v>
      </c>
      <c r="C13" s="12">
        <f>C12+C10-C11</f>
        <v>-50.591489000026854</v>
      </c>
      <c r="D13" s="12">
        <f t="shared" ref="D13:E13" si="1">D12+D10-D11</f>
        <v>-37.540085735347283</v>
      </c>
      <c r="E13" s="12">
        <f t="shared" si="1"/>
        <v>-47.605700670563046</v>
      </c>
      <c r="G13" s="27"/>
      <c r="H13" s="27"/>
      <c r="I13" s="27"/>
    </row>
    <row r="14" spans="1:11" x14ac:dyDescent="0.3">
      <c r="A14" s="18">
        <f t="shared" si="0"/>
        <v>1.9000000000000008</v>
      </c>
      <c r="B14" s="1" t="s">
        <v>108</v>
      </c>
      <c r="C14" s="26">
        <f>'List of Ratios'!C15/'Financial Statements'!B8</f>
        <v>-4.711052727678481E-2</v>
      </c>
      <c r="D14" s="26">
        <f>'List of Ratios'!D15/'Financial Statements'!C8</f>
        <v>2.557289573748623E-2</v>
      </c>
      <c r="E14" s="26">
        <f>'List of Ratios'!E15/'Financial Statements'!D8</f>
        <v>0.13959528623208203</v>
      </c>
      <c r="G14" s="28"/>
      <c r="H14" s="28"/>
      <c r="I14" s="28"/>
    </row>
    <row r="15" spans="1:11" x14ac:dyDescent="0.3">
      <c r="A15" s="18"/>
      <c r="B15" s="3" t="s">
        <v>109</v>
      </c>
      <c r="C15" s="12">
        <f>'Financial Statements'!B42-'Financial Statements'!B56</f>
        <v>-18577</v>
      </c>
      <c r="D15" s="12">
        <f>'Financial Statements'!C42-'Financial Statements'!C56</f>
        <v>9355</v>
      </c>
      <c r="E15" s="12">
        <f>'Financial Statements'!D42-'Financial Statements'!D56</f>
        <v>38321</v>
      </c>
    </row>
    <row r="16" spans="1:11" x14ac:dyDescent="0.3">
      <c r="A16" s="18"/>
    </row>
    <row r="17" spans="1:6" x14ac:dyDescent="0.3">
      <c r="A17" s="18">
        <f>+A4+1</f>
        <v>2</v>
      </c>
      <c r="B17" s="17" t="s">
        <v>110</v>
      </c>
    </row>
    <row r="18" spans="1:6" x14ac:dyDescent="0.3">
      <c r="A18" s="18">
        <f>+A17+0.1</f>
        <v>2.1</v>
      </c>
      <c r="B18" s="1" t="s">
        <v>9</v>
      </c>
      <c r="C18" s="24">
        <f>'Financial Statements'!B13/'Financial Statements'!B8</f>
        <v>0.43309630561360085</v>
      </c>
      <c r="D18" s="24">
        <f>'Financial Statements'!C13/'Financial Statements'!C8</f>
        <v>0.41779359625167778</v>
      </c>
      <c r="E18" s="24">
        <f>'Financial Statements'!D13/'Financial Statements'!D8</f>
        <v>0.38233247727810865</v>
      </c>
    </row>
    <row r="19" spans="1:6" x14ac:dyDescent="0.3">
      <c r="A19" s="18">
        <f>+A18+0.1</f>
        <v>2.2000000000000002</v>
      </c>
      <c r="B19" s="1" t="s">
        <v>111</v>
      </c>
      <c r="C19" s="28">
        <f>C20/'Financial Statements'!B8</f>
        <v>0.33019973220263332</v>
      </c>
      <c r="D19" s="28">
        <f>D20/'Financial Statements'!C8</f>
        <v>0.32937507004868555</v>
      </c>
      <c r="E19" s="28">
        <f>E20/'Financial Statements'!D8</f>
        <v>0.28467296869023551</v>
      </c>
    </row>
    <row r="20" spans="1:6" x14ac:dyDescent="0.3">
      <c r="A20" s="18"/>
      <c r="B20" s="3" t="s">
        <v>112</v>
      </c>
      <c r="C20" s="12">
        <f>'Financial Statements'!B20+'Financial Statements'!B79</f>
        <v>130207</v>
      </c>
      <c r="D20" s="12">
        <f>'Financial Statements'!C20+'Financial Statements'!C79</f>
        <v>120491</v>
      </c>
      <c r="E20" s="12">
        <f>'Financial Statements'!D20+'Financial Statements'!D79</f>
        <v>78147</v>
      </c>
    </row>
    <row r="21" spans="1:6" x14ac:dyDescent="0.3">
      <c r="A21" s="18">
        <f>+A19+0.1</f>
        <v>2.3000000000000003</v>
      </c>
      <c r="B21" s="1" t="s">
        <v>113</v>
      </c>
      <c r="C21" s="28">
        <f>C22/'Financial Statements'!B8</f>
        <v>0.30204043334482966</v>
      </c>
      <c r="D21" s="28">
        <f>D22/'Financial Statements'!C8</f>
        <v>0.29852904594373691</v>
      </c>
      <c r="E21" s="28">
        <f>E22/'Financial Statements'!D8</f>
        <v>0.24439830246070343</v>
      </c>
    </row>
    <row r="22" spans="1:6" x14ac:dyDescent="0.3">
      <c r="A22" s="18"/>
      <c r="B22" s="3" t="s">
        <v>114</v>
      </c>
      <c r="C22" s="12">
        <f>'Financial Statements'!B20</f>
        <v>119103</v>
      </c>
      <c r="D22" s="12">
        <f>'Financial Statements'!C20</f>
        <v>109207</v>
      </c>
      <c r="E22" s="12">
        <f>'Financial Statements'!D20</f>
        <v>67091</v>
      </c>
    </row>
    <row r="23" spans="1:6" x14ac:dyDescent="0.3">
      <c r="A23" s="18">
        <f>+A21+0.1</f>
        <v>2.4000000000000004</v>
      </c>
      <c r="B23" s="1" t="s">
        <v>115</v>
      </c>
      <c r="C23" s="24">
        <f>'Financial Statements'!B22/'Financial Statements'!B8</f>
        <v>0.25309640705199732</v>
      </c>
      <c r="D23" s="24">
        <f>'Financial Statements'!C22/'Financial Statements'!C8</f>
        <v>0.25881793355694238</v>
      </c>
      <c r="E23" s="24">
        <f>'Financial Statements'!D22/'Financial Statements'!D8</f>
        <v>0.20913611278072236</v>
      </c>
    </row>
    <row r="24" spans="1:6" x14ac:dyDescent="0.3">
      <c r="A24" s="18"/>
    </row>
    <row r="25" spans="1:6" x14ac:dyDescent="0.3">
      <c r="A25" s="18">
        <f>+A17+1</f>
        <v>3</v>
      </c>
      <c r="B25" s="7" t="s">
        <v>116</v>
      </c>
    </row>
    <row r="26" spans="1:6" x14ac:dyDescent="0.3">
      <c r="A26" s="18">
        <f>+A25+0.1</f>
        <v>3.1</v>
      </c>
      <c r="B26" s="1" t="s">
        <v>117</v>
      </c>
      <c r="C26" s="24">
        <f>'Financial Statements'!B59/'Financial Statements'!B68</f>
        <v>1.9529325860435744</v>
      </c>
      <c r="D26" s="24">
        <f>'Financial Statements'!C59/'Financial Statements'!C68</f>
        <v>1.729370740212395</v>
      </c>
      <c r="E26" s="24">
        <f>'Financial Statements'!D59/'Financial Statements'!D68</f>
        <v>1.5100782075024104</v>
      </c>
      <c r="F26" t="s">
        <v>172</v>
      </c>
    </row>
    <row r="27" spans="1:6" x14ac:dyDescent="0.3">
      <c r="A27" s="18">
        <f t="shared" ref="A27:A31" si="2">+A26+0.1</f>
        <v>3.2</v>
      </c>
      <c r="B27" s="1" t="s">
        <v>118</v>
      </c>
      <c r="C27" s="24">
        <f>'Financial Statements'!B59/'Financial Statements'!B48</f>
        <v>0.28053181386514719</v>
      </c>
      <c r="D27" s="24">
        <f>'Financial Statements'!C59/'Financial Statements'!C48</f>
        <v>0.31084153366647482</v>
      </c>
      <c r="E27" s="24">
        <f>'Financial Statements'!D59/'Financial Statements'!D48</f>
        <v>0.30463308304105124</v>
      </c>
      <c r="F27" t="s">
        <v>172</v>
      </c>
    </row>
    <row r="28" spans="1:6" x14ac:dyDescent="0.3">
      <c r="A28" s="18">
        <f t="shared" si="2"/>
        <v>3.3000000000000003</v>
      </c>
      <c r="B28" s="1" t="s">
        <v>119</v>
      </c>
      <c r="C28" s="24">
        <f>'Financial Statements'!B59/('Financial Statements'!B59+'Financial Statements'!B68)</f>
        <v>0.66135359651409131</v>
      </c>
      <c r="D28" s="24">
        <f>'Financial Statements'!C59/('Financial Statements'!C59+'Financial Statements'!C68)</f>
        <v>0.63361518269878514</v>
      </c>
      <c r="E28" s="24">
        <f>'Financial Statements'!D59/('Financial Statements'!D59+'Financial Statements'!D68)</f>
        <v>0.60160603880345842</v>
      </c>
      <c r="F28" t="s">
        <v>173</v>
      </c>
    </row>
    <row r="29" spans="1:6" x14ac:dyDescent="0.3">
      <c r="A29" s="18">
        <f t="shared" si="2"/>
        <v>3.4000000000000004</v>
      </c>
      <c r="B29" s="1" t="s">
        <v>120</v>
      </c>
      <c r="C29" s="28">
        <f>C22/'Financial Statements'!B114</f>
        <v>41.571727748691103</v>
      </c>
      <c r="D29" s="28">
        <f>D22/'Financial Statements'!C114</f>
        <v>40.642724227763303</v>
      </c>
      <c r="E29" s="28">
        <f>E22/'Financial Statements'!D114</f>
        <v>22.348767488341107</v>
      </c>
    </row>
    <row r="30" spans="1:6" x14ac:dyDescent="0.3">
      <c r="A30" s="18">
        <f t="shared" si="2"/>
        <v>3.5000000000000004</v>
      </c>
      <c r="B30" s="1" t="s">
        <v>121</v>
      </c>
      <c r="C30" s="24">
        <f>'Financial Statements'!B22/('Financial Statements'!B114+ABS('Financial Statements'!B105))</f>
        <v>8.0434397163120561</v>
      </c>
      <c r="D30" s="24">
        <f>'Financial Statements'!C22/('Financial Statements'!C114+ABS('Financial Statements'!C105))</f>
        <v>8.2783946839206077</v>
      </c>
      <c r="E30" s="24">
        <f>'Financial Statements'!D22/('Financial Statements'!D114+ABS('Financial Statements'!D105))</f>
        <v>3.6728936088542001</v>
      </c>
      <c r="F30" t="s">
        <v>159</v>
      </c>
    </row>
    <row r="31" spans="1:6" x14ac:dyDescent="0.3">
      <c r="A31" s="18">
        <f t="shared" si="2"/>
        <v>3.6000000000000005</v>
      </c>
      <c r="B31" s="32" t="s">
        <v>122</v>
      </c>
      <c r="C31" s="39">
        <f>C32/'Financial Statements'!B28</f>
        <v>5.8886479140801452E-3</v>
      </c>
      <c r="D31" s="39">
        <f>D32/'Financial Statements'!C28</f>
        <v>6.0542834507536026E-3</v>
      </c>
      <c r="E31" s="39">
        <f>E32/'Financial Statements'!D28</f>
        <v>3.526999385105636E-3</v>
      </c>
      <c r="F31" t="s">
        <v>174</v>
      </c>
    </row>
    <row r="32" spans="1:6" x14ac:dyDescent="0.3">
      <c r="A32" s="18"/>
      <c r="B32" s="3" t="s">
        <v>123</v>
      </c>
      <c r="C32" s="12">
        <f>'Financial Statements'!B36+ABS('Financial Statements'!B96)+('Financial Statements'!B55+'Financial Statements'!B59-'Financial Statements'!B36-'Financial Statements'!B37)</f>
        <v>96137</v>
      </c>
      <c r="D32" s="12">
        <f>'Financial Statements'!C36+ABS('Financial Statements'!C96)+('Financial Statements'!C55+'Financial Statements'!C59-'Financial Statements'!C36-'Financial Statements'!C37)</f>
        <v>102105</v>
      </c>
      <c r="E32" s="12">
        <f>'Financial Statements'!D36+ABS('Financial Statements'!D96)+('Financial Statements'!D55+'Financial Statements'!D59-'Financial Statements'!D36-'Financial Statements'!D37)</f>
        <v>61822</v>
      </c>
      <c r="F32" t="s">
        <v>160</v>
      </c>
    </row>
    <row r="33" spans="1:12" x14ac:dyDescent="0.3">
      <c r="A33" s="18"/>
      <c r="H33" s="27"/>
    </row>
    <row r="34" spans="1:12" x14ac:dyDescent="0.3">
      <c r="A34" s="18">
        <f>+A25+1</f>
        <v>4</v>
      </c>
      <c r="B34" s="17" t="s">
        <v>124</v>
      </c>
    </row>
    <row r="35" spans="1:12" x14ac:dyDescent="0.3">
      <c r="A35" s="18">
        <f>+A34+0.1</f>
        <v>4.0999999999999996</v>
      </c>
      <c r="B35" s="1" t="s">
        <v>125</v>
      </c>
      <c r="C35" s="24">
        <f>'Financial Statements'!B8/'Financial Statements'!B48</f>
        <v>1.1178523337727317</v>
      </c>
      <c r="D35" s="24">
        <f>'Financial Statements'!C8/'Financial Statements'!C48</f>
        <v>1.0422077367080529</v>
      </c>
      <c r="E35" s="24">
        <f>'Financial Statements'!D8/'Financial Statements'!D48</f>
        <v>0.84756150274168851</v>
      </c>
    </row>
    <row r="36" spans="1:12" x14ac:dyDescent="0.3">
      <c r="A36" s="18">
        <f t="shared" ref="A36:A38" si="3">+A35+0.1</f>
        <v>4.1999999999999993</v>
      </c>
      <c r="B36" s="1" t="s">
        <v>126</v>
      </c>
      <c r="C36" s="24">
        <f>'Financial Statements'!B8/'Financial Statements'!B47</f>
        <v>1.8142535081665516</v>
      </c>
      <c r="D36" s="24">
        <f>'Financial Statements'!C8/'Financial Statements'!C47</f>
        <v>1.6922966608994938</v>
      </c>
      <c r="E36" s="24">
        <f>'Financial Statements'!D8/'Financial Statements'!D47</f>
        <v>1.5236020535590398</v>
      </c>
    </row>
    <row r="37" spans="1:12" x14ac:dyDescent="0.3">
      <c r="A37" s="18">
        <f t="shared" si="3"/>
        <v>4.2999999999999989</v>
      </c>
      <c r="B37" s="32" t="s">
        <v>127</v>
      </c>
      <c r="C37" s="24">
        <f>'Financial Statements'!B12/'Financial Statements'!B39</f>
        <v>45.197331176708452</v>
      </c>
      <c r="D37" s="24">
        <f>'Financial Statements'!C12/'Financial Statements'!C39</f>
        <v>32.367933130699086</v>
      </c>
      <c r="E37" s="24">
        <f>'Financial Statements'!D12/'Financial Statements'!D39</f>
        <v>41.753016498399411</v>
      </c>
      <c r="F37" t="s">
        <v>161</v>
      </c>
    </row>
    <row r="38" spans="1:12" x14ac:dyDescent="0.3">
      <c r="A38" s="18">
        <f t="shared" si="3"/>
        <v>4.3999999999999986</v>
      </c>
      <c r="B38" s="1" t="s">
        <v>128</v>
      </c>
      <c r="C38" s="24">
        <f>'Financial Statements'!B22/'Financial Statements'!B48</f>
        <v>0.28292440929256851</v>
      </c>
      <c r="D38" s="24">
        <f>'Financial Statements'!C22/'Financial Statements'!C48</f>
        <v>0.26974205275183616</v>
      </c>
      <c r="E38" s="24">
        <f>'Financial Statements'!D22/'Financial Statements'!D48</f>
        <v>0.1772557180259843</v>
      </c>
    </row>
    <row r="39" spans="1:12" x14ac:dyDescent="0.3">
      <c r="A39" s="18"/>
    </row>
    <row r="40" spans="1:12" x14ac:dyDescent="0.3">
      <c r="A40" s="18">
        <f>+A34+1</f>
        <v>5</v>
      </c>
      <c r="B40" s="17" t="s">
        <v>129</v>
      </c>
      <c r="H40" s="27"/>
      <c r="L40" s="27"/>
    </row>
    <row r="41" spans="1:12" x14ac:dyDescent="0.3">
      <c r="A41" s="18">
        <f>+A40+0.1</f>
        <v>5.0999999999999996</v>
      </c>
      <c r="B41" s="32" t="s">
        <v>130</v>
      </c>
      <c r="C41" s="24">
        <f>C42/C43</f>
        <v>22.618657937806869</v>
      </c>
      <c r="D41" s="24">
        <f t="shared" ref="D41:E41" si="4">D42/D43</f>
        <v>24.934046345811048</v>
      </c>
      <c r="E41" s="24">
        <f t="shared" si="4"/>
        <v>34.679878048780488</v>
      </c>
      <c r="F41" t="s">
        <v>162</v>
      </c>
    </row>
    <row r="42" spans="1:12" x14ac:dyDescent="0.3">
      <c r="A42" s="18"/>
      <c r="B42" s="41" t="s">
        <v>177</v>
      </c>
      <c r="C42" s="24">
        <v>138.19999999999999</v>
      </c>
      <c r="D42">
        <v>139.88</v>
      </c>
      <c r="E42">
        <v>113.75</v>
      </c>
    </row>
    <row r="43" spans="1:12" x14ac:dyDescent="0.3">
      <c r="A43" s="18">
        <f>+A41+0.1</f>
        <v>5.1999999999999993</v>
      </c>
      <c r="B43" s="33" t="s">
        <v>131</v>
      </c>
      <c r="C43" s="24">
        <f>'Financial Statements'!B22/'List of Ratios'!C44</f>
        <v>6.11</v>
      </c>
      <c r="D43" s="24">
        <f>'Financial Statements'!C22/'List of Ratios'!D44</f>
        <v>5.61</v>
      </c>
      <c r="E43" s="24">
        <f>'Financial Statements'!D22/'List of Ratios'!E44</f>
        <v>3.28</v>
      </c>
      <c r="F43" t="s">
        <v>168</v>
      </c>
    </row>
    <row r="44" spans="1:12" x14ac:dyDescent="0.3">
      <c r="A44" s="18"/>
      <c r="B44" s="42" t="s">
        <v>178</v>
      </c>
      <c r="C44" s="12">
        <f>'Financial Statements'!B22/'Financial Statements'!B25</f>
        <v>16334.369885433714</v>
      </c>
      <c r="D44" s="12">
        <f>'Financial Statements'!C22/'Financial Statements'!C25</f>
        <v>16877.005347593582</v>
      </c>
      <c r="E44" s="12">
        <f>'Financial Statements'!D22/'Financial Statements'!D25</f>
        <v>17503.353658536587</v>
      </c>
    </row>
    <row r="45" spans="1:12" x14ac:dyDescent="0.3">
      <c r="A45" s="18">
        <f>+A43+0.1</f>
        <v>5.2999999999999989</v>
      </c>
      <c r="B45" s="32" t="s">
        <v>132</v>
      </c>
      <c r="C45" s="28">
        <f>C42/C46</f>
        <v>44.549453705536372</v>
      </c>
      <c r="D45" s="28">
        <f t="shared" ref="D45:E45" si="5">D42/D46</f>
        <v>37.418854145211448</v>
      </c>
      <c r="E45" s="28">
        <f t="shared" si="5"/>
        <v>30.471945984152448</v>
      </c>
      <c r="F45" t="s">
        <v>163</v>
      </c>
    </row>
    <row r="46" spans="1:12" x14ac:dyDescent="0.3">
      <c r="A46" s="18">
        <f t="shared" ref="A46:A47" si="6">+A45+0.1</f>
        <v>5.3999999999999986</v>
      </c>
      <c r="B46" s="33" t="s">
        <v>133</v>
      </c>
      <c r="C46" s="26">
        <f>'Financial Statements'!B68/C44</f>
        <v>3.1021704758373998</v>
      </c>
      <c r="D46" s="26">
        <f>'Financial Statements'!C68/D44</f>
        <v>3.7382224334600762</v>
      </c>
      <c r="E46" s="26">
        <f>'Financial Statements'!D68/E44</f>
        <v>3.7329417707407986</v>
      </c>
      <c r="F46" t="s">
        <v>169</v>
      </c>
    </row>
    <row r="47" spans="1:12" x14ac:dyDescent="0.3">
      <c r="A47" s="18">
        <f t="shared" si="6"/>
        <v>5.4999999999999982</v>
      </c>
      <c r="B47" s="32" t="s">
        <v>134</v>
      </c>
      <c r="C47" s="38">
        <f>ABS('Financial Statements'!B102)/'Financial Statements'!B22</f>
        <v>0.14870294480125848</v>
      </c>
      <c r="D47" s="38">
        <f>ABS('Financial Statements'!C102)/'Financial Statements'!C22</f>
        <v>0.15279890156316012</v>
      </c>
      <c r="E47" s="38">
        <f>ABS('Financial Statements'!D102)/'Financial Statements'!D22</f>
        <v>0.24526658654264863</v>
      </c>
      <c r="F47" t="s">
        <v>164</v>
      </c>
    </row>
    <row r="48" spans="1:12" x14ac:dyDescent="0.3">
      <c r="A48" s="18"/>
      <c r="B48" s="33" t="s">
        <v>135</v>
      </c>
      <c r="C48" s="24">
        <f>ABS('Financial Statements'!B102)/C44</f>
        <v>0.90857499273568931</v>
      </c>
      <c r="D48" s="24">
        <f>ABS('Financial Statements'!C102)/D44</f>
        <v>0.85720183776932835</v>
      </c>
      <c r="E48" s="24">
        <f>ABS('Financial Statements'!D102)/E44</f>
        <v>0.80447440385988744</v>
      </c>
      <c r="F48" t="s">
        <v>170</v>
      </c>
    </row>
    <row r="49" spans="1:6" x14ac:dyDescent="0.3">
      <c r="A49" s="18">
        <f>+A47+0.1</f>
        <v>5.5999999999999979</v>
      </c>
      <c r="B49" s="32" t="s">
        <v>136</v>
      </c>
      <c r="C49" s="38">
        <f>C48/138.2</f>
        <v>6.5743487173349447E-3</v>
      </c>
      <c r="F49" t="s">
        <v>165</v>
      </c>
    </row>
    <row r="50" spans="1:6" x14ac:dyDescent="0.3">
      <c r="A50" s="18">
        <f t="shared" ref="A50:A53" si="7">+A48+0.1</f>
        <v>0.1</v>
      </c>
      <c r="B50" s="1" t="s">
        <v>137</v>
      </c>
      <c r="C50" s="24">
        <f>'Financial Statements'!B22/'Financial Statements'!B68</f>
        <v>1.9695887275023682</v>
      </c>
      <c r="D50" s="24">
        <f>'Financial Statements'!C22/'Financial Statements'!C68</f>
        <v>1.5007132667617689</v>
      </c>
      <c r="E50" s="24">
        <f>'Financial Statements'!D22/'Financial Statements'!D68</f>
        <v>0.87866358530127486</v>
      </c>
    </row>
    <row r="51" spans="1:6" x14ac:dyDescent="0.3">
      <c r="A51" s="18">
        <f t="shared" si="7"/>
        <v>5.6999999999999975</v>
      </c>
      <c r="B51" s="1" t="s">
        <v>138</v>
      </c>
      <c r="C51" s="28">
        <f>('Financial Statements'!B59+'Financial Statements'!B68)/('Financial Statements'!B48-'Financial Statements'!B62)</f>
        <v>2.9529325860435742</v>
      </c>
      <c r="D51" s="28">
        <f>('Financial Statements'!C59+'Financial Statements'!C68)/('Financial Statements'!C48-'Financial Statements'!C62)</f>
        <v>2.7293707402123948</v>
      </c>
      <c r="E51" s="28">
        <f>('Financial Statements'!D59+'Financial Statements'!D68)/('Financial Statements'!D48-'Financial Statements'!D62)</f>
        <v>2.5100782075024104</v>
      </c>
      <c r="F51" t="s">
        <v>171</v>
      </c>
    </row>
    <row r="52" spans="1:6" x14ac:dyDescent="0.3">
      <c r="A52" s="18">
        <f t="shared" si="7"/>
        <v>0.2</v>
      </c>
      <c r="B52" s="1" t="s">
        <v>128</v>
      </c>
      <c r="C52" s="28">
        <f>C22/'Financial Statements'!B48</f>
        <v>0.33763660330824508</v>
      </c>
      <c r="D52" s="28">
        <f>D22/'Financial Statements'!C48</f>
        <v>0.31112928131463641</v>
      </c>
      <c r="E52" s="28">
        <f>E22/'Financial Statements'!D48</f>
        <v>0.2071425925011115</v>
      </c>
    </row>
    <row r="53" spans="1:6" x14ac:dyDescent="0.3">
      <c r="A53" s="18">
        <f t="shared" si="7"/>
        <v>5.7999999999999972</v>
      </c>
      <c r="B53" s="32" t="s">
        <v>139</v>
      </c>
      <c r="C53" s="28">
        <f>C54/C20</f>
        <v>18.000959381346156</v>
      </c>
      <c r="D53" s="28">
        <f t="shared" ref="D53:E53" si="8">D54/D20</f>
        <v>20.288108721990771</v>
      </c>
      <c r="E53" s="28">
        <f t="shared" si="8"/>
        <v>26.366085437170167</v>
      </c>
      <c r="F53" t="s">
        <v>166</v>
      </c>
    </row>
    <row r="54" spans="1:6" x14ac:dyDescent="0.3">
      <c r="A54" s="18"/>
      <c r="B54" s="33" t="s">
        <v>140</v>
      </c>
      <c r="C54" s="28">
        <f>C55+'Financial Statements'!B59+'Financial Statements'!B55-'Financial Statements'!B36</f>
        <v>2343850.9181669392</v>
      </c>
      <c r="D54" s="28">
        <f>D55+'Financial Statements'!C59+'Financial Statements'!C55-'Financial Statements'!C36</f>
        <v>2444534.5080213901</v>
      </c>
      <c r="E54" s="28">
        <f>E55+'Financial Statements'!D59+'Financial Statements'!D55-'Financial Statements'!D36</f>
        <v>2060430.4786585369</v>
      </c>
      <c r="F54" t="s">
        <v>167</v>
      </c>
    </row>
    <row r="55" spans="1:6" x14ac:dyDescent="0.3">
      <c r="B55" s="1" t="s">
        <v>179</v>
      </c>
      <c r="C55" s="26">
        <f>C42*C44</f>
        <v>2257409.9181669392</v>
      </c>
      <c r="D55" s="26">
        <f t="shared" ref="D55:E55" si="9">D42*D44</f>
        <v>2360755.5080213901</v>
      </c>
      <c r="E55" s="26">
        <f t="shared" si="9"/>
        <v>1991006.4786585369</v>
      </c>
    </row>
    <row r="58" spans="1:6" x14ac:dyDescent="0.3">
      <c r="C58" s="28"/>
    </row>
  </sheetData>
  <mergeCells count="1">
    <mergeCell ref="C2:E2"/>
  </mergeCells>
  <pageMargins left="0.7" right="0.7" top="0.75" bottom="0.75" header="0.3" footer="0.3"/>
  <ignoredErrors>
    <ignoredError sqref="C20:E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8FE2-4586-42C4-A787-0FE309EBCF95}">
  <dimension ref="A1:K48"/>
  <sheetViews>
    <sheetView topLeftCell="A41" workbookViewId="0">
      <selection activeCell="H42" sqref="H42"/>
    </sheetView>
  </sheetViews>
  <sheetFormatPr defaultRowHeight="14.4" x14ac:dyDescent="0.3"/>
  <cols>
    <col min="2" max="2" width="33.6640625" bestFit="1" customWidth="1"/>
    <col min="4" max="6" width="11.109375" bestFit="1" customWidth="1"/>
  </cols>
  <sheetData>
    <row r="1" spans="1:11" ht="60" customHeight="1" x14ac:dyDescent="0.5">
      <c r="B1" s="6"/>
      <c r="C1" s="20" t="s">
        <v>0</v>
      </c>
      <c r="D1" s="19"/>
      <c r="E1" s="19"/>
      <c r="F1" s="19"/>
      <c r="G1" s="19"/>
      <c r="H1" s="19"/>
      <c r="I1" s="19"/>
      <c r="J1" s="19"/>
      <c r="K1" s="19"/>
    </row>
    <row r="2" spans="1:11" x14ac:dyDescent="0.3">
      <c r="D2" s="35" t="s">
        <v>23</v>
      </c>
      <c r="E2" s="35"/>
      <c r="F2" s="35"/>
    </row>
    <row r="3" spans="1:11" x14ac:dyDescent="0.3">
      <c r="D3" s="7">
        <f>+'Financial Statements'!B4</f>
        <v>2022</v>
      </c>
      <c r="E3" s="7">
        <f>+'Financial Statements'!C4</f>
        <v>2021</v>
      </c>
      <c r="F3" s="7">
        <f>+'Financial Statements'!D4</f>
        <v>2020</v>
      </c>
    </row>
    <row r="4" spans="1:11" x14ac:dyDescent="0.3">
      <c r="A4" s="35" t="s">
        <v>153</v>
      </c>
      <c r="B4" s="35"/>
      <c r="C4" s="35"/>
      <c r="D4" s="35"/>
      <c r="E4" s="35"/>
      <c r="F4" s="35"/>
    </row>
    <row r="5" spans="1:11" x14ac:dyDescent="0.3">
      <c r="A5" s="18">
        <v>1</v>
      </c>
      <c r="B5" s="7" t="s">
        <v>150</v>
      </c>
    </row>
    <row r="6" spans="1:11" x14ac:dyDescent="0.3">
      <c r="A6">
        <v>1.1000000000000001</v>
      </c>
      <c r="B6" s="25" t="s">
        <v>4</v>
      </c>
      <c r="D6" s="24">
        <f>('Financial Statements'!B6/'Financial Statements'!C6-1)*100</f>
        <v>6.3239764351428418</v>
      </c>
      <c r="E6" s="26">
        <f>('Financial Statements'!C6/'Financial Statements'!D6-1)*100</f>
        <v>34.720743656765428</v>
      </c>
      <c r="F6" s="26"/>
    </row>
    <row r="7" spans="1:11" x14ac:dyDescent="0.3">
      <c r="A7">
        <v>1.2</v>
      </c>
      <c r="B7" s="25" t="s">
        <v>5</v>
      </c>
      <c r="D7" s="18">
        <f>('Financial Statements'!B7/'Financial Statements'!C7-1)*100</f>
        <v>14.181951041286078</v>
      </c>
      <c r="E7" s="26">
        <f>('Financial Statements'!C7/'Financial Statements'!D7-1)*100</f>
        <v>27.259708376729662</v>
      </c>
      <c r="F7" s="26"/>
    </row>
    <row r="8" spans="1:11" x14ac:dyDescent="0.3">
      <c r="A8">
        <v>1.3</v>
      </c>
      <c r="B8" s="25" t="s">
        <v>6</v>
      </c>
      <c r="D8" s="24">
        <f>('Financial Statements'!B8/'Financial Statements'!C8-1)*100</f>
        <v>7.7937876041846099</v>
      </c>
      <c r="E8" s="26">
        <f>('Financial Statements'!C8/'Financial Statements'!D8-1)*100</f>
        <v>33.259384733074704</v>
      </c>
      <c r="F8" s="26"/>
    </row>
    <row r="9" spans="1:11" x14ac:dyDescent="0.3">
      <c r="E9" s="26"/>
      <c r="F9" s="26"/>
    </row>
    <row r="10" spans="1:11" x14ac:dyDescent="0.3">
      <c r="A10" s="18">
        <v>2</v>
      </c>
      <c r="B10" s="17" t="s">
        <v>151</v>
      </c>
      <c r="D10" s="24">
        <f>('Financial Statements'!B13/'Financial Statements'!C13-1)*100</f>
        <v>11.741997958596141</v>
      </c>
      <c r="E10" s="26">
        <f>('Financial Statements'!C13/'Financial Statements'!D13-1)*100</f>
        <v>45.619116582186827</v>
      </c>
      <c r="F10" s="26"/>
    </row>
    <row r="11" spans="1:11" x14ac:dyDescent="0.3">
      <c r="A11" s="18"/>
      <c r="E11" s="26"/>
      <c r="F11" s="26"/>
    </row>
    <row r="12" spans="1:11" x14ac:dyDescent="0.3">
      <c r="A12" s="18">
        <v>3</v>
      </c>
      <c r="B12" s="17" t="s">
        <v>152</v>
      </c>
      <c r="E12" s="26"/>
      <c r="F12" s="26"/>
    </row>
    <row r="13" spans="1:11" x14ac:dyDescent="0.3">
      <c r="A13" s="18">
        <v>3.1</v>
      </c>
      <c r="B13" s="25" t="s">
        <v>11</v>
      </c>
      <c r="D13" s="24">
        <f>('Financial Statements'!B15/'Financial Statements'!C15-1)*100</f>
        <v>19.791001186456135</v>
      </c>
      <c r="E13" s="26">
        <f>('Financial Statements'!C15/'Financial Statements'!D15-1)*100</f>
        <v>16.862201365187723</v>
      </c>
      <c r="F13" s="26"/>
    </row>
    <row r="14" spans="1:11" x14ac:dyDescent="0.3">
      <c r="A14" s="18">
        <v>3.2</v>
      </c>
      <c r="B14" s="25" t="s">
        <v>12</v>
      </c>
      <c r="D14" s="24">
        <f>('Financial Statements'!B16/'Financial Statements'!C16-1)*100</f>
        <v>14.203795567287125</v>
      </c>
      <c r="E14" s="26">
        <f>('Financial Statements'!C16/'Financial Statements'!D16-1)*100</f>
        <v>10.32837919260896</v>
      </c>
      <c r="F14" s="26"/>
    </row>
    <row r="15" spans="1:11" x14ac:dyDescent="0.3">
      <c r="A15" s="18">
        <v>3.3</v>
      </c>
      <c r="B15" s="25" t="s">
        <v>13</v>
      </c>
      <c r="D15" s="24">
        <f>('Financial Statements'!B17/'Financial Statements'!C17-1)*100</f>
        <v>16.99364276437214</v>
      </c>
      <c r="E15" s="26">
        <f>('Financial Statements'!C17/'Financial Statements'!D17-1)*100</f>
        <v>13.496948381090302</v>
      </c>
      <c r="F15" s="26"/>
    </row>
    <row r="16" spans="1:11" x14ac:dyDescent="0.3">
      <c r="A16" s="18"/>
      <c r="B16" s="25"/>
    </row>
    <row r="17" spans="1:6" x14ac:dyDescent="0.3">
      <c r="A17" s="18">
        <v>4</v>
      </c>
      <c r="B17" s="17" t="s">
        <v>154</v>
      </c>
    </row>
    <row r="18" spans="1:6" x14ac:dyDescent="0.3">
      <c r="A18" s="18">
        <v>4.0999999999999996</v>
      </c>
      <c r="B18" s="25" t="s">
        <v>31</v>
      </c>
      <c r="D18" s="24">
        <f>('Financial Statements'!B42/'Financial Statements'!C42-1)*100</f>
        <v>0.42199412619774446</v>
      </c>
      <c r="E18" s="26">
        <f>('Financial Statements'!C42/'Financial Statements'!D42-1)*100</f>
        <v>-6.1768942266879119</v>
      </c>
      <c r="F18" s="26"/>
    </row>
    <row r="19" spans="1:6" x14ac:dyDescent="0.3">
      <c r="A19" s="18">
        <v>4.2</v>
      </c>
      <c r="B19" s="25" t="s">
        <v>50</v>
      </c>
      <c r="D19" s="24">
        <f>('Financial Statements'!B47/'Financial Statements'!C47-1)*100</f>
        <v>0.5477272096444441</v>
      </c>
      <c r="E19" s="26">
        <f>('Financial Statements'!C47/'Financial Statements'!D47-1)*100</f>
        <v>19.975579297904812</v>
      </c>
      <c r="F19" s="26"/>
    </row>
    <row r="20" spans="1:6" x14ac:dyDescent="0.3">
      <c r="A20" s="18">
        <v>4.3</v>
      </c>
      <c r="B20" s="25" t="s">
        <v>33</v>
      </c>
      <c r="D20" s="24">
        <f>('Financial Statements'!B48/'Financial Statements'!C48-1)*100</f>
        <v>0.4994273536902849</v>
      </c>
      <c r="E20" s="26">
        <f>('Financial Statements'!C48/'Financial Statements'!D48-1)*100</f>
        <v>8.3714123400681739</v>
      </c>
      <c r="F20" s="26"/>
    </row>
    <row r="21" spans="1:6" x14ac:dyDescent="0.3">
      <c r="A21" s="18">
        <v>4.4000000000000004</v>
      </c>
      <c r="B21" s="25" t="s">
        <v>40</v>
      </c>
      <c r="D21" s="24">
        <f>('Financial Statements'!B56/'Financial Statements'!C56-1)*100</f>
        <v>22.713398841258826</v>
      </c>
      <c r="E21" s="26">
        <f>('Financial Statements'!C56/'Financial Statements'!D56-1)*100</f>
        <v>19.061219067860936</v>
      </c>
      <c r="F21" s="26"/>
    </row>
    <row r="22" spans="1:6" x14ac:dyDescent="0.3">
      <c r="A22" s="18">
        <v>4.5</v>
      </c>
      <c r="B22" s="25" t="s">
        <v>53</v>
      </c>
      <c r="D22" s="26">
        <f>('Financial Statements'!B61/'Financial Statements'!C61-1)*100</f>
        <v>-8.8222075835277742</v>
      </c>
      <c r="E22" s="26">
        <f>('Financial Statements'!C61/'Financial Statements'!D61-1)*100</f>
        <v>6.0552243775994663</v>
      </c>
      <c r="F22" s="26"/>
    </row>
    <row r="23" spans="1:6" x14ac:dyDescent="0.3">
      <c r="A23" s="18">
        <v>4.5999999999999996</v>
      </c>
      <c r="B23" s="25" t="s">
        <v>41</v>
      </c>
      <c r="D23" s="26">
        <f>('Financial Statements'!B62/'Financial Statements'!C62-1)*100</f>
        <v>4.9219900525160565</v>
      </c>
      <c r="E23" s="26">
        <f>('Financial Statements'!C62/'Financial Statements'!D62-1)*100</f>
        <v>11.356841449783218</v>
      </c>
      <c r="F23" s="26"/>
    </row>
    <row r="24" spans="1:6" x14ac:dyDescent="0.3">
      <c r="A24" s="18">
        <v>4.7</v>
      </c>
      <c r="B24" s="25" t="s">
        <v>45</v>
      </c>
      <c r="D24" s="26">
        <f>('Financial Statements'!B68/'Financial Statements'!C68-1)*100</f>
        <v>-19.682992550324929</v>
      </c>
      <c r="E24" s="26">
        <f>('Financial Statements'!C68/'Financial Statements'!D68-1)*100</f>
        <v>-3.4420483937617652</v>
      </c>
      <c r="F24" s="26"/>
    </row>
    <row r="25" spans="1:6" x14ac:dyDescent="0.3">
      <c r="A25" s="18">
        <v>4.8</v>
      </c>
      <c r="B25" s="25" t="s">
        <v>46</v>
      </c>
      <c r="D25" s="26">
        <f>('Financial Statements'!B69/'Financial Statements'!C69-1)*100</f>
        <v>0.4994273536902849</v>
      </c>
      <c r="E25" s="26">
        <f>('Financial Statements'!C69/'Financial Statements'!D69-1)*100</f>
        <v>8.3714123400681739</v>
      </c>
      <c r="F25" s="26"/>
    </row>
    <row r="28" spans="1:6" x14ac:dyDescent="0.3">
      <c r="A28" s="37" t="s">
        <v>156</v>
      </c>
      <c r="B28" s="37"/>
      <c r="C28" s="37"/>
      <c r="D28" s="37"/>
      <c r="E28" s="37"/>
      <c r="F28" s="37"/>
    </row>
    <row r="30" spans="1:6" x14ac:dyDescent="0.3">
      <c r="A30" s="18">
        <v>5</v>
      </c>
      <c r="B30" s="25" t="s">
        <v>146</v>
      </c>
      <c r="D30" s="24">
        <f>('Financial Statements'!B12/'Financial Statements'!B8)*100</f>
        <v>56.690369438639912</v>
      </c>
      <c r="E30" s="24">
        <f>('Financial Statements'!C12/'Financial Statements'!C8)*100</f>
        <v>58.220640374832222</v>
      </c>
      <c r="F30" s="24">
        <f>('Financial Statements'!D12/'Financial Statements'!D8)*100</f>
        <v>61.76675227218913</v>
      </c>
    </row>
    <row r="31" spans="1:6" x14ac:dyDescent="0.3">
      <c r="A31" s="18">
        <v>6</v>
      </c>
      <c r="B31" s="25" t="s">
        <v>89</v>
      </c>
      <c r="D31" s="24">
        <f>('Financial Statements'!B13/'Financial Statements'!B8)*100</f>
        <v>43.309630561360088</v>
      </c>
      <c r="E31" s="24">
        <f>('Financial Statements'!C13/'Financial Statements'!C8)*100</f>
        <v>41.779359625167778</v>
      </c>
      <c r="F31" s="24">
        <f>('Financial Statements'!D13/'Financial Statements'!D8)*100</f>
        <v>38.233247727810863</v>
      </c>
    </row>
    <row r="32" spans="1:6" x14ac:dyDescent="0.3">
      <c r="A32" s="18">
        <v>6</v>
      </c>
      <c r="B32" s="17" t="s">
        <v>90</v>
      </c>
    </row>
    <row r="33" spans="1:6" x14ac:dyDescent="0.3">
      <c r="A33">
        <v>6.1</v>
      </c>
      <c r="B33" s="25" t="s">
        <v>11</v>
      </c>
      <c r="D33" s="24">
        <f>('Financial Statements'!B15/'Financial Statements'!B$8)*100</f>
        <v>6.6571483637986653</v>
      </c>
      <c r="E33" s="24">
        <f>('Financial Statements'!C15/'Financial Statements'!C$8)*100</f>
        <v>5.9904269074427923</v>
      </c>
      <c r="F33" s="24">
        <f>('Financial Statements'!D15/'Financial Statements'!D$8)*100</f>
        <v>6.8309564140393064</v>
      </c>
    </row>
    <row r="34" spans="1:6" x14ac:dyDescent="0.3">
      <c r="A34">
        <v>6.2</v>
      </c>
      <c r="B34" s="25" t="s">
        <v>12</v>
      </c>
      <c r="D34" s="24">
        <f>('Financial Statements'!B16/'Financial Statements'!B$8)*100</f>
        <v>6.3637378020328264</v>
      </c>
      <c r="E34" s="24">
        <f>('Financial Statements'!C16/'Financial Statements'!C$8)*100</f>
        <v>6.0065551901633878</v>
      </c>
      <c r="F34" s="24">
        <f>('Financial Statements'!D16/'Financial Statements'!D$8)*100</f>
        <v>7.254976959364698</v>
      </c>
    </row>
    <row r="35" spans="1:6" x14ac:dyDescent="0.3">
      <c r="A35" s="18">
        <v>7</v>
      </c>
      <c r="B35" s="25" t="s">
        <v>14</v>
      </c>
      <c r="D35" s="24">
        <f>('Financial Statements'!B18/'Financial Statements'!B8)*100</f>
        <v>30.288744395528592</v>
      </c>
      <c r="E35" s="24">
        <f>('Financial Statements'!C18/'Financial Statements'!C8)*100</f>
        <v>29.782377527561593</v>
      </c>
      <c r="F35" s="24">
        <f>('Financial Statements'!D18/'Financial Statements'!D8)*100</f>
        <v>24.147314354406863</v>
      </c>
    </row>
    <row r="36" spans="1:6" x14ac:dyDescent="0.3">
      <c r="A36" s="18">
        <v>8</v>
      </c>
      <c r="B36" s="25" t="s">
        <v>93</v>
      </c>
      <c r="D36" s="24">
        <f>('Financial Statements'!B22/'Financial Statements'!B8)*100</f>
        <v>25.309640705199733</v>
      </c>
      <c r="E36" s="24">
        <f>('Financial Statements'!C22/'Financial Statements'!C8)*100</f>
        <v>25.881793355694239</v>
      </c>
      <c r="F36" s="24">
        <f>('Financial Statements'!D22/'Financial Statements'!D8)*100</f>
        <v>20.913611278072235</v>
      </c>
    </row>
    <row r="39" spans="1:6" x14ac:dyDescent="0.3">
      <c r="A39" s="35" t="s">
        <v>155</v>
      </c>
      <c r="B39" s="35"/>
      <c r="C39" s="35"/>
      <c r="D39" s="35"/>
      <c r="E39" s="35"/>
      <c r="F39" s="35"/>
    </row>
    <row r="40" spans="1:6" x14ac:dyDescent="0.3">
      <c r="A40" s="18">
        <v>9</v>
      </c>
      <c r="B40" s="25" t="s">
        <v>94</v>
      </c>
      <c r="D40" s="18">
        <f>('Financial Statements'!B21/'Financial Statements'!B20)*100</f>
        <v>16.204461684424405</v>
      </c>
      <c r="E40" s="18">
        <f>('Financial Statements'!C21/'Financial Statements'!C20)*100</f>
        <v>13.302260844085087</v>
      </c>
      <c r="F40" s="18">
        <f>('Financial Statements'!D21/'Financial Statements'!D20)*100</f>
        <v>14.428164731484102</v>
      </c>
    </row>
    <row r="41" spans="1:6" x14ac:dyDescent="0.3">
      <c r="A41" s="18">
        <v>10</v>
      </c>
      <c r="B41" s="25" t="s">
        <v>95</v>
      </c>
      <c r="D41" s="26">
        <f>(D43)/('Financial Statements'!B8)*100</f>
        <v>2.715505873283155</v>
      </c>
      <c r="E41" s="26">
        <f>(E43)/('Financial Statements'!C8)*100</f>
        <v>3.0302036264033658</v>
      </c>
      <c r="F41" s="26">
        <f>(F43)/('Financial Statements'!D8)*100</f>
        <v>2.6625138881299746</v>
      </c>
    </row>
    <row r="42" spans="1:6" x14ac:dyDescent="0.3">
      <c r="A42" s="18">
        <v>11</v>
      </c>
      <c r="B42" s="25" t="s">
        <v>96</v>
      </c>
      <c r="D42" s="26">
        <f>(D43/'Financial Statements'!B47)*100</f>
        <v>4.9266160570508397</v>
      </c>
      <c r="E42" s="26">
        <f>(E43/'Financial Statements'!C47)*100</f>
        <v>5.1280034788079538</v>
      </c>
      <c r="F42" s="26">
        <f>(F43/'Financial Statements'!D47)*100</f>
        <v>4.0566116275842932</v>
      </c>
    </row>
    <row r="43" spans="1:6" x14ac:dyDescent="0.3">
      <c r="B43" s="25" t="s">
        <v>157</v>
      </c>
      <c r="D43" s="12">
        <f>ABS('Financial Statements'!B96)</f>
        <v>10708</v>
      </c>
      <c r="E43" s="12">
        <f>ABS('Financial Statements'!C96)</f>
        <v>11085</v>
      </c>
      <c r="F43" s="12">
        <f>ABS('Financial Statements'!D96)</f>
        <v>7309</v>
      </c>
    </row>
    <row r="46" spans="1:6" x14ac:dyDescent="0.3">
      <c r="D46" s="12"/>
      <c r="E46" s="12"/>
      <c r="F46" s="12"/>
    </row>
    <row r="48" spans="1:6" x14ac:dyDescent="0.3">
      <c r="D48" s="18"/>
      <c r="E48" s="18"/>
      <c r="F48" s="18"/>
    </row>
  </sheetData>
  <mergeCells count="4">
    <mergeCell ref="D2:F2"/>
    <mergeCell ref="A4:F4"/>
    <mergeCell ref="A28:F28"/>
    <mergeCell ref="A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Other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Seth Akuffo Anoff</cp:lastModifiedBy>
  <dcterms:created xsi:type="dcterms:W3CDTF">2020-05-18T16:32:37Z</dcterms:created>
  <dcterms:modified xsi:type="dcterms:W3CDTF">2023-10-16T19:15:29Z</dcterms:modified>
</cp:coreProperties>
</file>