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Godbless\Desktop\"/>
    </mc:Choice>
  </mc:AlternateContent>
  <bookViews>
    <workbookView xWindow="0" yWindow="0" windowWidth="20490" windowHeight="7755" activeTab="3"/>
  </bookViews>
  <sheets>
    <sheet name="Sheet1" sheetId="7" r:id="rId1"/>
    <sheet name="Historicals" sheetId="1" r:id="rId2"/>
    <sheet name="Segmental forecast" sheetId="3" r:id="rId3"/>
    <sheet name="The Statements" sheetId="6" r:id="rId4"/>
  </sheets>
  <externalReferences>
    <externalReference r:id="rId5"/>
  </externalReferenc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67" i="6" l="1"/>
  <c r="M67" i="6"/>
  <c r="L67" i="6"/>
  <c r="K67" i="6"/>
  <c r="J67" i="6"/>
  <c r="J66" i="6"/>
  <c r="K66" i="6"/>
  <c r="L66" i="6"/>
  <c r="M66" i="6"/>
  <c r="N66" i="6"/>
  <c r="N65" i="6"/>
  <c r="M65" i="6"/>
  <c r="L65" i="6"/>
  <c r="K65" i="6"/>
  <c r="J65" i="6"/>
  <c r="J64" i="6"/>
  <c r="K64" i="6"/>
  <c r="L64" i="6"/>
  <c r="M64" i="6"/>
  <c r="N64" i="6"/>
  <c r="L59" i="6"/>
  <c r="M59" i="6" s="1"/>
  <c r="N59" i="6" s="1"/>
  <c r="K59" i="6"/>
  <c r="N63" i="6"/>
  <c r="M63" i="6"/>
  <c r="L63" i="6"/>
  <c r="K63" i="6"/>
  <c r="J63" i="6"/>
  <c r="K60" i="6"/>
  <c r="N69" i="6"/>
  <c r="K69" i="6"/>
  <c r="L69" i="6"/>
  <c r="M69" i="6"/>
  <c r="J69" i="6"/>
  <c r="J60" i="6"/>
  <c r="I43" i="6"/>
  <c r="J43" i="6"/>
  <c r="K43" i="6"/>
  <c r="L43" i="6"/>
  <c r="L44" i="6" s="1"/>
  <c r="M43" i="6"/>
  <c r="N43" i="6"/>
  <c r="H43" i="6"/>
  <c r="M44" i="6"/>
  <c r="N44" i="6"/>
  <c r="J44" i="6"/>
  <c r="K44" i="6"/>
  <c r="J58" i="6"/>
  <c r="K58" i="6"/>
  <c r="L58" i="6"/>
  <c r="M58" i="6"/>
  <c r="N58" i="6"/>
  <c r="N57" i="6"/>
  <c r="M57" i="6"/>
  <c r="L57" i="6"/>
  <c r="K57" i="6"/>
  <c r="J57" i="6"/>
  <c r="N56" i="6"/>
  <c r="M56" i="6"/>
  <c r="L56" i="6"/>
  <c r="K56" i="6"/>
  <c r="J56" i="6"/>
  <c r="M55" i="6"/>
  <c r="N55" i="6"/>
  <c r="N54" i="6"/>
  <c r="M54" i="6"/>
  <c r="L54" i="6"/>
  <c r="K54" i="6"/>
  <c r="J54" i="6"/>
  <c r="J55" i="6" s="1"/>
  <c r="K55" i="6"/>
  <c r="L55" i="6"/>
  <c r="L53" i="6"/>
  <c r="M53" i="6"/>
  <c r="N53" i="6"/>
  <c r="J53" i="6"/>
  <c r="K53" i="6"/>
  <c r="N49" i="6"/>
  <c r="K49" i="6"/>
  <c r="L49" i="6"/>
  <c r="M49" i="6"/>
  <c r="J49" i="6"/>
  <c r="N48" i="6"/>
  <c r="M48" i="6"/>
  <c r="L48" i="6"/>
  <c r="K48" i="6"/>
  <c r="J48" i="6"/>
  <c r="K46" i="6"/>
  <c r="L46" i="6"/>
  <c r="M46" i="6"/>
  <c r="N46" i="6"/>
  <c r="J46" i="6"/>
  <c r="N60" i="6" l="1"/>
  <c r="M60" i="6"/>
  <c r="L60" i="6"/>
  <c r="N23" i="6"/>
  <c r="L23" i="6"/>
  <c r="M23" i="6" s="1"/>
  <c r="K23" i="6"/>
  <c r="J23" i="6"/>
  <c r="K41" i="6" l="1"/>
  <c r="L41" i="6"/>
  <c r="M41" i="6"/>
  <c r="N41" i="6"/>
  <c r="J41" i="6"/>
  <c r="N26" i="6"/>
  <c r="K26" i="6"/>
  <c r="L26" i="6" s="1"/>
  <c r="M26" i="6" s="1"/>
  <c r="J26" i="6"/>
  <c r="K24" i="6"/>
  <c r="L24" i="6"/>
  <c r="M24" i="6" s="1"/>
  <c r="J24" i="6"/>
  <c r="K21" i="6"/>
  <c r="L21" i="6"/>
  <c r="M21" i="6"/>
  <c r="N21" i="6"/>
  <c r="J21" i="6"/>
  <c r="K68" i="6"/>
  <c r="L68" i="6"/>
  <c r="M68" i="6"/>
  <c r="N68" i="6" s="1"/>
  <c r="J68" i="6"/>
  <c r="K12" i="6"/>
  <c r="L12" i="6" s="1"/>
  <c r="M12" i="6" s="1"/>
  <c r="N12" i="6" s="1"/>
  <c r="J12" i="6"/>
  <c r="N10" i="6"/>
  <c r="K10" i="6"/>
  <c r="L10" i="6"/>
  <c r="M10" i="6"/>
  <c r="J10" i="6"/>
  <c r="N42" i="6"/>
  <c r="M42" i="6"/>
  <c r="L42" i="6"/>
  <c r="K42" i="6"/>
  <c r="N30" i="6"/>
  <c r="M30" i="6"/>
  <c r="L30" i="6"/>
  <c r="K30" i="6"/>
  <c r="N29" i="6"/>
  <c r="M29" i="6"/>
  <c r="L29" i="6"/>
  <c r="K29" i="6"/>
  <c r="N28" i="6"/>
  <c r="M28" i="6"/>
  <c r="L28" i="6"/>
  <c r="K28" i="6"/>
  <c r="N27" i="6"/>
  <c r="M27" i="6"/>
  <c r="L27" i="6"/>
  <c r="K27" i="6"/>
  <c r="N25" i="6"/>
  <c r="M25" i="6"/>
  <c r="L25" i="6"/>
  <c r="K25" i="6"/>
  <c r="K7" i="6"/>
  <c r="L7" i="6"/>
  <c r="M7" i="6"/>
  <c r="N7" i="6"/>
  <c r="J7" i="6"/>
  <c r="K6" i="6"/>
  <c r="L6" i="6"/>
  <c r="M6" i="6"/>
  <c r="N6" i="6"/>
  <c r="J6" i="6"/>
  <c r="N5" i="6"/>
  <c r="K5" i="6"/>
  <c r="L5" i="6"/>
  <c r="M5" i="6"/>
  <c r="J5" i="6"/>
  <c r="K3" i="6"/>
  <c r="L3" i="6"/>
  <c r="M3" i="6"/>
  <c r="N3" i="6"/>
  <c r="J3" i="6"/>
  <c r="N24" i="6" l="1"/>
  <c r="J42" i="6"/>
  <c r="J40" i="6"/>
  <c r="K40" i="6"/>
  <c r="L40" i="6"/>
  <c r="M40" i="6"/>
  <c r="N40" i="6" s="1"/>
  <c r="J39" i="6"/>
  <c r="K39" i="6"/>
  <c r="L39" i="6" s="1"/>
  <c r="M39" i="6" s="1"/>
  <c r="N39" i="6" s="1"/>
  <c r="J38" i="6"/>
  <c r="K38" i="6"/>
  <c r="L38" i="6" s="1"/>
  <c r="M38" i="6" s="1"/>
  <c r="N38" i="6" s="1"/>
  <c r="J37" i="6"/>
  <c r="K37" i="6" s="1"/>
  <c r="L37" i="6" s="1"/>
  <c r="M37" i="6" s="1"/>
  <c r="N37" i="6" s="1"/>
  <c r="J36" i="6"/>
  <c r="K36" i="6" s="1"/>
  <c r="L36" i="6" s="1"/>
  <c r="M36" i="6" s="1"/>
  <c r="N36" i="6" s="1"/>
  <c r="J35" i="6"/>
  <c r="K35" i="6"/>
  <c r="L35" i="6"/>
  <c r="M35" i="6"/>
  <c r="N35" i="6" s="1"/>
  <c r="J34" i="6"/>
  <c r="K34" i="6" s="1"/>
  <c r="L34" i="6" s="1"/>
  <c r="M34" i="6" s="1"/>
  <c r="N34" i="6" s="1"/>
  <c r="J33" i="6"/>
  <c r="K33" i="6" s="1"/>
  <c r="L33" i="6" s="1"/>
  <c r="M33" i="6" s="1"/>
  <c r="N33" i="6" s="1"/>
  <c r="J32" i="6"/>
  <c r="K32" i="6" s="1"/>
  <c r="L32" i="6" s="1"/>
  <c r="M32" i="6" s="1"/>
  <c r="N32" i="6" s="1"/>
  <c r="J61" i="6"/>
  <c r="K61" i="6" s="1"/>
  <c r="L61" i="6" s="1"/>
  <c r="J62" i="6"/>
  <c r="G41" i="6"/>
  <c r="J31" i="6"/>
  <c r="K31" i="6"/>
  <c r="L31" i="6"/>
  <c r="M31" i="6"/>
  <c r="N31" i="6" s="1"/>
  <c r="J30" i="6"/>
  <c r="J29" i="6"/>
  <c r="J28" i="6"/>
  <c r="J27" i="6"/>
  <c r="J25" i="6"/>
  <c r="N62" i="6"/>
  <c r="K62" i="6"/>
  <c r="L62" i="6"/>
  <c r="M62" i="6"/>
  <c r="J51" i="6"/>
  <c r="K22" i="6"/>
  <c r="L22" i="6"/>
  <c r="M22" i="6" s="1"/>
  <c r="N22" i="6" s="1"/>
  <c r="J22" i="6"/>
  <c r="K51" i="6"/>
  <c r="L51" i="6"/>
  <c r="J19" i="6"/>
  <c r="K16" i="6"/>
  <c r="L16" i="6"/>
  <c r="M16" i="6" s="1"/>
  <c r="N16" i="6" s="1"/>
  <c r="J16" i="6"/>
  <c r="K14" i="6"/>
  <c r="L14" i="6" s="1"/>
  <c r="M14" i="6" s="1"/>
  <c r="N14" i="6" s="1"/>
  <c r="J14" i="6"/>
  <c r="K50" i="6"/>
  <c r="L50" i="6"/>
  <c r="M50" i="6"/>
  <c r="N50" i="6"/>
  <c r="J50" i="6"/>
  <c r="K70" i="6"/>
  <c r="L70" i="6" s="1"/>
  <c r="M70" i="6" s="1"/>
  <c r="N70" i="6" s="1"/>
  <c r="J70" i="6"/>
  <c r="J18" i="6"/>
  <c r="K18" i="6"/>
  <c r="L18" i="6"/>
  <c r="M18" i="6"/>
  <c r="N18" i="6"/>
  <c r="K17" i="6"/>
  <c r="L17" i="6"/>
  <c r="M17" i="6"/>
  <c r="N17" i="6"/>
  <c r="J17" i="6"/>
  <c r="K15" i="6"/>
  <c r="L15" i="6"/>
  <c r="M15" i="6" s="1"/>
  <c r="N15" i="6" s="1"/>
  <c r="J15" i="6"/>
  <c r="K47" i="6"/>
  <c r="L47" i="6"/>
  <c r="M47" i="6"/>
  <c r="N47" i="6"/>
  <c r="J47" i="6"/>
  <c r="K52" i="6"/>
  <c r="L52" i="6"/>
  <c r="M52" i="6"/>
  <c r="N52" i="6"/>
  <c r="J52" i="6"/>
  <c r="N51" i="6" l="1"/>
  <c r="M51" i="6"/>
  <c r="L19" i="6"/>
  <c r="M61" i="6"/>
  <c r="K19" i="6"/>
  <c r="K135" i="3"/>
  <c r="L135" i="3"/>
  <c r="M135" i="3"/>
  <c r="N135" i="3"/>
  <c r="J135" i="3"/>
  <c r="K131" i="3"/>
  <c r="L131" i="3"/>
  <c r="M131" i="3" s="1"/>
  <c r="N131" i="3" s="1"/>
  <c r="J131" i="3"/>
  <c r="K128" i="3"/>
  <c r="L128" i="3" s="1"/>
  <c r="M128" i="3" s="1"/>
  <c r="N128" i="3" s="1"/>
  <c r="J128" i="3"/>
  <c r="K104" i="3"/>
  <c r="L104" i="3"/>
  <c r="M104" i="3"/>
  <c r="N104" i="3"/>
  <c r="J104" i="3"/>
  <c r="K100" i="3"/>
  <c r="L100" i="3" s="1"/>
  <c r="M100" i="3" s="1"/>
  <c r="N100" i="3" s="1"/>
  <c r="J100" i="3"/>
  <c r="K97" i="3"/>
  <c r="L97" i="3" s="1"/>
  <c r="M97" i="3" s="1"/>
  <c r="N97" i="3" s="1"/>
  <c r="J97" i="3"/>
  <c r="K73" i="3"/>
  <c r="L73" i="3"/>
  <c r="M73" i="3"/>
  <c r="N73" i="3"/>
  <c r="J73" i="3"/>
  <c r="K69" i="3"/>
  <c r="L69" i="3" s="1"/>
  <c r="M69" i="3" s="1"/>
  <c r="N69" i="3" s="1"/>
  <c r="J69" i="3"/>
  <c r="K66" i="3"/>
  <c r="L66" i="3" s="1"/>
  <c r="M66" i="3" s="1"/>
  <c r="N66" i="3" s="1"/>
  <c r="J66" i="3"/>
  <c r="K42" i="3"/>
  <c r="L42" i="3"/>
  <c r="M42" i="3"/>
  <c r="N42" i="3"/>
  <c r="J42" i="3"/>
  <c r="K38" i="3"/>
  <c r="L38" i="3"/>
  <c r="M38" i="3"/>
  <c r="N38" i="3"/>
  <c r="J38" i="3"/>
  <c r="K35" i="3"/>
  <c r="L35" i="3" s="1"/>
  <c r="M35" i="3" s="1"/>
  <c r="N35" i="3" s="1"/>
  <c r="J35" i="3"/>
  <c r="M19" i="6" l="1"/>
  <c r="N61" i="6"/>
  <c r="J43" i="3"/>
  <c r="L43" i="3"/>
  <c r="N19" i="6" l="1"/>
  <c r="M43" i="3"/>
  <c r="N43" i="3"/>
  <c r="K43" i="3"/>
  <c r="C66" i="6"/>
  <c r="D66" i="6"/>
  <c r="E66" i="6"/>
  <c r="F66" i="6"/>
  <c r="G66" i="6"/>
  <c r="H66" i="6"/>
  <c r="I66" i="6"/>
  <c r="B66" i="6"/>
  <c r="B68" i="6" l="1"/>
  <c r="C62" i="6"/>
  <c r="D62" i="6"/>
  <c r="E62" i="6"/>
  <c r="F62" i="6"/>
  <c r="G62" i="6"/>
  <c r="H62" i="6"/>
  <c r="I62" i="6"/>
  <c r="B62" i="6"/>
  <c r="C52" i="6" l="1"/>
  <c r="D52" i="6"/>
  <c r="E52" i="6"/>
  <c r="F52" i="6"/>
  <c r="G52" i="6"/>
  <c r="H52" i="6"/>
  <c r="I52" i="6"/>
  <c r="B52" i="6"/>
  <c r="C57" i="6"/>
  <c r="D57" i="6"/>
  <c r="E57" i="6"/>
  <c r="F57" i="6"/>
  <c r="G57" i="6"/>
  <c r="H57" i="6"/>
  <c r="I57" i="6"/>
  <c r="B57" i="6"/>
  <c r="C63" i="6"/>
  <c r="D63" i="6"/>
  <c r="E63" i="6"/>
  <c r="F63" i="6"/>
  <c r="G63" i="6"/>
  <c r="H63" i="6"/>
  <c r="I63" i="6"/>
  <c r="B63" i="6"/>
  <c r="C59" i="6"/>
  <c r="D59" i="6"/>
  <c r="E59" i="6"/>
  <c r="F59" i="6"/>
  <c r="G59" i="6"/>
  <c r="H59" i="6"/>
  <c r="I59" i="6"/>
  <c r="B59" i="6"/>
  <c r="C25" i="6" l="1"/>
  <c r="D25" i="6"/>
  <c r="E25" i="6"/>
  <c r="F25" i="6"/>
  <c r="G25" i="6"/>
  <c r="H25" i="6"/>
  <c r="I25" i="6"/>
  <c r="B25" i="6"/>
  <c r="C22" i="6"/>
  <c r="D22" i="6"/>
  <c r="E22" i="6"/>
  <c r="F22" i="6"/>
  <c r="G22" i="6"/>
  <c r="H22" i="6"/>
  <c r="I22" i="6"/>
  <c r="B22" i="6"/>
  <c r="B67" i="6" l="1"/>
  <c r="C65" i="6"/>
  <c r="D65" i="6"/>
  <c r="E65" i="6"/>
  <c r="F65" i="6"/>
  <c r="G65" i="6"/>
  <c r="H65" i="6"/>
  <c r="I65" i="6"/>
  <c r="B65" i="6"/>
  <c r="C61" i="6"/>
  <c r="C64" i="6" s="1"/>
  <c r="D61" i="6"/>
  <c r="D64" i="6" s="1"/>
  <c r="E61" i="6"/>
  <c r="E64" i="6" s="1"/>
  <c r="F61" i="6"/>
  <c r="F64" i="6" s="1"/>
  <c r="G61" i="6"/>
  <c r="G64" i="6" s="1"/>
  <c r="H61" i="6"/>
  <c r="H64" i="6" s="1"/>
  <c r="I61" i="6"/>
  <c r="I64" i="6" s="1"/>
  <c r="B61" i="6"/>
  <c r="B64" i="6" s="1"/>
  <c r="C60" i="6"/>
  <c r="D60" i="6"/>
  <c r="E60" i="6"/>
  <c r="F60" i="6"/>
  <c r="G60" i="6"/>
  <c r="H60" i="6"/>
  <c r="I60" i="6"/>
  <c r="B60" i="6"/>
  <c r="C58" i="6"/>
  <c r="D58" i="6"/>
  <c r="E58" i="6"/>
  <c r="F58" i="6"/>
  <c r="G58" i="6"/>
  <c r="H58" i="6"/>
  <c r="I58" i="6"/>
  <c r="B58" i="6"/>
  <c r="C50" i="6"/>
  <c r="D50" i="6"/>
  <c r="E50" i="6"/>
  <c r="F50" i="6"/>
  <c r="G50" i="6"/>
  <c r="H50" i="6"/>
  <c r="I50" i="6"/>
  <c r="B50" i="6"/>
  <c r="C47" i="6"/>
  <c r="D47" i="6"/>
  <c r="E47" i="6"/>
  <c r="F47" i="6"/>
  <c r="G47" i="6"/>
  <c r="H47" i="6"/>
  <c r="I47" i="6"/>
  <c r="B47" i="6"/>
  <c r="C46" i="6"/>
  <c r="D46" i="6"/>
  <c r="E46" i="6"/>
  <c r="F46" i="6"/>
  <c r="G46" i="6"/>
  <c r="H46" i="6"/>
  <c r="I46" i="6"/>
  <c r="B46" i="6"/>
  <c r="C42" i="6"/>
  <c r="D42" i="6"/>
  <c r="E42" i="6"/>
  <c r="F42" i="6"/>
  <c r="G42" i="6"/>
  <c r="H42" i="6"/>
  <c r="I42" i="6"/>
  <c r="B42" i="6"/>
  <c r="C41" i="6"/>
  <c r="D41" i="6"/>
  <c r="E41" i="6"/>
  <c r="F41" i="6"/>
  <c r="H41" i="6"/>
  <c r="I41" i="6"/>
  <c r="B41" i="6"/>
  <c r="C40" i="6"/>
  <c r="D40" i="6"/>
  <c r="E40" i="6"/>
  <c r="F40" i="6"/>
  <c r="G40" i="6"/>
  <c r="H40" i="6"/>
  <c r="I40" i="6"/>
  <c r="B40" i="6"/>
  <c r="B39" i="6" s="1"/>
  <c r="C38" i="6"/>
  <c r="D38" i="6"/>
  <c r="E38" i="6"/>
  <c r="F38" i="6"/>
  <c r="G38" i="6"/>
  <c r="H38" i="6"/>
  <c r="I38" i="6"/>
  <c r="B38" i="6"/>
  <c r="C37" i="6"/>
  <c r="D37" i="6"/>
  <c r="E37" i="6"/>
  <c r="F37" i="6"/>
  <c r="G37" i="6"/>
  <c r="H37" i="6"/>
  <c r="I37" i="6"/>
  <c r="B37" i="6"/>
  <c r="C36" i="6"/>
  <c r="D36" i="6"/>
  <c r="E36" i="6"/>
  <c r="F36" i="6"/>
  <c r="G36" i="6"/>
  <c r="H36" i="6"/>
  <c r="I36" i="6"/>
  <c r="B36" i="6"/>
  <c r="C35" i="6"/>
  <c r="D35" i="6"/>
  <c r="E35" i="6"/>
  <c r="F35" i="6"/>
  <c r="G35" i="6"/>
  <c r="H35" i="6"/>
  <c r="I35" i="6"/>
  <c r="B35" i="6"/>
  <c r="C34" i="6"/>
  <c r="D34" i="6"/>
  <c r="E34" i="6"/>
  <c r="F34" i="6"/>
  <c r="G34" i="6"/>
  <c r="H34" i="6"/>
  <c r="I34" i="6"/>
  <c r="B34" i="6"/>
  <c r="C33" i="6"/>
  <c r="D33" i="6"/>
  <c r="E33" i="6"/>
  <c r="E32" i="6" s="1"/>
  <c r="F33" i="6"/>
  <c r="F32" i="6" s="1"/>
  <c r="G33" i="6"/>
  <c r="G32" i="6" s="1"/>
  <c r="H33" i="6"/>
  <c r="H32" i="6" s="1"/>
  <c r="I33" i="6"/>
  <c r="B33" i="6"/>
  <c r="B32" i="6" s="1"/>
  <c r="C30" i="6"/>
  <c r="D30" i="6"/>
  <c r="E30" i="6"/>
  <c r="F30" i="6"/>
  <c r="G30" i="6"/>
  <c r="H30" i="6"/>
  <c r="I30" i="6"/>
  <c r="B30" i="6"/>
  <c r="C29" i="6"/>
  <c r="D29" i="6"/>
  <c r="E29" i="6"/>
  <c r="F29" i="6"/>
  <c r="G29" i="6"/>
  <c r="H29" i="6"/>
  <c r="I29" i="6"/>
  <c r="B29" i="6"/>
  <c r="C28" i="6"/>
  <c r="D28" i="6"/>
  <c r="E28" i="6"/>
  <c r="F28" i="6"/>
  <c r="G28" i="6"/>
  <c r="H28" i="6"/>
  <c r="I28" i="6"/>
  <c r="B28" i="6"/>
  <c r="C27" i="6"/>
  <c r="D27" i="6"/>
  <c r="E27" i="6"/>
  <c r="F27" i="6"/>
  <c r="G27" i="6"/>
  <c r="H27" i="6"/>
  <c r="I27" i="6"/>
  <c r="B27" i="6"/>
  <c r="C26" i="6"/>
  <c r="D26" i="6"/>
  <c r="E26" i="6"/>
  <c r="F26" i="6"/>
  <c r="G26" i="6"/>
  <c r="H26" i="6"/>
  <c r="I26" i="6"/>
  <c r="B26" i="6"/>
  <c r="C23" i="6"/>
  <c r="D23" i="6"/>
  <c r="E23" i="6"/>
  <c r="F23" i="6"/>
  <c r="G23" i="6"/>
  <c r="H23" i="6"/>
  <c r="I23" i="6"/>
  <c r="B23" i="6"/>
  <c r="D51" i="6"/>
  <c r="E51" i="6"/>
  <c r="F51" i="6"/>
  <c r="H51" i="6"/>
  <c r="C21" i="6"/>
  <c r="D21" i="6"/>
  <c r="E21" i="6"/>
  <c r="F21" i="6"/>
  <c r="G21" i="6"/>
  <c r="H21" i="6"/>
  <c r="I21" i="6"/>
  <c r="B21" i="6"/>
  <c r="C19" i="6"/>
  <c r="D19" i="6"/>
  <c r="E19" i="6"/>
  <c r="F19" i="6"/>
  <c r="G19" i="6"/>
  <c r="H19" i="6"/>
  <c r="I19" i="6"/>
  <c r="B19" i="6"/>
  <c r="C15" i="6"/>
  <c r="D15" i="6"/>
  <c r="E15" i="6"/>
  <c r="F15" i="6"/>
  <c r="G15" i="6"/>
  <c r="H15" i="6"/>
  <c r="I15" i="6"/>
  <c r="B15" i="6"/>
  <c r="B18" i="6" s="1"/>
  <c r="C17" i="6"/>
  <c r="D17" i="6"/>
  <c r="E17" i="6"/>
  <c r="F17" i="6"/>
  <c r="G17" i="6"/>
  <c r="H17" i="6"/>
  <c r="I17" i="6"/>
  <c r="B17" i="6"/>
  <c r="C16" i="6"/>
  <c r="D16" i="6"/>
  <c r="E16" i="6"/>
  <c r="F16" i="6"/>
  <c r="G16" i="6"/>
  <c r="H16" i="6"/>
  <c r="I16" i="6"/>
  <c r="B16" i="6"/>
  <c r="C12" i="6"/>
  <c r="C48" i="6" s="1"/>
  <c r="D12" i="6"/>
  <c r="D48" i="6" s="1"/>
  <c r="E12" i="6"/>
  <c r="E48" i="6" s="1"/>
  <c r="F12" i="6"/>
  <c r="F48" i="6" s="1"/>
  <c r="G12" i="6"/>
  <c r="G48" i="6" s="1"/>
  <c r="H12" i="6"/>
  <c r="H48" i="6" s="1"/>
  <c r="I12" i="6"/>
  <c r="I48" i="6" s="1"/>
  <c r="B12" i="6"/>
  <c r="B48" i="6" s="1"/>
  <c r="C11" i="6"/>
  <c r="C14" i="6" s="1"/>
  <c r="D11" i="6"/>
  <c r="D14" i="6" s="1"/>
  <c r="E11" i="6"/>
  <c r="E14" i="6" s="1"/>
  <c r="F11" i="6"/>
  <c r="G11" i="6"/>
  <c r="G14" i="6" s="1"/>
  <c r="H11" i="6"/>
  <c r="H14" i="6" s="1"/>
  <c r="I11" i="6"/>
  <c r="I14" i="6" s="1"/>
  <c r="B11" i="6"/>
  <c r="B14" i="6" s="1"/>
  <c r="C10" i="6"/>
  <c r="D10" i="6"/>
  <c r="E10" i="6"/>
  <c r="F10" i="6"/>
  <c r="G10" i="6"/>
  <c r="H10" i="6"/>
  <c r="I10" i="6"/>
  <c r="B10" i="6"/>
  <c r="C6" i="6"/>
  <c r="D6" i="6"/>
  <c r="E6" i="6"/>
  <c r="F6" i="6"/>
  <c r="G6" i="6"/>
  <c r="H6" i="6"/>
  <c r="I6" i="6"/>
  <c r="B6" i="6"/>
  <c r="C5" i="6"/>
  <c r="D5" i="6"/>
  <c r="D7" i="6" s="1"/>
  <c r="E5" i="6"/>
  <c r="F5" i="6"/>
  <c r="G5" i="6"/>
  <c r="G7" i="6" s="1"/>
  <c r="H5" i="6"/>
  <c r="H7" i="6" s="1"/>
  <c r="I5" i="6"/>
  <c r="I7" i="6" s="1"/>
  <c r="B5" i="6"/>
  <c r="B7" i="6" s="1"/>
  <c r="I18" i="6" l="1"/>
  <c r="I32" i="6"/>
  <c r="C7" i="6"/>
  <c r="F14" i="6"/>
  <c r="F18" i="6"/>
  <c r="D32" i="6"/>
  <c r="F7" i="6"/>
  <c r="G8" i="6" s="1"/>
  <c r="G18" i="6"/>
  <c r="B43" i="6"/>
  <c r="D54" i="6"/>
  <c r="D55" i="6" s="1"/>
  <c r="D49" i="6"/>
  <c r="D53" i="6" s="1"/>
  <c r="H31" i="6"/>
  <c r="E54" i="6"/>
  <c r="E55" i="6" s="1"/>
  <c r="E49" i="6"/>
  <c r="E53" i="6" s="1"/>
  <c r="I39" i="6"/>
  <c r="C49" i="6"/>
  <c r="E18" i="6"/>
  <c r="E31" i="6"/>
  <c r="H70" i="6"/>
  <c r="H39" i="6"/>
  <c r="B49" i="6"/>
  <c r="B53" i="6" s="1"/>
  <c r="B54" i="6"/>
  <c r="B55" i="6" s="1"/>
  <c r="F31" i="6"/>
  <c r="I49" i="6"/>
  <c r="C18" i="6"/>
  <c r="F70" i="6"/>
  <c r="H54" i="6"/>
  <c r="H55" i="6" s="1"/>
  <c r="H49" i="6"/>
  <c r="H53" i="6" s="1"/>
  <c r="C32" i="6"/>
  <c r="G49" i="6"/>
  <c r="F54" i="6"/>
  <c r="F55" i="6" s="1"/>
  <c r="F49" i="6"/>
  <c r="F53" i="6" s="1"/>
  <c r="C31" i="6"/>
  <c r="G51" i="6"/>
  <c r="G54" i="6" s="1"/>
  <c r="E70" i="6"/>
  <c r="E39" i="6"/>
  <c r="E43" i="6" s="1"/>
  <c r="G31" i="6"/>
  <c r="D70" i="6"/>
  <c r="I31" i="6"/>
  <c r="D18" i="6"/>
  <c r="D31" i="6"/>
  <c r="C70" i="6"/>
  <c r="C39" i="6"/>
  <c r="B31" i="6"/>
  <c r="C51" i="6"/>
  <c r="I70" i="6"/>
  <c r="F39" i="6"/>
  <c r="F43" i="6" s="1"/>
  <c r="E7" i="6"/>
  <c r="H18" i="6"/>
  <c r="I51" i="6"/>
  <c r="B70" i="6"/>
  <c r="G70" i="6"/>
  <c r="G39" i="6"/>
  <c r="G43" i="6" s="1"/>
  <c r="D39" i="6"/>
  <c r="D8" i="6"/>
  <c r="I8" i="6"/>
  <c r="C8" i="6"/>
  <c r="B8" i="6"/>
  <c r="H8" i="6"/>
  <c r="C3" i="6"/>
  <c r="D3" i="6"/>
  <c r="D24" i="6" s="1"/>
  <c r="E3" i="6"/>
  <c r="F3" i="6"/>
  <c r="G3" i="6"/>
  <c r="G9" i="6" s="1"/>
  <c r="H3" i="6"/>
  <c r="I3" i="6"/>
  <c r="B3" i="6"/>
  <c r="B4" i="6" s="1"/>
  <c r="H1" i="6"/>
  <c r="G1" i="6" s="1"/>
  <c r="F1" i="6" s="1"/>
  <c r="E1" i="6" s="1"/>
  <c r="D1" i="6" s="1"/>
  <c r="C1" i="6" s="1"/>
  <c r="B1" i="6" s="1"/>
  <c r="I44" i="6" l="1"/>
  <c r="D43" i="6"/>
  <c r="B44" i="6"/>
  <c r="F8" i="6"/>
  <c r="D44" i="6"/>
  <c r="E44" i="6"/>
  <c r="C67" i="6"/>
  <c r="C68" i="6" s="1"/>
  <c r="B69" i="6"/>
  <c r="G55" i="6"/>
  <c r="H4" i="6"/>
  <c r="G44" i="6"/>
  <c r="C54" i="6"/>
  <c r="C55" i="6" s="1"/>
  <c r="H44" i="6"/>
  <c r="C53" i="6"/>
  <c r="E8" i="6"/>
  <c r="G53" i="6"/>
  <c r="I53" i="6"/>
  <c r="F4" i="6"/>
  <c r="C43" i="6"/>
  <c r="C44" i="6" s="1"/>
  <c r="I54" i="6"/>
  <c r="I55" i="6" s="1"/>
  <c r="C4" i="6"/>
  <c r="F44" i="6"/>
  <c r="D9" i="6"/>
  <c r="E4" i="6"/>
  <c r="I4" i="6"/>
  <c r="C9" i="6"/>
  <c r="I9" i="6"/>
  <c r="B24" i="6"/>
  <c r="F9" i="6"/>
  <c r="C24" i="6"/>
  <c r="E24" i="6"/>
  <c r="G4" i="6"/>
  <c r="H24" i="6"/>
  <c r="H9" i="6"/>
  <c r="E9" i="6"/>
  <c r="F24" i="6"/>
  <c r="B9" i="6"/>
  <c r="D4" i="6"/>
  <c r="I24" i="6"/>
  <c r="G24" i="6"/>
  <c r="B187" i="3"/>
  <c r="K19" i="3" l="1"/>
  <c r="L19" i="3"/>
  <c r="M19" i="3"/>
  <c r="N19" i="3"/>
  <c r="J19" i="3"/>
  <c r="D67" i="6" l="1"/>
  <c r="D68" i="6" s="1"/>
  <c r="C69" i="6"/>
  <c r="K193" i="3"/>
  <c r="L193" i="3"/>
  <c r="M193" i="3"/>
  <c r="N193" i="3"/>
  <c r="J193" i="3"/>
  <c r="K196" i="3"/>
  <c r="L196" i="3" s="1"/>
  <c r="M196" i="3" s="1"/>
  <c r="N196" i="3" s="1"/>
  <c r="J196" i="3"/>
  <c r="K200" i="3"/>
  <c r="L200" i="3"/>
  <c r="M200" i="3"/>
  <c r="N200" i="3"/>
  <c r="J200" i="3"/>
  <c r="C200" i="3"/>
  <c r="D200" i="3"/>
  <c r="E200" i="3"/>
  <c r="F200" i="3"/>
  <c r="G200" i="3"/>
  <c r="H200" i="3"/>
  <c r="I200" i="3"/>
  <c r="B200" i="3"/>
  <c r="K188" i="3"/>
  <c r="L188" i="3"/>
  <c r="M188" i="3"/>
  <c r="N188" i="3"/>
  <c r="J188" i="3"/>
  <c r="J187" i="3" s="1"/>
  <c r="F179" i="3"/>
  <c r="B179" i="3"/>
  <c r="K167" i="3"/>
  <c r="L167" i="3"/>
  <c r="M167" i="3"/>
  <c r="N167" i="3"/>
  <c r="J167" i="3"/>
  <c r="J166" i="3" s="1"/>
  <c r="K166" i="3" s="1"/>
  <c r="K146" i="3"/>
  <c r="L146" i="3"/>
  <c r="M146" i="3"/>
  <c r="N146" i="3"/>
  <c r="J146" i="3"/>
  <c r="J145" i="3" s="1"/>
  <c r="K145" i="3" s="1"/>
  <c r="K125" i="3"/>
  <c r="L125" i="3"/>
  <c r="M125" i="3"/>
  <c r="N125" i="3"/>
  <c r="J125" i="3"/>
  <c r="K121" i="3"/>
  <c r="L121" i="3"/>
  <c r="M121" i="3"/>
  <c r="N121" i="3"/>
  <c r="J121" i="3"/>
  <c r="K117" i="3"/>
  <c r="L117" i="3"/>
  <c r="M117" i="3"/>
  <c r="N117" i="3"/>
  <c r="J117" i="3"/>
  <c r="K94" i="3"/>
  <c r="L94" i="3"/>
  <c r="M94" i="3"/>
  <c r="N94" i="3"/>
  <c r="J94" i="3"/>
  <c r="K90" i="3"/>
  <c r="L90" i="3"/>
  <c r="M90" i="3"/>
  <c r="N90" i="3"/>
  <c r="J90" i="3"/>
  <c r="K86" i="3"/>
  <c r="L86" i="3"/>
  <c r="M86" i="3"/>
  <c r="N86" i="3"/>
  <c r="J86" i="3"/>
  <c r="K63" i="3"/>
  <c r="L63" i="3"/>
  <c r="M63" i="3"/>
  <c r="N63" i="3"/>
  <c r="J63" i="3"/>
  <c r="K59" i="3"/>
  <c r="L59" i="3"/>
  <c r="M59" i="3"/>
  <c r="N59" i="3"/>
  <c r="J59" i="3"/>
  <c r="K55" i="3"/>
  <c r="L55" i="3"/>
  <c r="M55" i="3"/>
  <c r="N55" i="3"/>
  <c r="J55" i="3"/>
  <c r="C204" i="3"/>
  <c r="D204" i="3"/>
  <c r="E204" i="3"/>
  <c r="F204" i="3"/>
  <c r="G204" i="3"/>
  <c r="H204" i="3"/>
  <c r="I204" i="3"/>
  <c r="B204" i="3"/>
  <c r="C183" i="3"/>
  <c r="D183" i="3"/>
  <c r="E183" i="3"/>
  <c r="E184" i="3" s="1"/>
  <c r="F183" i="3"/>
  <c r="G183" i="3"/>
  <c r="H183" i="3"/>
  <c r="I183" i="3"/>
  <c r="I184" i="3" s="1"/>
  <c r="B183" i="3"/>
  <c r="C162" i="3"/>
  <c r="D162" i="3"/>
  <c r="E162" i="3"/>
  <c r="F162" i="3"/>
  <c r="G162" i="3"/>
  <c r="H162" i="3"/>
  <c r="I162" i="3"/>
  <c r="B162" i="3"/>
  <c r="B163" i="3" s="1"/>
  <c r="C141" i="3"/>
  <c r="B141" i="3"/>
  <c r="B142" i="3" s="1"/>
  <c r="E141" i="3"/>
  <c r="F141" i="3"/>
  <c r="G141" i="3"/>
  <c r="H141" i="3"/>
  <c r="I141" i="3"/>
  <c r="D141" i="3"/>
  <c r="C110" i="3"/>
  <c r="D110" i="3"/>
  <c r="E110" i="3"/>
  <c r="F110" i="3"/>
  <c r="F111" i="3" s="1"/>
  <c r="G110" i="3"/>
  <c r="H110" i="3"/>
  <c r="I110" i="3"/>
  <c r="B110" i="3"/>
  <c r="B111" i="3" s="1"/>
  <c r="C79" i="3"/>
  <c r="B79" i="3"/>
  <c r="B80" i="3" s="1"/>
  <c r="E79" i="3"/>
  <c r="F79" i="3"/>
  <c r="F80" i="3" s="1"/>
  <c r="G79" i="3"/>
  <c r="H79" i="3"/>
  <c r="I79" i="3"/>
  <c r="D79" i="3"/>
  <c r="C189" i="3"/>
  <c r="D189" i="3"/>
  <c r="E189" i="3"/>
  <c r="F189" i="3"/>
  <c r="G189" i="3"/>
  <c r="H189" i="3"/>
  <c r="I189" i="3"/>
  <c r="B189" i="3"/>
  <c r="C168" i="3"/>
  <c r="D168" i="3"/>
  <c r="E168" i="3"/>
  <c r="F168" i="3"/>
  <c r="G168" i="3"/>
  <c r="H168" i="3"/>
  <c r="I168" i="3"/>
  <c r="B168" i="3"/>
  <c r="C147" i="3"/>
  <c r="D147" i="3"/>
  <c r="E147" i="3"/>
  <c r="F147" i="3"/>
  <c r="G147" i="3"/>
  <c r="H147" i="3"/>
  <c r="I147" i="3"/>
  <c r="B147" i="3"/>
  <c r="C126" i="3"/>
  <c r="D126" i="3"/>
  <c r="E126" i="3"/>
  <c r="F126" i="3"/>
  <c r="G126" i="3"/>
  <c r="H126" i="3"/>
  <c r="I126" i="3"/>
  <c r="B126" i="3"/>
  <c r="C122" i="3"/>
  <c r="D122" i="3"/>
  <c r="E122" i="3"/>
  <c r="F122" i="3"/>
  <c r="G122" i="3"/>
  <c r="H122" i="3"/>
  <c r="I122" i="3"/>
  <c r="B122" i="3"/>
  <c r="C118" i="3"/>
  <c r="D118" i="3"/>
  <c r="E118" i="3"/>
  <c r="F118" i="3"/>
  <c r="G118" i="3"/>
  <c r="H118" i="3"/>
  <c r="I118" i="3"/>
  <c r="B118" i="3"/>
  <c r="C95" i="3"/>
  <c r="D95" i="3"/>
  <c r="E95" i="3"/>
  <c r="F95" i="3"/>
  <c r="G95" i="3"/>
  <c r="H95" i="3"/>
  <c r="I95" i="3"/>
  <c r="B95" i="3"/>
  <c r="C91" i="3"/>
  <c r="D91" i="3"/>
  <c r="E91" i="3"/>
  <c r="F91" i="3"/>
  <c r="G91" i="3"/>
  <c r="H91" i="3"/>
  <c r="I91" i="3"/>
  <c r="B91" i="3"/>
  <c r="C87" i="3"/>
  <c r="D87" i="3"/>
  <c r="E87" i="3"/>
  <c r="F87" i="3"/>
  <c r="G87" i="3"/>
  <c r="H87" i="3"/>
  <c r="I87" i="3"/>
  <c r="B87" i="3"/>
  <c r="C64" i="3"/>
  <c r="D64" i="3"/>
  <c r="E64" i="3"/>
  <c r="F64" i="3"/>
  <c r="G64" i="3"/>
  <c r="H64" i="3"/>
  <c r="I64" i="3"/>
  <c r="B64" i="3"/>
  <c r="C60" i="3"/>
  <c r="D60" i="3"/>
  <c r="E60" i="3"/>
  <c r="F60" i="3"/>
  <c r="G60" i="3"/>
  <c r="H60" i="3"/>
  <c r="I60" i="3"/>
  <c r="B60" i="3"/>
  <c r="C56" i="3"/>
  <c r="D56" i="3"/>
  <c r="E56" i="3"/>
  <c r="F56" i="3"/>
  <c r="G56" i="3"/>
  <c r="H56" i="3"/>
  <c r="I56" i="3"/>
  <c r="B56" i="3"/>
  <c r="C197" i="3"/>
  <c r="D197" i="3"/>
  <c r="E197" i="3"/>
  <c r="F197" i="3"/>
  <c r="G197" i="3"/>
  <c r="H197" i="3"/>
  <c r="I197" i="3"/>
  <c r="B197" i="3"/>
  <c r="C194" i="3"/>
  <c r="C195" i="3" s="1"/>
  <c r="D194" i="3"/>
  <c r="D195" i="3" s="1"/>
  <c r="E194" i="3"/>
  <c r="E195" i="3" s="1"/>
  <c r="F194" i="3"/>
  <c r="F195" i="3" s="1"/>
  <c r="G194" i="3"/>
  <c r="G195" i="3" s="1"/>
  <c r="H194" i="3"/>
  <c r="H195" i="3" s="1"/>
  <c r="I194" i="3"/>
  <c r="I195" i="3" s="1"/>
  <c r="B194" i="3"/>
  <c r="B195" i="3" s="1"/>
  <c r="C191" i="3"/>
  <c r="C193" i="3" s="1"/>
  <c r="D191" i="3"/>
  <c r="D193" i="3" s="1"/>
  <c r="E191" i="3"/>
  <c r="E193" i="3" s="1"/>
  <c r="F191" i="3"/>
  <c r="F193" i="3" s="1"/>
  <c r="G191" i="3"/>
  <c r="G193" i="3" s="1"/>
  <c r="H191" i="3"/>
  <c r="H193" i="3" s="1"/>
  <c r="I191" i="3"/>
  <c r="I193" i="3" s="1"/>
  <c r="B191" i="3"/>
  <c r="C187" i="3"/>
  <c r="D187" i="3"/>
  <c r="E187" i="3"/>
  <c r="F187" i="3"/>
  <c r="G187" i="3"/>
  <c r="H187" i="3"/>
  <c r="I187" i="3"/>
  <c r="C176" i="3"/>
  <c r="C179" i="3" s="1"/>
  <c r="D176" i="3"/>
  <c r="D179" i="3" s="1"/>
  <c r="E176" i="3"/>
  <c r="E179" i="3" s="1"/>
  <c r="F176" i="3"/>
  <c r="G176" i="3"/>
  <c r="G179" i="3" s="1"/>
  <c r="H176" i="3"/>
  <c r="H179" i="3" s="1"/>
  <c r="I176" i="3"/>
  <c r="I179" i="3" s="1"/>
  <c r="J179" i="3" s="1"/>
  <c r="B176" i="3"/>
  <c r="C173" i="3"/>
  <c r="D173" i="3"/>
  <c r="E173" i="3"/>
  <c r="F173" i="3"/>
  <c r="G173" i="3"/>
  <c r="H173" i="3"/>
  <c r="I173" i="3"/>
  <c r="B173" i="3"/>
  <c r="C170" i="3"/>
  <c r="D170" i="3"/>
  <c r="E170" i="3"/>
  <c r="F170" i="3"/>
  <c r="G170" i="3"/>
  <c r="G180" i="3" s="1"/>
  <c r="H170" i="3"/>
  <c r="I170" i="3"/>
  <c r="B170" i="3"/>
  <c r="C166" i="3"/>
  <c r="D166" i="3"/>
  <c r="E166" i="3"/>
  <c r="F166" i="3"/>
  <c r="G166" i="3"/>
  <c r="H166" i="3"/>
  <c r="I166" i="3"/>
  <c r="B166" i="3"/>
  <c r="C155" i="3"/>
  <c r="C158" i="3" s="1"/>
  <c r="D155" i="3"/>
  <c r="D158" i="3" s="1"/>
  <c r="E155" i="3"/>
  <c r="E158" i="3" s="1"/>
  <c r="F155" i="3"/>
  <c r="F158" i="3" s="1"/>
  <c r="G155" i="3"/>
  <c r="G158" i="3" s="1"/>
  <c r="H155" i="3"/>
  <c r="H158" i="3" s="1"/>
  <c r="I155" i="3"/>
  <c r="I158" i="3" s="1"/>
  <c r="J158" i="3" s="1"/>
  <c r="B155" i="3"/>
  <c r="B158" i="3" s="1"/>
  <c r="C152" i="3"/>
  <c r="D152" i="3"/>
  <c r="E152" i="3"/>
  <c r="F152" i="3"/>
  <c r="G152" i="3"/>
  <c r="H152" i="3"/>
  <c r="I152" i="3"/>
  <c r="B152" i="3"/>
  <c r="B153" i="3" s="1"/>
  <c r="C149" i="3"/>
  <c r="C159" i="3" s="1"/>
  <c r="D149" i="3"/>
  <c r="D159" i="3" s="1"/>
  <c r="E149" i="3"/>
  <c r="E159" i="3" s="1"/>
  <c r="F149" i="3"/>
  <c r="G149" i="3"/>
  <c r="G159" i="3" s="1"/>
  <c r="H149" i="3"/>
  <c r="H159" i="3" s="1"/>
  <c r="I149" i="3"/>
  <c r="I159" i="3" s="1"/>
  <c r="B149" i="3"/>
  <c r="B159" i="3" s="1"/>
  <c r="C145" i="3"/>
  <c r="D145" i="3"/>
  <c r="E145" i="3"/>
  <c r="F145" i="3"/>
  <c r="F157" i="3" s="1"/>
  <c r="G145" i="3"/>
  <c r="H145" i="3"/>
  <c r="I145" i="3"/>
  <c r="B145" i="3"/>
  <c r="B146" i="3" s="1"/>
  <c r="B138" i="3"/>
  <c r="B139" i="3" s="1"/>
  <c r="B131" i="3"/>
  <c r="B134" i="3" s="1"/>
  <c r="D131" i="3"/>
  <c r="D134" i="3" s="1"/>
  <c r="E131" i="3"/>
  <c r="E134" i="3" s="1"/>
  <c r="F131" i="3"/>
  <c r="F134" i="3" s="1"/>
  <c r="G131" i="3"/>
  <c r="H131" i="3"/>
  <c r="H134" i="3" s="1"/>
  <c r="I131" i="3"/>
  <c r="I134" i="3" s="1"/>
  <c r="J134" i="3" s="1"/>
  <c r="C131" i="3"/>
  <c r="C134" i="3" s="1"/>
  <c r="D138" i="3"/>
  <c r="E138" i="3"/>
  <c r="F138" i="3"/>
  <c r="G138" i="3"/>
  <c r="H138" i="3"/>
  <c r="I138" i="3"/>
  <c r="C138" i="3"/>
  <c r="B135" i="3"/>
  <c r="B136" i="3" s="1"/>
  <c r="D135" i="3"/>
  <c r="E135" i="3"/>
  <c r="F135" i="3"/>
  <c r="G135" i="3"/>
  <c r="H135" i="3"/>
  <c r="I135" i="3"/>
  <c r="C135" i="3"/>
  <c r="C124" i="3"/>
  <c r="B124" i="3"/>
  <c r="B125" i="3" s="1"/>
  <c r="E124" i="3"/>
  <c r="F124" i="3"/>
  <c r="G124" i="3"/>
  <c r="H124" i="3"/>
  <c r="I124" i="3"/>
  <c r="D124" i="3"/>
  <c r="C120" i="3"/>
  <c r="B120" i="3"/>
  <c r="B121" i="3" s="1"/>
  <c r="E120" i="3"/>
  <c r="F120" i="3"/>
  <c r="G120" i="3"/>
  <c r="H120" i="3"/>
  <c r="I120" i="3"/>
  <c r="J120" i="3" s="1"/>
  <c r="K120" i="3" s="1"/>
  <c r="L120" i="3" s="1"/>
  <c r="M120" i="3" s="1"/>
  <c r="N120" i="3" s="1"/>
  <c r="D120" i="3"/>
  <c r="C116" i="3"/>
  <c r="B116" i="3"/>
  <c r="B117" i="3" s="1"/>
  <c r="E116" i="3"/>
  <c r="F116" i="3"/>
  <c r="G116" i="3"/>
  <c r="H116" i="3"/>
  <c r="I116" i="3"/>
  <c r="J116" i="3" s="1"/>
  <c r="D116" i="3"/>
  <c r="C114" i="3"/>
  <c r="B114" i="3"/>
  <c r="B115" i="3" s="1"/>
  <c r="E114" i="3"/>
  <c r="F114" i="3"/>
  <c r="G114" i="3"/>
  <c r="H114" i="3"/>
  <c r="I114" i="3"/>
  <c r="D114" i="3"/>
  <c r="C100" i="3"/>
  <c r="C103" i="3" s="1"/>
  <c r="D100" i="3"/>
  <c r="D103" i="3" s="1"/>
  <c r="E100" i="3"/>
  <c r="E103" i="3" s="1"/>
  <c r="F100" i="3"/>
  <c r="F103" i="3" s="1"/>
  <c r="G100" i="3"/>
  <c r="G103" i="3" s="1"/>
  <c r="H100" i="3"/>
  <c r="H103" i="3" s="1"/>
  <c r="I100" i="3"/>
  <c r="I103" i="3" s="1"/>
  <c r="J103" i="3" s="1"/>
  <c r="B100" i="3"/>
  <c r="B103" i="3" s="1"/>
  <c r="C107" i="3"/>
  <c r="D107" i="3"/>
  <c r="E107" i="3"/>
  <c r="F107" i="3"/>
  <c r="G107" i="3"/>
  <c r="H107" i="3"/>
  <c r="I107" i="3"/>
  <c r="B107" i="3"/>
  <c r="C104" i="3"/>
  <c r="C97" i="3" s="1"/>
  <c r="D104" i="3"/>
  <c r="D97" i="3" s="1"/>
  <c r="E104" i="3"/>
  <c r="F104" i="3"/>
  <c r="F97" i="3" s="1"/>
  <c r="G104" i="3"/>
  <c r="G97" i="3" s="1"/>
  <c r="H104" i="3"/>
  <c r="H97" i="3" s="1"/>
  <c r="I104" i="3"/>
  <c r="B104" i="3"/>
  <c r="B97" i="3" s="1"/>
  <c r="B76" i="3"/>
  <c r="B77" i="3" s="1"/>
  <c r="D76" i="3"/>
  <c r="E76" i="3"/>
  <c r="F76" i="3"/>
  <c r="G76" i="3"/>
  <c r="H76" i="3"/>
  <c r="I76" i="3"/>
  <c r="C76" i="3"/>
  <c r="B69" i="3"/>
  <c r="B72" i="3" s="1"/>
  <c r="D69" i="3"/>
  <c r="D72" i="3" s="1"/>
  <c r="E69" i="3"/>
  <c r="E72" i="3" s="1"/>
  <c r="F69" i="3"/>
  <c r="F72" i="3" s="1"/>
  <c r="G69" i="3"/>
  <c r="G72" i="3" s="1"/>
  <c r="H69" i="3"/>
  <c r="H72" i="3" s="1"/>
  <c r="I69" i="3"/>
  <c r="I72" i="3" s="1"/>
  <c r="J72" i="3" s="1"/>
  <c r="C69" i="3"/>
  <c r="B73" i="3"/>
  <c r="B66" i="3" s="1"/>
  <c r="D73" i="3"/>
  <c r="E73" i="3"/>
  <c r="F73" i="3"/>
  <c r="G73" i="3"/>
  <c r="H73" i="3"/>
  <c r="H66" i="3" s="1"/>
  <c r="I73" i="3"/>
  <c r="C73" i="3"/>
  <c r="C93" i="3"/>
  <c r="D93" i="3"/>
  <c r="E93" i="3"/>
  <c r="F93" i="3"/>
  <c r="G93" i="3"/>
  <c r="H93" i="3"/>
  <c r="I93" i="3"/>
  <c r="B93" i="3"/>
  <c r="B94" i="3" s="1"/>
  <c r="B96" i="3" s="1"/>
  <c r="C89" i="3"/>
  <c r="D89" i="3"/>
  <c r="E89" i="3"/>
  <c r="F89" i="3"/>
  <c r="G89" i="3"/>
  <c r="H89" i="3"/>
  <c r="I89" i="3"/>
  <c r="B89" i="3"/>
  <c r="B90" i="3" s="1"/>
  <c r="B92" i="3" s="1"/>
  <c r="C85" i="3"/>
  <c r="D85" i="3"/>
  <c r="E85" i="3"/>
  <c r="F85" i="3"/>
  <c r="G85" i="3"/>
  <c r="H85" i="3"/>
  <c r="I85" i="3"/>
  <c r="J85" i="3" s="1"/>
  <c r="B85" i="3"/>
  <c r="B86" i="3" s="1"/>
  <c r="B88" i="3" s="1"/>
  <c r="C83" i="3"/>
  <c r="D83" i="3"/>
  <c r="E83" i="3"/>
  <c r="F83" i="3"/>
  <c r="G83" i="3"/>
  <c r="H83" i="3"/>
  <c r="I83" i="3"/>
  <c r="B83" i="3"/>
  <c r="C62" i="3"/>
  <c r="B62" i="3"/>
  <c r="B63" i="3" s="1"/>
  <c r="E62" i="3"/>
  <c r="F62" i="3"/>
  <c r="G62" i="3"/>
  <c r="H62" i="3"/>
  <c r="I62" i="3"/>
  <c r="J62" i="3" s="1"/>
  <c r="K62" i="3" s="1"/>
  <c r="D62" i="3"/>
  <c r="C58" i="3"/>
  <c r="B58" i="3"/>
  <c r="B59" i="3" s="1"/>
  <c r="E58" i="3"/>
  <c r="F58" i="3"/>
  <c r="G58" i="3"/>
  <c r="H58" i="3"/>
  <c r="I58" i="3"/>
  <c r="D58" i="3"/>
  <c r="C54" i="3"/>
  <c r="B54" i="3"/>
  <c r="E54" i="3"/>
  <c r="F54" i="3"/>
  <c r="G54" i="3"/>
  <c r="H54" i="3"/>
  <c r="I54" i="3"/>
  <c r="J52" i="3" s="1"/>
  <c r="D54" i="3"/>
  <c r="C52" i="3"/>
  <c r="B52" i="3"/>
  <c r="B53" i="3" s="1"/>
  <c r="E52" i="3"/>
  <c r="F52" i="3"/>
  <c r="G52" i="3"/>
  <c r="H52" i="3"/>
  <c r="I52" i="3"/>
  <c r="D52" i="3"/>
  <c r="G178" i="3"/>
  <c r="H201" i="3"/>
  <c r="E97" i="3"/>
  <c r="E99" i="3" s="1"/>
  <c r="K187" i="3" l="1"/>
  <c r="L187" i="3" s="1"/>
  <c r="M187" i="3" s="1"/>
  <c r="N187" i="3" s="1"/>
  <c r="L166" i="3"/>
  <c r="M166" i="3" s="1"/>
  <c r="N166" i="3" s="1"/>
  <c r="L145" i="3"/>
  <c r="M145" i="3" s="1"/>
  <c r="N145" i="3" s="1"/>
  <c r="J124" i="3"/>
  <c r="K124" i="3" s="1"/>
  <c r="L124" i="3" s="1"/>
  <c r="M124" i="3" s="1"/>
  <c r="N124" i="3" s="1"/>
  <c r="J93" i="3"/>
  <c r="K93" i="3" s="1"/>
  <c r="L93" i="3" s="1"/>
  <c r="M93" i="3" s="1"/>
  <c r="N93" i="3" s="1"/>
  <c r="J89" i="3"/>
  <c r="K89" i="3" s="1"/>
  <c r="L89" i="3" s="1"/>
  <c r="M89" i="3" s="1"/>
  <c r="N89" i="3" s="1"/>
  <c r="L62" i="3"/>
  <c r="M62" i="3" s="1"/>
  <c r="N62" i="3" s="1"/>
  <c r="J58" i="3"/>
  <c r="K58" i="3" s="1"/>
  <c r="L58" i="3" s="1"/>
  <c r="M58" i="3" s="1"/>
  <c r="E67" i="6"/>
  <c r="E68" i="6" s="1"/>
  <c r="D69" i="6"/>
  <c r="K179" i="3"/>
  <c r="K158" i="3"/>
  <c r="J183" i="3"/>
  <c r="J184" i="3" s="1"/>
  <c r="G134" i="3"/>
  <c r="D185" i="3"/>
  <c r="K134" i="3"/>
  <c r="C72" i="3"/>
  <c r="F163" i="3"/>
  <c r="F184" i="3"/>
  <c r="K103" i="3"/>
  <c r="J114" i="3"/>
  <c r="K116" i="3"/>
  <c r="H185" i="3"/>
  <c r="G184" i="3"/>
  <c r="C184" i="3"/>
  <c r="K85" i="3"/>
  <c r="J83" i="3"/>
  <c r="K72" i="3"/>
  <c r="B185" i="3"/>
  <c r="I185" i="3"/>
  <c r="J185" i="3" s="1"/>
  <c r="K185" i="3" s="1"/>
  <c r="L185" i="3" s="1"/>
  <c r="M185" i="3" s="1"/>
  <c r="N185" i="3" s="1"/>
  <c r="F206" i="3"/>
  <c r="C206" i="3"/>
  <c r="I206" i="3"/>
  <c r="J206" i="3" s="1"/>
  <c r="E206" i="3"/>
  <c r="J54" i="3"/>
  <c r="G206" i="3"/>
  <c r="E185" i="3"/>
  <c r="H206" i="3"/>
  <c r="D206" i="3"/>
  <c r="J53" i="3"/>
  <c r="I205" i="3"/>
  <c r="B184" i="3"/>
  <c r="H205" i="3"/>
  <c r="D205" i="3"/>
  <c r="G185" i="3"/>
  <c r="C185" i="3"/>
  <c r="G205" i="3"/>
  <c r="C205" i="3"/>
  <c r="E205" i="3"/>
  <c r="H163" i="3"/>
  <c r="D163" i="3"/>
  <c r="H184" i="3"/>
  <c r="D184" i="3"/>
  <c r="F185" i="3"/>
  <c r="B205" i="3"/>
  <c r="F205" i="3"/>
  <c r="I163" i="3"/>
  <c r="E163" i="3"/>
  <c r="G163" i="3"/>
  <c r="B164" i="3"/>
  <c r="F164" i="3"/>
  <c r="I164" i="3"/>
  <c r="J164" i="3" s="1"/>
  <c r="K164" i="3" s="1"/>
  <c r="L164" i="3" s="1"/>
  <c r="M164" i="3" s="1"/>
  <c r="N164" i="3" s="1"/>
  <c r="E164" i="3"/>
  <c r="H164" i="3"/>
  <c r="D164" i="3"/>
  <c r="C163" i="3"/>
  <c r="G164" i="3"/>
  <c r="C164" i="3"/>
  <c r="F143" i="3"/>
  <c r="I143" i="3"/>
  <c r="J143" i="3" s="1"/>
  <c r="K143" i="3" s="1"/>
  <c r="L143" i="3" s="1"/>
  <c r="M143" i="3" s="1"/>
  <c r="N143" i="3" s="1"/>
  <c r="E143" i="3"/>
  <c r="B65" i="3"/>
  <c r="G142" i="3"/>
  <c r="C157" i="3"/>
  <c r="G154" i="3"/>
  <c r="I142" i="3"/>
  <c r="C99" i="3"/>
  <c r="H142" i="3"/>
  <c r="B143" i="3"/>
  <c r="C142" i="3"/>
  <c r="D80" i="3"/>
  <c r="D142" i="3"/>
  <c r="F142" i="3"/>
  <c r="H143" i="3"/>
  <c r="D143" i="3"/>
  <c r="D84" i="3"/>
  <c r="H86" i="3"/>
  <c r="H88" i="3" s="1"/>
  <c r="D86" i="3"/>
  <c r="D88" i="3" s="1"/>
  <c r="H90" i="3"/>
  <c r="H92" i="3" s="1"/>
  <c r="H94" i="3"/>
  <c r="H96" i="3" s="1"/>
  <c r="D94" i="3"/>
  <c r="D96" i="3" s="1"/>
  <c r="H117" i="3"/>
  <c r="H119" i="3" s="1"/>
  <c r="H121" i="3"/>
  <c r="H123" i="3" s="1"/>
  <c r="B123" i="3"/>
  <c r="H125" i="3"/>
  <c r="H127" i="3" s="1"/>
  <c r="H146" i="3"/>
  <c r="H148" i="3" s="1"/>
  <c r="D146" i="3"/>
  <c r="D148" i="3" s="1"/>
  <c r="I80" i="3"/>
  <c r="E142" i="3"/>
  <c r="G143" i="3"/>
  <c r="C143" i="3"/>
  <c r="G99" i="3"/>
  <c r="C154" i="3"/>
  <c r="G157" i="3"/>
  <c r="F55" i="3"/>
  <c r="F57" i="3" s="1"/>
  <c r="G53" i="3"/>
  <c r="D59" i="3"/>
  <c r="D61" i="3" s="1"/>
  <c r="G63" i="3"/>
  <c r="G65" i="3" s="1"/>
  <c r="C84" i="3"/>
  <c r="C74" i="3"/>
  <c r="C77" i="3"/>
  <c r="D115" i="3"/>
  <c r="D121" i="3"/>
  <c r="D123" i="3" s="1"/>
  <c r="C137" i="3"/>
  <c r="F132" i="3"/>
  <c r="B112" i="3"/>
  <c r="F112" i="3"/>
  <c r="I111" i="3"/>
  <c r="E111" i="3"/>
  <c r="I112" i="3"/>
  <c r="J112" i="3" s="1"/>
  <c r="K112" i="3" s="1"/>
  <c r="L112" i="3" s="1"/>
  <c r="M112" i="3" s="1"/>
  <c r="N112" i="3" s="1"/>
  <c r="E112" i="3"/>
  <c r="H80" i="3"/>
  <c r="H111" i="3"/>
  <c r="D111" i="3"/>
  <c r="H112" i="3"/>
  <c r="D112" i="3"/>
  <c r="H157" i="3"/>
  <c r="G111" i="3"/>
  <c r="C111" i="3"/>
  <c r="G112" i="3"/>
  <c r="C112" i="3"/>
  <c r="F66" i="3"/>
  <c r="F68" i="3" s="1"/>
  <c r="B68" i="3"/>
  <c r="E146" i="3"/>
  <c r="E148" i="3" s="1"/>
  <c r="E80" i="3"/>
  <c r="E117" i="3"/>
  <c r="E119" i="3" s="1"/>
  <c r="E125" i="3"/>
  <c r="E127" i="3" s="1"/>
  <c r="F136" i="3"/>
  <c r="B161" i="3"/>
  <c r="B99" i="3"/>
  <c r="B157" i="3"/>
  <c r="B81" i="3"/>
  <c r="F81" i="3"/>
  <c r="C66" i="3"/>
  <c r="C68" i="3" s="1"/>
  <c r="E121" i="3"/>
  <c r="E123" i="3" s="1"/>
  <c r="F59" i="3"/>
  <c r="F61" i="3" s="1"/>
  <c r="F63" i="3"/>
  <c r="F65" i="3" s="1"/>
  <c r="I81" i="3"/>
  <c r="J81" i="3" s="1"/>
  <c r="E81" i="3"/>
  <c r="F99" i="3"/>
  <c r="D75" i="3"/>
  <c r="D78" i="3"/>
  <c r="H81" i="3"/>
  <c r="D81" i="3"/>
  <c r="F53" i="3"/>
  <c r="B84" i="3"/>
  <c r="F128" i="3"/>
  <c r="F130" i="3" s="1"/>
  <c r="D117" i="3"/>
  <c r="D119" i="3" s="1"/>
  <c r="D53" i="3"/>
  <c r="G55" i="3"/>
  <c r="G57" i="3" s="1"/>
  <c r="D55" i="3"/>
  <c r="D57" i="3" s="1"/>
  <c r="G59" i="3"/>
  <c r="G61" i="3" s="1"/>
  <c r="D63" i="3"/>
  <c r="D65" i="3" s="1"/>
  <c r="G80" i="3"/>
  <c r="C80" i="3"/>
  <c r="G81" i="3"/>
  <c r="C81" i="3"/>
  <c r="C53" i="3"/>
  <c r="D125" i="3"/>
  <c r="D127" i="3" s="1"/>
  <c r="H53" i="3"/>
  <c r="H55" i="3"/>
  <c r="H57" i="3" s="1"/>
  <c r="C55" i="3"/>
  <c r="C57" i="3" s="1"/>
  <c r="H59" i="3"/>
  <c r="H61" i="3" s="1"/>
  <c r="H63" i="3"/>
  <c r="H65" i="3" s="1"/>
  <c r="C63" i="3"/>
  <c r="C65" i="3" s="1"/>
  <c r="I86" i="3"/>
  <c r="I88" i="3" s="1"/>
  <c r="E94" i="3"/>
  <c r="E96" i="3" s="1"/>
  <c r="F115" i="3"/>
  <c r="F117" i="3"/>
  <c r="F119" i="3" s="1"/>
  <c r="I121" i="3"/>
  <c r="I123" i="3" s="1"/>
  <c r="F121" i="3"/>
  <c r="F123" i="3" s="1"/>
  <c r="F125" i="3"/>
  <c r="F127" i="3" s="1"/>
  <c r="D133" i="3"/>
  <c r="I157" i="3"/>
  <c r="E157" i="3"/>
  <c r="B151" i="3"/>
  <c r="B119" i="3"/>
  <c r="B127" i="3"/>
  <c r="B154" i="3"/>
  <c r="C128" i="3"/>
  <c r="C130" i="3" s="1"/>
  <c r="B156" i="3"/>
  <c r="G70" i="3"/>
  <c r="E75" i="3"/>
  <c r="I78" i="3"/>
  <c r="J78" i="3" s="1"/>
  <c r="I106" i="3"/>
  <c r="J106" i="3" s="1"/>
  <c r="K106" i="3" s="1"/>
  <c r="L106" i="3" s="1"/>
  <c r="M106" i="3" s="1"/>
  <c r="N106" i="3" s="1"/>
  <c r="E109" i="3"/>
  <c r="I137" i="3"/>
  <c r="J137" i="3" s="1"/>
  <c r="K137" i="3" s="1"/>
  <c r="L137" i="3" s="1"/>
  <c r="M137" i="3" s="1"/>
  <c r="N137" i="3" s="1"/>
  <c r="E140" i="3"/>
  <c r="E115" i="3"/>
  <c r="E66" i="3"/>
  <c r="E68" i="3" s="1"/>
  <c r="I84" i="3"/>
  <c r="I90" i="3"/>
  <c r="I92" i="3" s="1"/>
  <c r="E90" i="3"/>
  <c r="E92" i="3" s="1"/>
  <c r="H75" i="3"/>
  <c r="H78" i="3"/>
  <c r="H99" i="3"/>
  <c r="D99" i="3"/>
  <c r="H109" i="3"/>
  <c r="D109" i="3"/>
  <c r="H102" i="3"/>
  <c r="D102" i="3"/>
  <c r="I115" i="3"/>
  <c r="H137" i="3"/>
  <c r="D137" i="3"/>
  <c r="H140" i="3"/>
  <c r="D140" i="3"/>
  <c r="G133" i="3"/>
  <c r="B133" i="3"/>
  <c r="H154" i="3"/>
  <c r="D154" i="3"/>
  <c r="D157" i="3"/>
  <c r="E78" i="3"/>
  <c r="E106" i="3"/>
  <c r="I102" i="3"/>
  <c r="J102" i="3" s="1"/>
  <c r="K102" i="3" s="1"/>
  <c r="L102" i="3" s="1"/>
  <c r="M102" i="3" s="1"/>
  <c r="N102" i="3" s="1"/>
  <c r="I140" i="3"/>
  <c r="J140" i="3" s="1"/>
  <c r="K140" i="3" s="1"/>
  <c r="L140" i="3" s="1"/>
  <c r="M140" i="3" s="1"/>
  <c r="N140" i="3" s="1"/>
  <c r="I128" i="3"/>
  <c r="I130" i="3" s="1"/>
  <c r="J130" i="3" s="1"/>
  <c r="K130" i="3" s="1"/>
  <c r="L130" i="3" s="1"/>
  <c r="M130" i="3" s="1"/>
  <c r="N130" i="3" s="1"/>
  <c r="F139" i="3"/>
  <c r="F77" i="3"/>
  <c r="G75" i="3"/>
  <c r="B75" i="3"/>
  <c r="G78" i="3"/>
  <c r="G106" i="3"/>
  <c r="C106" i="3"/>
  <c r="G109" i="3"/>
  <c r="C109" i="3"/>
  <c r="G102" i="3"/>
  <c r="C102" i="3"/>
  <c r="G137" i="3"/>
  <c r="B137" i="3"/>
  <c r="G140" i="3"/>
  <c r="C133" i="3"/>
  <c r="F133" i="3"/>
  <c r="B140" i="3"/>
  <c r="I75" i="3"/>
  <c r="I109" i="3"/>
  <c r="J109" i="3" s="1"/>
  <c r="K109" i="3" s="1"/>
  <c r="L109" i="3" s="1"/>
  <c r="M109" i="3" s="1"/>
  <c r="N109" i="3" s="1"/>
  <c r="E102" i="3"/>
  <c r="E137" i="3"/>
  <c r="H68" i="3"/>
  <c r="I97" i="3"/>
  <c r="I99" i="3" s="1"/>
  <c r="J99" i="3" s="1"/>
  <c r="K99" i="3" s="1"/>
  <c r="L99" i="3" s="1"/>
  <c r="M99" i="3" s="1"/>
  <c r="N99" i="3" s="1"/>
  <c r="E128" i="3"/>
  <c r="E130" i="3" s="1"/>
  <c r="B148" i="3"/>
  <c r="I66" i="3"/>
  <c r="I68" i="3" s="1"/>
  <c r="J68" i="3" s="1"/>
  <c r="K68" i="3" s="1"/>
  <c r="L68" i="3" s="1"/>
  <c r="M68" i="3" s="1"/>
  <c r="N68" i="3" s="1"/>
  <c r="F86" i="3"/>
  <c r="F88" i="3" s="1"/>
  <c r="F90" i="3"/>
  <c r="F92" i="3" s="1"/>
  <c r="F94" i="3"/>
  <c r="F96" i="3" s="1"/>
  <c r="C75" i="3"/>
  <c r="F75" i="3"/>
  <c r="C78" i="3"/>
  <c r="F78" i="3"/>
  <c r="B106" i="3"/>
  <c r="F106" i="3"/>
  <c r="B109" i="3"/>
  <c r="F109" i="3"/>
  <c r="B102" i="3"/>
  <c r="F102" i="3"/>
  <c r="F137" i="3"/>
  <c r="C140" i="3"/>
  <c r="F140" i="3"/>
  <c r="I133" i="3"/>
  <c r="J133" i="3" s="1"/>
  <c r="K133" i="3" s="1"/>
  <c r="L133" i="3" s="1"/>
  <c r="M133" i="3" s="1"/>
  <c r="N133" i="3" s="1"/>
  <c r="E133" i="3"/>
  <c r="F156" i="3"/>
  <c r="B55" i="3"/>
  <c r="B57" i="3" s="1"/>
  <c r="C59" i="3"/>
  <c r="C61" i="3" s="1"/>
  <c r="H84" i="3"/>
  <c r="E86" i="3"/>
  <c r="E88" i="3" s="1"/>
  <c r="D90" i="3"/>
  <c r="D92" i="3" s="1"/>
  <c r="I94" i="3"/>
  <c r="I96" i="3" s="1"/>
  <c r="G128" i="3"/>
  <c r="G130" i="3" s="1"/>
  <c r="I146" i="3"/>
  <c r="I148" i="3" s="1"/>
  <c r="G84" i="3"/>
  <c r="F154" i="3"/>
  <c r="B78" i="3"/>
  <c r="D66" i="3"/>
  <c r="D68" i="3" s="1"/>
  <c r="I117" i="3"/>
  <c r="I119" i="3" s="1"/>
  <c r="D128" i="3"/>
  <c r="D130" i="3" s="1"/>
  <c r="H128" i="3"/>
  <c r="H130" i="3" s="1"/>
  <c r="H106" i="3"/>
  <c r="D106" i="3"/>
  <c r="H133" i="3"/>
  <c r="I125" i="3"/>
  <c r="I127" i="3" s="1"/>
  <c r="B61" i="3"/>
  <c r="D201" i="3"/>
  <c r="D203" i="3" s="1"/>
  <c r="F159" i="3"/>
  <c r="F161" i="3" s="1"/>
  <c r="F153" i="3"/>
  <c r="F146" i="3"/>
  <c r="F148" i="3" s="1"/>
  <c r="F151" i="3"/>
  <c r="E154" i="3"/>
  <c r="I154" i="3"/>
  <c r="J154" i="3" s="1"/>
  <c r="C198" i="3"/>
  <c r="B128" i="3"/>
  <c r="B132" i="3"/>
  <c r="H115" i="3"/>
  <c r="B201" i="3"/>
  <c r="B202" i="3" s="1"/>
  <c r="G66" i="3"/>
  <c r="G68" i="3" s="1"/>
  <c r="E84" i="3"/>
  <c r="F84" i="3"/>
  <c r="I199" i="3"/>
  <c r="J199" i="3" s="1"/>
  <c r="K199" i="3" s="1"/>
  <c r="L199" i="3" s="1"/>
  <c r="M199" i="3" s="1"/>
  <c r="N199" i="3" s="1"/>
  <c r="G188" i="3"/>
  <c r="G190" i="3" s="1"/>
  <c r="G74" i="3"/>
  <c r="E201" i="3"/>
  <c r="I201" i="3"/>
  <c r="I202" i="3" s="1"/>
  <c r="C201" i="3"/>
  <c r="H188" i="3"/>
  <c r="H190" i="3" s="1"/>
  <c r="B174" i="3"/>
  <c r="B198" i="3"/>
  <c r="B177" i="3"/>
  <c r="B180" i="3"/>
  <c r="C167" i="3"/>
  <c r="C169" i="3" s="1"/>
  <c r="F167" i="3"/>
  <c r="F169" i="3" s="1"/>
  <c r="G182" i="3"/>
  <c r="F171" i="3"/>
  <c r="G196" i="3"/>
  <c r="F174" i="3"/>
  <c r="F177" i="3"/>
  <c r="F180" i="3"/>
  <c r="H203" i="3"/>
  <c r="B172" i="3"/>
  <c r="D196" i="3"/>
  <c r="B175" i="3"/>
  <c r="D199" i="3"/>
  <c r="D198" i="3"/>
  <c r="B178" i="3"/>
  <c r="B167" i="3"/>
  <c r="B169" i="3" s="1"/>
  <c r="B171" i="3"/>
  <c r="F172" i="3"/>
  <c r="F175" i="3"/>
  <c r="E198" i="3"/>
  <c r="I198" i="3"/>
  <c r="F178" i="3"/>
  <c r="G167" i="3"/>
  <c r="G169" i="3" s="1"/>
  <c r="C171" i="3"/>
  <c r="C172" i="3"/>
  <c r="G174" i="3"/>
  <c r="G175" i="3"/>
  <c r="C177" i="3"/>
  <c r="C178" i="3"/>
  <c r="C180" i="3"/>
  <c r="D167" i="3"/>
  <c r="D169" i="3" s="1"/>
  <c r="H167" i="3"/>
  <c r="H169" i="3" s="1"/>
  <c r="D171" i="3"/>
  <c r="H171" i="3"/>
  <c r="D172" i="3"/>
  <c r="H172" i="3"/>
  <c r="D174" i="3"/>
  <c r="H174" i="3"/>
  <c r="D175" i="3"/>
  <c r="H175" i="3"/>
  <c r="D177" i="3"/>
  <c r="H177" i="3"/>
  <c r="D178" i="3"/>
  <c r="H178" i="3"/>
  <c r="D180" i="3"/>
  <c r="H180" i="3"/>
  <c r="G171" i="3"/>
  <c r="G172" i="3"/>
  <c r="C174" i="3"/>
  <c r="C175" i="3"/>
  <c r="G177" i="3"/>
  <c r="E167" i="3"/>
  <c r="E169" i="3" s="1"/>
  <c r="I167" i="3"/>
  <c r="I169" i="3" s="1"/>
  <c r="E171" i="3"/>
  <c r="I171" i="3"/>
  <c r="E172" i="3"/>
  <c r="I172" i="3"/>
  <c r="E174" i="3"/>
  <c r="I174" i="3"/>
  <c r="E175" i="3"/>
  <c r="I175" i="3"/>
  <c r="J175" i="3" s="1"/>
  <c r="K175" i="3" s="1"/>
  <c r="L175" i="3" s="1"/>
  <c r="M175" i="3" s="1"/>
  <c r="N175" i="3" s="1"/>
  <c r="E177" i="3"/>
  <c r="I177" i="3"/>
  <c r="E178" i="3"/>
  <c r="I178" i="3"/>
  <c r="J178" i="3" s="1"/>
  <c r="K178" i="3" s="1"/>
  <c r="L178" i="3" s="1"/>
  <c r="M178" i="3" s="1"/>
  <c r="N178" i="3" s="1"/>
  <c r="E180" i="3"/>
  <c r="I180" i="3"/>
  <c r="B98" i="3"/>
  <c r="E53" i="3"/>
  <c r="I55" i="3"/>
  <c r="I57" i="3" s="1"/>
  <c r="I59" i="3"/>
  <c r="I61" i="3" s="1"/>
  <c r="I63" i="3"/>
  <c r="I65" i="3" s="1"/>
  <c r="H70" i="3"/>
  <c r="B101" i="3"/>
  <c r="C70" i="3"/>
  <c r="F105" i="3"/>
  <c r="B105" i="3"/>
  <c r="D74" i="3"/>
  <c r="F98" i="3"/>
  <c r="I53" i="3"/>
  <c r="E55" i="3"/>
  <c r="E57" i="3" s="1"/>
  <c r="E59" i="3"/>
  <c r="E61" i="3" s="1"/>
  <c r="E63" i="3"/>
  <c r="E65" i="3" s="1"/>
  <c r="F101" i="3"/>
  <c r="D70" i="3"/>
  <c r="G77" i="3"/>
  <c r="F108" i="3"/>
  <c r="B108" i="3"/>
  <c r="D161" i="3"/>
  <c r="D160" i="3"/>
  <c r="H161" i="3"/>
  <c r="H160" i="3"/>
  <c r="B160" i="3"/>
  <c r="H74" i="3"/>
  <c r="D77" i="3"/>
  <c r="C86" i="3"/>
  <c r="C88" i="3" s="1"/>
  <c r="G90" i="3"/>
  <c r="G92" i="3" s="1"/>
  <c r="C94" i="3"/>
  <c r="C96" i="3" s="1"/>
  <c r="G115" i="3"/>
  <c r="I161" i="3"/>
  <c r="J161" i="3" s="1"/>
  <c r="K161" i="3" s="1"/>
  <c r="L161" i="3" s="1"/>
  <c r="M161" i="3" s="1"/>
  <c r="N161" i="3" s="1"/>
  <c r="I160" i="3"/>
  <c r="E70" i="3"/>
  <c r="I70" i="3"/>
  <c r="E74" i="3"/>
  <c r="I74" i="3"/>
  <c r="I77" i="3"/>
  <c r="E77" i="3"/>
  <c r="B150" i="3"/>
  <c r="H77" i="3"/>
  <c r="G86" i="3"/>
  <c r="G88" i="3" s="1"/>
  <c r="C90" i="3"/>
  <c r="C92" i="3" s="1"/>
  <c r="G94" i="3"/>
  <c r="G96" i="3" s="1"/>
  <c r="C115" i="3"/>
  <c r="E161" i="3"/>
  <c r="E160" i="3"/>
  <c r="B67" i="3"/>
  <c r="B70" i="3"/>
  <c r="F70" i="3"/>
  <c r="B74" i="3"/>
  <c r="F74" i="3"/>
  <c r="C117" i="3"/>
  <c r="C119" i="3" s="1"/>
  <c r="G117" i="3"/>
  <c r="G119" i="3" s="1"/>
  <c r="C121" i="3"/>
  <c r="C123" i="3" s="1"/>
  <c r="G121" i="3"/>
  <c r="G123" i="3" s="1"/>
  <c r="C125" i="3"/>
  <c r="C127" i="3" s="1"/>
  <c r="G125" i="3"/>
  <c r="G127" i="3" s="1"/>
  <c r="C146" i="3"/>
  <c r="C148" i="3" s="1"/>
  <c r="G146" i="3"/>
  <c r="G148" i="3" s="1"/>
  <c r="C161" i="3"/>
  <c r="C160" i="3"/>
  <c r="G161" i="3"/>
  <c r="F150" i="3"/>
  <c r="C98" i="3"/>
  <c r="G98" i="3"/>
  <c r="C101" i="3"/>
  <c r="G101" i="3"/>
  <c r="C105" i="3"/>
  <c r="G105" i="3"/>
  <c r="C108" i="3"/>
  <c r="G108" i="3"/>
  <c r="C132" i="3"/>
  <c r="G132" i="3"/>
  <c r="C136" i="3"/>
  <c r="G136" i="3"/>
  <c r="C139" i="3"/>
  <c r="G139" i="3"/>
  <c r="C150" i="3"/>
  <c r="G150" i="3"/>
  <c r="C151" i="3"/>
  <c r="G151" i="3"/>
  <c r="C153" i="3"/>
  <c r="G153" i="3"/>
  <c r="C156" i="3"/>
  <c r="G156" i="3"/>
  <c r="D98" i="3"/>
  <c r="H98" i="3"/>
  <c r="D101" i="3"/>
  <c r="H101" i="3"/>
  <c r="D105" i="3"/>
  <c r="H105" i="3"/>
  <c r="D108" i="3"/>
  <c r="H108" i="3"/>
  <c r="D132" i="3"/>
  <c r="H132" i="3"/>
  <c r="D136" i="3"/>
  <c r="H136" i="3"/>
  <c r="D139" i="3"/>
  <c r="H139" i="3"/>
  <c r="D150" i="3"/>
  <c r="H150" i="3"/>
  <c r="D151" i="3"/>
  <c r="H151" i="3"/>
  <c r="D153" i="3"/>
  <c r="H153" i="3"/>
  <c r="D156" i="3"/>
  <c r="H156" i="3"/>
  <c r="E98" i="3"/>
  <c r="E101" i="3"/>
  <c r="I101" i="3"/>
  <c r="E105" i="3"/>
  <c r="I105" i="3"/>
  <c r="E108" i="3"/>
  <c r="I108" i="3"/>
  <c r="E132" i="3"/>
  <c r="I132" i="3"/>
  <c r="E136" i="3"/>
  <c r="I136" i="3"/>
  <c r="E139" i="3"/>
  <c r="I139" i="3"/>
  <c r="E150" i="3"/>
  <c r="I150" i="3"/>
  <c r="E151" i="3"/>
  <c r="I151" i="3"/>
  <c r="J151" i="3" s="1"/>
  <c r="K151" i="3" s="1"/>
  <c r="L151" i="3" s="1"/>
  <c r="M151" i="3" s="1"/>
  <c r="N151" i="3" s="1"/>
  <c r="E153" i="3"/>
  <c r="I153" i="3"/>
  <c r="E156" i="3"/>
  <c r="I156" i="3"/>
  <c r="K52" i="3" l="1"/>
  <c r="K53" i="3" s="1"/>
  <c r="F67" i="6"/>
  <c r="F68" i="6" s="1"/>
  <c r="E69" i="6"/>
  <c r="K206" i="3"/>
  <c r="L179" i="3"/>
  <c r="K173" i="3"/>
  <c r="J176" i="3"/>
  <c r="J177" i="3" s="1"/>
  <c r="J173" i="3"/>
  <c r="J174" i="3" s="1"/>
  <c r="L158" i="3"/>
  <c r="K154" i="3"/>
  <c r="L154" i="3" s="1"/>
  <c r="M154" i="3" s="1"/>
  <c r="N154" i="3" s="1"/>
  <c r="J152" i="3"/>
  <c r="J153" i="3" s="1"/>
  <c r="K183" i="3"/>
  <c r="K184" i="3" s="1"/>
  <c r="L134" i="3"/>
  <c r="K162" i="3"/>
  <c r="K159" i="3"/>
  <c r="J141" i="3"/>
  <c r="J138" i="3"/>
  <c r="J139" i="3" s="1"/>
  <c r="J159" i="3"/>
  <c r="J162" i="3"/>
  <c r="L116" i="3"/>
  <c r="K114" i="3"/>
  <c r="J115" i="3"/>
  <c r="J84" i="3"/>
  <c r="J107" i="3"/>
  <c r="J108" i="3" s="1"/>
  <c r="L103" i="3"/>
  <c r="K54" i="3"/>
  <c r="L54" i="3" s="1"/>
  <c r="J110" i="3"/>
  <c r="K78" i="3"/>
  <c r="L78" i="3" s="1"/>
  <c r="M78" i="3" s="1"/>
  <c r="N78" i="3" s="1"/>
  <c r="J76" i="3"/>
  <c r="J77" i="3" s="1"/>
  <c r="L72" i="3"/>
  <c r="K81" i="3"/>
  <c r="L81" i="3" s="1"/>
  <c r="M81" i="3" s="1"/>
  <c r="N81" i="3" s="1"/>
  <c r="J79" i="3"/>
  <c r="L85" i="3"/>
  <c r="K83" i="3"/>
  <c r="N58" i="3"/>
  <c r="I67" i="3"/>
  <c r="F67" i="3"/>
  <c r="C67" i="3"/>
  <c r="G160" i="3"/>
  <c r="G129" i="3"/>
  <c r="I98" i="3"/>
  <c r="H129" i="3"/>
  <c r="I129" i="3"/>
  <c r="E129" i="3"/>
  <c r="D129" i="3"/>
  <c r="F129" i="3"/>
  <c r="H67" i="3"/>
  <c r="F160" i="3"/>
  <c r="E202" i="3"/>
  <c r="E67" i="3"/>
  <c r="B129" i="3"/>
  <c r="B130" i="3"/>
  <c r="C129" i="3"/>
  <c r="G67" i="3"/>
  <c r="D67" i="3"/>
  <c r="C202" i="3"/>
  <c r="I188" i="3"/>
  <c r="I190" i="3" s="1"/>
  <c r="H199" i="3"/>
  <c r="H196" i="3"/>
  <c r="F199" i="3"/>
  <c r="F196" i="3"/>
  <c r="E196" i="3"/>
  <c r="D202" i="3"/>
  <c r="E188" i="3"/>
  <c r="E190" i="3" s="1"/>
  <c r="E203" i="3"/>
  <c r="E199" i="3"/>
  <c r="I196" i="3"/>
  <c r="F188" i="3"/>
  <c r="F190" i="3" s="1"/>
  <c r="I203" i="3"/>
  <c r="J203" i="3" s="1"/>
  <c r="G201" i="3"/>
  <c r="H202" i="3" s="1"/>
  <c r="F198" i="3"/>
  <c r="F201" i="3"/>
  <c r="C182" i="3"/>
  <c r="C181" i="3"/>
  <c r="B182" i="3"/>
  <c r="B181" i="3"/>
  <c r="E182" i="3"/>
  <c r="E181" i="3"/>
  <c r="H182" i="3"/>
  <c r="H181" i="3"/>
  <c r="G199" i="3"/>
  <c r="G198" i="3"/>
  <c r="F182" i="3"/>
  <c r="F181" i="3"/>
  <c r="G181" i="3"/>
  <c r="C199" i="3"/>
  <c r="C196" i="3"/>
  <c r="I182" i="3"/>
  <c r="J182" i="3" s="1"/>
  <c r="I181" i="3"/>
  <c r="C203" i="3"/>
  <c r="D182" i="3"/>
  <c r="D181" i="3"/>
  <c r="H198" i="3"/>
  <c r="D188" i="3"/>
  <c r="D190" i="3" s="1"/>
  <c r="G67" i="6" l="1"/>
  <c r="G68" i="6" s="1"/>
  <c r="F69" i="6"/>
  <c r="K176" i="3"/>
  <c r="K177" i="3" s="1"/>
  <c r="M179" i="3"/>
  <c r="K203" i="3"/>
  <c r="L173" i="3"/>
  <c r="L174" i="3" s="1"/>
  <c r="K182" i="3"/>
  <c r="J180" i="3"/>
  <c r="L152" i="3"/>
  <c r="K174" i="3"/>
  <c r="L206" i="3"/>
  <c r="J163" i="3"/>
  <c r="J155" i="3"/>
  <c r="M158" i="3"/>
  <c r="J160" i="3"/>
  <c r="K163" i="3"/>
  <c r="L183" i="3"/>
  <c r="L184" i="3" s="1"/>
  <c r="K155" i="3"/>
  <c r="K157" i="3" s="1"/>
  <c r="K152" i="3"/>
  <c r="K153" i="3" s="1"/>
  <c r="J129" i="3"/>
  <c r="K141" i="3"/>
  <c r="K138" i="3"/>
  <c r="K139" i="3" s="1"/>
  <c r="J142" i="3"/>
  <c r="J132" i="3"/>
  <c r="M152" i="3"/>
  <c r="M153" i="3" s="1"/>
  <c r="L162" i="3"/>
  <c r="L163" i="3" s="1"/>
  <c r="L159" i="3"/>
  <c r="K160" i="3"/>
  <c r="M134" i="3"/>
  <c r="J111" i="3"/>
  <c r="J101" i="3"/>
  <c r="M103" i="3"/>
  <c r="K110" i="3"/>
  <c r="K84" i="3"/>
  <c r="K107" i="3"/>
  <c r="K108" i="3" s="1"/>
  <c r="J98" i="3"/>
  <c r="K115" i="3"/>
  <c r="M116" i="3"/>
  <c r="L114" i="3"/>
  <c r="M85" i="3"/>
  <c r="L83" i="3"/>
  <c r="M72" i="3"/>
  <c r="L52" i="3"/>
  <c r="L53" i="3" s="1"/>
  <c r="K76" i="3"/>
  <c r="K77" i="3" s="1"/>
  <c r="J80" i="3"/>
  <c r="J70" i="3"/>
  <c r="J67" i="3"/>
  <c r="K79" i="3"/>
  <c r="K67" i="3"/>
  <c r="M54" i="3"/>
  <c r="M52" i="3"/>
  <c r="G203" i="3"/>
  <c r="G202" i="3"/>
  <c r="F203" i="3"/>
  <c r="F202" i="3"/>
  <c r="J156" i="3" l="1"/>
  <c r="J157" i="3"/>
  <c r="L153" i="3"/>
  <c r="H67" i="6"/>
  <c r="H68" i="6" s="1"/>
  <c r="G69" i="6"/>
  <c r="J149" i="3"/>
  <c r="J150" i="3" s="1"/>
  <c r="L182" i="3"/>
  <c r="K180" i="3"/>
  <c r="L176" i="3"/>
  <c r="L177" i="3" s="1"/>
  <c r="J170" i="3"/>
  <c r="J181" i="3"/>
  <c r="K156" i="3"/>
  <c r="L203" i="3"/>
  <c r="M173" i="3"/>
  <c r="M174" i="3" s="1"/>
  <c r="M206" i="3"/>
  <c r="N179" i="3"/>
  <c r="K149" i="3"/>
  <c r="L67" i="3"/>
  <c r="L155" i="3"/>
  <c r="L160" i="3"/>
  <c r="M183" i="3"/>
  <c r="M184" i="3" s="1"/>
  <c r="N158" i="3"/>
  <c r="L141" i="3"/>
  <c r="L138" i="3"/>
  <c r="L139" i="3" s="1"/>
  <c r="N152" i="3"/>
  <c r="N153" i="3" s="1"/>
  <c r="M159" i="3"/>
  <c r="M162" i="3"/>
  <c r="M163" i="3" s="1"/>
  <c r="K129" i="3"/>
  <c r="J136" i="3"/>
  <c r="N134" i="3"/>
  <c r="K142" i="3"/>
  <c r="K132" i="3"/>
  <c r="J75" i="3"/>
  <c r="L115" i="3"/>
  <c r="N116" i="3"/>
  <c r="N114" i="3" s="1"/>
  <c r="M114" i="3"/>
  <c r="J105" i="3"/>
  <c r="K111" i="3"/>
  <c r="K101" i="3"/>
  <c r="L110" i="3"/>
  <c r="L84" i="3"/>
  <c r="L107" i="3"/>
  <c r="L108" i="3" s="1"/>
  <c r="K98" i="3"/>
  <c r="N103" i="3"/>
  <c r="L76" i="3"/>
  <c r="L77" i="3" s="1"/>
  <c r="L79" i="3"/>
  <c r="N85" i="3"/>
  <c r="N83" i="3" s="1"/>
  <c r="M83" i="3"/>
  <c r="K80" i="3"/>
  <c r="N72" i="3"/>
  <c r="M76" i="3"/>
  <c r="M79" i="3"/>
  <c r="N54" i="3"/>
  <c r="N52" i="3"/>
  <c r="M53" i="3"/>
  <c r="J171" i="3" l="1"/>
  <c r="J172" i="3"/>
  <c r="L156" i="3"/>
  <c r="L157" i="3"/>
  <c r="K150" i="3"/>
  <c r="I67" i="6"/>
  <c r="H69" i="6"/>
  <c r="N183" i="3"/>
  <c r="N176" i="3" s="1"/>
  <c r="N173" i="3"/>
  <c r="N174" i="3" s="1"/>
  <c r="N206" i="3"/>
  <c r="K170" i="3"/>
  <c r="K181" i="3"/>
  <c r="L149" i="3"/>
  <c r="L150" i="3" s="1"/>
  <c r="M203" i="3"/>
  <c r="M182" i="3"/>
  <c r="L180" i="3"/>
  <c r="M155" i="3"/>
  <c r="M176" i="3"/>
  <c r="M177" i="3" s="1"/>
  <c r="M160" i="3"/>
  <c r="J74" i="3"/>
  <c r="N138" i="3"/>
  <c r="N141" i="3"/>
  <c r="M80" i="3"/>
  <c r="L129" i="3"/>
  <c r="K136" i="3"/>
  <c r="N159" i="3"/>
  <c r="N162" i="3"/>
  <c r="N163" i="3" s="1"/>
  <c r="M77" i="3"/>
  <c r="K105" i="3"/>
  <c r="M138" i="3"/>
  <c r="M139" i="3" s="1"/>
  <c r="M141" i="3"/>
  <c r="L142" i="3"/>
  <c r="L132" i="3"/>
  <c r="L111" i="3"/>
  <c r="L101" i="3"/>
  <c r="M115" i="3"/>
  <c r="N115" i="3"/>
  <c r="M110" i="3"/>
  <c r="M84" i="3"/>
  <c r="M107" i="3"/>
  <c r="M108" i="3" s="1"/>
  <c r="N110" i="3"/>
  <c r="N84" i="3"/>
  <c r="N107" i="3"/>
  <c r="L98" i="3"/>
  <c r="N76" i="3"/>
  <c r="N77" i="3" s="1"/>
  <c r="N79" i="3"/>
  <c r="N80" i="3" s="1"/>
  <c r="M67" i="3"/>
  <c r="K70" i="3"/>
  <c r="L80" i="3"/>
  <c r="N53" i="3"/>
  <c r="K171" i="3" l="1"/>
  <c r="K172" i="3"/>
  <c r="N184" i="3"/>
  <c r="M156" i="3"/>
  <c r="M157" i="3"/>
  <c r="N111" i="3"/>
  <c r="I68" i="6"/>
  <c r="I69" i="6" s="1"/>
  <c r="L181" i="3"/>
  <c r="L170" i="3"/>
  <c r="N182" i="3"/>
  <c r="N180" i="3" s="1"/>
  <c r="M180" i="3"/>
  <c r="M149" i="3"/>
  <c r="M150" i="3" s="1"/>
  <c r="N177" i="3"/>
  <c r="N203" i="3"/>
  <c r="L105" i="3"/>
  <c r="N160" i="3"/>
  <c r="N155" i="3"/>
  <c r="M142" i="3"/>
  <c r="M132" i="3"/>
  <c r="M129" i="3"/>
  <c r="N142" i="3"/>
  <c r="L136" i="3"/>
  <c r="N139" i="3"/>
  <c r="N98" i="3"/>
  <c r="N108" i="3"/>
  <c r="M98" i="3"/>
  <c r="N129" i="3"/>
  <c r="N70" i="3"/>
  <c r="M111" i="3"/>
  <c r="M101" i="3"/>
  <c r="L70" i="3"/>
  <c r="M74" i="3"/>
  <c r="M70" i="3"/>
  <c r="M75" i="3"/>
  <c r="N67" i="3"/>
  <c r="K74" i="3"/>
  <c r="K75" i="3"/>
  <c r="L171" i="3" l="1"/>
  <c r="L172" i="3"/>
  <c r="N156" i="3"/>
  <c r="N157" i="3"/>
  <c r="N132" i="3"/>
  <c r="M181" i="3"/>
  <c r="M170" i="3"/>
  <c r="N170" i="3"/>
  <c r="N181" i="3"/>
  <c r="N149" i="3"/>
  <c r="N150" i="3" s="1"/>
  <c r="M136" i="3"/>
  <c r="N75" i="3"/>
  <c r="M105" i="3"/>
  <c r="N101" i="3"/>
  <c r="L74" i="3"/>
  <c r="L75" i="3"/>
  <c r="N171" i="3" l="1"/>
  <c r="N172" i="3"/>
  <c r="M171" i="3"/>
  <c r="M172" i="3"/>
  <c r="N136" i="3"/>
  <c r="N105" i="3"/>
  <c r="N74" i="3"/>
  <c r="C147" i="1" l="1"/>
  <c r="D147" i="1"/>
  <c r="E147" i="1"/>
  <c r="F147" i="1"/>
  <c r="G147" i="1"/>
  <c r="H147" i="1"/>
  <c r="I147" i="1"/>
  <c r="B147" i="1"/>
  <c r="C142" i="1"/>
  <c r="B142" i="1"/>
  <c r="C138" i="1"/>
  <c r="B138" i="1"/>
  <c r="C134" i="1"/>
  <c r="B134" i="1"/>
  <c r="C130" i="1"/>
  <c r="B130" i="1"/>
  <c r="I126" i="1"/>
  <c r="H126" i="1"/>
  <c r="G126" i="1"/>
  <c r="F126" i="1"/>
  <c r="E126" i="1"/>
  <c r="D126" i="1"/>
  <c r="C126" i="1"/>
  <c r="B126" i="1"/>
  <c r="I122" i="1"/>
  <c r="H122" i="1"/>
  <c r="G122" i="1"/>
  <c r="F122" i="1"/>
  <c r="E122" i="1"/>
  <c r="D122" i="1"/>
  <c r="C122" i="1"/>
  <c r="B122" i="1"/>
  <c r="I118" i="1"/>
  <c r="H118" i="1"/>
  <c r="G118" i="1"/>
  <c r="F118" i="1"/>
  <c r="E118" i="1"/>
  <c r="D118" i="1"/>
  <c r="C118" i="1"/>
  <c r="B118" i="1"/>
  <c r="I114" i="1"/>
  <c r="H114" i="1"/>
  <c r="G114" i="1"/>
  <c r="F114" i="1"/>
  <c r="E114" i="1"/>
  <c r="D114" i="1"/>
  <c r="C114" i="1"/>
  <c r="B114" i="1"/>
  <c r="B86" i="1"/>
  <c r="C86" i="1"/>
  <c r="D86" i="1"/>
  <c r="E86" i="1"/>
  <c r="F86" i="1"/>
  <c r="G86" i="1"/>
  <c r="H86" i="1"/>
  <c r="I86" i="1"/>
  <c r="I7" i="1"/>
  <c r="H7" i="1"/>
  <c r="G7" i="1"/>
  <c r="F7" i="1"/>
  <c r="E7" i="1"/>
  <c r="D7" i="1"/>
  <c r="C7" i="1"/>
  <c r="B7" i="1"/>
  <c r="I4" i="1"/>
  <c r="I10" i="1" s="1"/>
  <c r="I12" i="1" s="1"/>
  <c r="I64" i="1" s="1"/>
  <c r="H4" i="1"/>
  <c r="H10" i="1" s="1"/>
  <c r="H12" i="1" s="1"/>
  <c r="H64" i="1" s="1"/>
  <c r="G4" i="1"/>
  <c r="G10" i="1" s="1"/>
  <c r="G12" i="1" s="1"/>
  <c r="F4" i="1"/>
  <c r="F10" i="1" s="1"/>
  <c r="F12" i="1" s="1"/>
  <c r="E4" i="1"/>
  <c r="E10" i="1" s="1"/>
  <c r="E12" i="1" s="1"/>
  <c r="D4" i="1"/>
  <c r="D10" i="1" s="1"/>
  <c r="D12" i="1" s="1"/>
  <c r="C4" i="1"/>
  <c r="C10" i="1" s="1"/>
  <c r="C12" i="1" s="1"/>
  <c r="B4" i="1"/>
  <c r="B10" i="1" s="1"/>
  <c r="B12" i="1" s="1"/>
  <c r="A165" i="3" l="1"/>
  <c r="I48" i="3" l="1"/>
  <c r="I17" i="3" s="1"/>
  <c r="H48" i="3"/>
  <c r="H17" i="3" s="1"/>
  <c r="G48" i="3"/>
  <c r="G17" i="3" s="1"/>
  <c r="F48" i="3"/>
  <c r="F17" i="3" s="1"/>
  <c r="E48" i="3"/>
  <c r="E17" i="3" s="1"/>
  <c r="D48" i="3"/>
  <c r="D17" i="3" s="1"/>
  <c r="C48" i="3"/>
  <c r="C17" i="3" s="1"/>
  <c r="B48" i="3"/>
  <c r="K34" i="3"/>
  <c r="L34" i="3" s="1"/>
  <c r="M34" i="3" s="1"/>
  <c r="N34" i="3" s="1"/>
  <c r="J32" i="3"/>
  <c r="K30" i="3"/>
  <c r="L30" i="3" s="1"/>
  <c r="M30" i="3" s="1"/>
  <c r="N30" i="3" s="1"/>
  <c r="J28" i="3"/>
  <c r="J24" i="3"/>
  <c r="K25" i="3"/>
  <c r="L25" i="3" s="1"/>
  <c r="M25" i="3" s="1"/>
  <c r="N25" i="3" s="1"/>
  <c r="K26" i="3"/>
  <c r="L26" i="3" s="1"/>
  <c r="M26" i="3" s="1"/>
  <c r="N26" i="3" s="1"/>
  <c r="F18" i="3" l="1"/>
  <c r="D18" i="3"/>
  <c r="G18" i="3"/>
  <c r="H18" i="3"/>
  <c r="B49" i="3"/>
  <c r="B17" i="3"/>
  <c r="B18" i="3" s="1"/>
  <c r="E18" i="3"/>
  <c r="I18" i="3"/>
  <c r="N24" i="3"/>
  <c r="F49" i="3"/>
  <c r="C49" i="3"/>
  <c r="E49" i="3"/>
  <c r="D49" i="3"/>
  <c r="G49" i="3"/>
  <c r="H49" i="3"/>
  <c r="I49" i="3"/>
  <c r="L24" i="3"/>
  <c r="M24" i="3"/>
  <c r="K24" i="3"/>
  <c r="K33" i="3"/>
  <c r="K29" i="3"/>
  <c r="A20" i="3"/>
  <c r="H45" i="3"/>
  <c r="H14" i="3" s="1"/>
  <c r="G45" i="3"/>
  <c r="G14" i="3" s="1"/>
  <c r="F45" i="3"/>
  <c r="F14" i="3" s="1"/>
  <c r="E45" i="3"/>
  <c r="E14" i="3" s="1"/>
  <c r="D45" i="3"/>
  <c r="D14" i="3" s="1"/>
  <c r="C45" i="3"/>
  <c r="C14" i="3" s="1"/>
  <c r="B45" i="3"/>
  <c r="B14" i="3" s="1"/>
  <c r="I45" i="3"/>
  <c r="I14" i="3" s="1"/>
  <c r="I38" i="3"/>
  <c r="H38" i="3"/>
  <c r="G38" i="3"/>
  <c r="F38" i="3"/>
  <c r="E38" i="3"/>
  <c r="D38" i="3"/>
  <c r="C38" i="3"/>
  <c r="B38" i="3"/>
  <c r="H42" i="3"/>
  <c r="G42" i="3"/>
  <c r="F42" i="3"/>
  <c r="E42" i="3"/>
  <c r="D42" i="3"/>
  <c r="C42" i="3"/>
  <c r="B42" i="3"/>
  <c r="I42" i="3"/>
  <c r="B33" i="3"/>
  <c r="C33" i="3"/>
  <c r="D33" i="3"/>
  <c r="E33" i="3"/>
  <c r="F33" i="3"/>
  <c r="G33" i="3"/>
  <c r="H33" i="3"/>
  <c r="I33" i="3"/>
  <c r="I29" i="3"/>
  <c r="H29" i="3"/>
  <c r="G29" i="3"/>
  <c r="F29" i="3"/>
  <c r="E29" i="3"/>
  <c r="D29" i="3"/>
  <c r="C29" i="3"/>
  <c r="B29" i="3"/>
  <c r="H25" i="3"/>
  <c r="G25" i="3"/>
  <c r="F25" i="3"/>
  <c r="E25" i="3"/>
  <c r="D25" i="3"/>
  <c r="C25" i="3"/>
  <c r="B25" i="3"/>
  <c r="I25" i="3"/>
  <c r="I31" i="3"/>
  <c r="J31" i="3" s="1"/>
  <c r="H31" i="3"/>
  <c r="G31" i="3"/>
  <c r="F31" i="3"/>
  <c r="E31" i="3"/>
  <c r="D31" i="3"/>
  <c r="C31" i="3"/>
  <c r="B31" i="3"/>
  <c r="B32" i="3" s="1"/>
  <c r="I27" i="3"/>
  <c r="J27" i="3" s="1"/>
  <c r="H27" i="3"/>
  <c r="G27" i="3"/>
  <c r="F27" i="3"/>
  <c r="E27" i="3"/>
  <c r="D27" i="3"/>
  <c r="C27" i="3"/>
  <c r="B27" i="3"/>
  <c r="B28" i="3" s="1"/>
  <c r="B30" i="3" s="1"/>
  <c r="B23" i="3"/>
  <c r="B24" i="3" s="1"/>
  <c r="C23" i="3"/>
  <c r="D23" i="3"/>
  <c r="E23" i="3"/>
  <c r="F23" i="3"/>
  <c r="G23" i="3"/>
  <c r="H23" i="3"/>
  <c r="I23" i="3"/>
  <c r="J23" i="3" s="1"/>
  <c r="J1" i="3"/>
  <c r="K1" i="3" s="1"/>
  <c r="L1" i="3" s="1"/>
  <c r="M1" i="3" s="1"/>
  <c r="N1" i="3" s="1"/>
  <c r="H1" i="3"/>
  <c r="G1" i="3" s="1"/>
  <c r="F1" i="3" s="1"/>
  <c r="E1" i="3" s="1"/>
  <c r="D1" i="3" s="1"/>
  <c r="C1" i="3" s="1"/>
  <c r="B1" i="3" s="1"/>
  <c r="C18" i="3" l="1"/>
  <c r="E41" i="3"/>
  <c r="E8" i="3"/>
  <c r="D15" i="3"/>
  <c r="B41" i="3"/>
  <c r="B8" i="3"/>
  <c r="F41" i="3"/>
  <c r="F8" i="3"/>
  <c r="I15" i="3"/>
  <c r="E15" i="3"/>
  <c r="C41" i="3"/>
  <c r="C8" i="3"/>
  <c r="G41" i="3"/>
  <c r="G8" i="3"/>
  <c r="F15" i="3"/>
  <c r="I41" i="3"/>
  <c r="J41" i="3" s="1"/>
  <c r="K41" i="3" s="1"/>
  <c r="L41" i="3" s="1"/>
  <c r="I8" i="3"/>
  <c r="H15" i="3"/>
  <c r="B15" i="3"/>
  <c r="D41" i="3"/>
  <c r="D8" i="3"/>
  <c r="H41" i="3"/>
  <c r="H8" i="3"/>
  <c r="C15" i="3"/>
  <c r="G15" i="3"/>
  <c r="B71" i="3"/>
  <c r="F71" i="3"/>
  <c r="C71" i="3"/>
  <c r="G71" i="3"/>
  <c r="D71" i="3"/>
  <c r="H71" i="3"/>
  <c r="I71" i="3"/>
  <c r="J71" i="3" s="1"/>
  <c r="K71" i="3" s="1"/>
  <c r="L71" i="3" s="1"/>
  <c r="M71" i="3" s="1"/>
  <c r="N71" i="3" s="1"/>
  <c r="E71" i="3"/>
  <c r="G32" i="3"/>
  <c r="G34" i="3" s="1"/>
  <c r="H24" i="3"/>
  <c r="H26" i="3" s="1"/>
  <c r="E28" i="3"/>
  <c r="E30" i="3" s="1"/>
  <c r="C24" i="3"/>
  <c r="C26" i="3" s="1"/>
  <c r="C46" i="3"/>
  <c r="D24" i="3"/>
  <c r="D26" i="3" s="1"/>
  <c r="G43" i="3"/>
  <c r="G46" i="3"/>
  <c r="G24" i="3"/>
  <c r="G26" i="3" s="1"/>
  <c r="H35" i="3"/>
  <c r="H5" i="3" s="1"/>
  <c r="H46" i="3"/>
  <c r="B34" i="3"/>
  <c r="I35" i="3"/>
  <c r="I5" i="3" s="1"/>
  <c r="E32" i="3"/>
  <c r="E34" i="3" s="1"/>
  <c r="C32" i="3"/>
  <c r="C34" i="3" s="1"/>
  <c r="B35" i="3"/>
  <c r="E24" i="3"/>
  <c r="E26" i="3" s="1"/>
  <c r="F28" i="3"/>
  <c r="F30" i="3" s="1"/>
  <c r="F32" i="3"/>
  <c r="F34" i="3" s="1"/>
  <c r="E46" i="3"/>
  <c r="G28" i="3"/>
  <c r="G30" i="3" s="1"/>
  <c r="H28" i="3"/>
  <c r="H30" i="3" s="1"/>
  <c r="H32" i="3"/>
  <c r="H34" i="3" s="1"/>
  <c r="C35" i="3"/>
  <c r="C5" i="3" s="1"/>
  <c r="B26" i="3"/>
  <c r="E39" i="3"/>
  <c r="F43" i="3"/>
  <c r="C28" i="3"/>
  <c r="C30" i="3" s="1"/>
  <c r="F46" i="3"/>
  <c r="D28" i="3"/>
  <c r="D30" i="3" s="1"/>
  <c r="D32" i="3"/>
  <c r="D34" i="3" s="1"/>
  <c r="I24" i="3"/>
  <c r="I26" i="3" s="1"/>
  <c r="G35" i="3"/>
  <c r="G5" i="3" s="1"/>
  <c r="J21" i="3"/>
  <c r="K23" i="3"/>
  <c r="L23" i="3" s="1"/>
  <c r="M23" i="3" s="1"/>
  <c r="N23" i="3" s="1"/>
  <c r="I39" i="3"/>
  <c r="I43" i="3"/>
  <c r="I46" i="3"/>
  <c r="D35" i="3"/>
  <c r="D5" i="3" s="1"/>
  <c r="E43" i="3"/>
  <c r="F24" i="3"/>
  <c r="F26" i="3" s="1"/>
  <c r="E35" i="3"/>
  <c r="E5" i="3" s="1"/>
  <c r="F35" i="3"/>
  <c r="F5" i="3" s="1"/>
  <c r="G39" i="3"/>
  <c r="B39" i="3"/>
  <c r="B43" i="3"/>
  <c r="B46" i="3"/>
  <c r="F39" i="3"/>
  <c r="H43" i="3"/>
  <c r="I28" i="3"/>
  <c r="I30" i="3" s="1"/>
  <c r="C39" i="3"/>
  <c r="C43" i="3"/>
  <c r="H39" i="3"/>
  <c r="I32" i="3"/>
  <c r="I34" i="3" s="1"/>
  <c r="D39" i="3"/>
  <c r="D43" i="3"/>
  <c r="D46" i="3"/>
  <c r="K32" i="3"/>
  <c r="K31" i="3" s="1"/>
  <c r="L33" i="3"/>
  <c r="K28" i="3"/>
  <c r="K27" i="3" s="1"/>
  <c r="L29" i="3"/>
  <c r="I211" i="1"/>
  <c r="I214" i="1" s="1"/>
  <c r="I215" i="1" s="1"/>
  <c r="H211" i="1"/>
  <c r="H214" i="1" s="1"/>
  <c r="H215" i="1" s="1"/>
  <c r="G211" i="1"/>
  <c r="G214" i="1" s="1"/>
  <c r="G215" i="1" s="1"/>
  <c r="F211" i="1"/>
  <c r="F214" i="1" s="1"/>
  <c r="F215" i="1" s="1"/>
  <c r="E211" i="1"/>
  <c r="E214" i="1" s="1"/>
  <c r="E215" i="1" s="1"/>
  <c r="D211" i="1"/>
  <c r="D214" i="1" s="1"/>
  <c r="D215" i="1" s="1"/>
  <c r="C211" i="1"/>
  <c r="C214" i="1" s="1"/>
  <c r="C215" i="1" s="1"/>
  <c r="B211" i="1"/>
  <c r="B214" i="1" s="1"/>
  <c r="B215" i="1" s="1"/>
  <c r="I196" i="1"/>
  <c r="I198" i="1" s="1"/>
  <c r="H196" i="1"/>
  <c r="H198" i="1" s="1"/>
  <c r="H199" i="1" s="1"/>
  <c r="H200" i="1" s="1"/>
  <c r="G196" i="1"/>
  <c r="G198" i="1" s="1"/>
  <c r="F196" i="1"/>
  <c r="F198" i="1" s="1"/>
  <c r="E196" i="1"/>
  <c r="E198" i="1" s="1"/>
  <c r="D196" i="1"/>
  <c r="D198" i="1" s="1"/>
  <c r="C196" i="1"/>
  <c r="C198" i="1" s="1"/>
  <c r="B196" i="1"/>
  <c r="B198" i="1" s="1"/>
  <c r="I181" i="1"/>
  <c r="I184" i="1" s="1"/>
  <c r="I185" i="1" s="1"/>
  <c r="H181" i="1"/>
  <c r="H184" i="1" s="1"/>
  <c r="H185" i="1" s="1"/>
  <c r="G181" i="1"/>
  <c r="G184" i="1" s="1"/>
  <c r="G185" i="1" s="1"/>
  <c r="F181" i="1"/>
  <c r="F184" i="1" s="1"/>
  <c r="F185" i="1" s="1"/>
  <c r="E181" i="1"/>
  <c r="E184" i="1" s="1"/>
  <c r="E185" i="1" s="1"/>
  <c r="D181" i="1"/>
  <c r="D184" i="1" s="1"/>
  <c r="D185" i="1" s="1"/>
  <c r="C181" i="1"/>
  <c r="C184" i="1" s="1"/>
  <c r="C185" i="1" s="1"/>
  <c r="B181" i="1"/>
  <c r="B184" i="1" s="1"/>
  <c r="B185" i="1" s="1"/>
  <c r="F11" i="3" l="1"/>
  <c r="F192" i="3" s="1"/>
  <c r="F6" i="3"/>
  <c r="H9" i="3"/>
  <c r="I9" i="3"/>
  <c r="G9" i="3"/>
  <c r="F9" i="3"/>
  <c r="E11" i="3"/>
  <c r="E192" i="3" s="1"/>
  <c r="E6" i="3"/>
  <c r="H11" i="3"/>
  <c r="H192" i="3" s="1"/>
  <c r="H6" i="3"/>
  <c r="D11" i="3"/>
  <c r="D192" i="3" s="1"/>
  <c r="D6" i="3"/>
  <c r="I11" i="3"/>
  <c r="I192" i="3" s="1"/>
  <c r="I6" i="3"/>
  <c r="D9" i="3"/>
  <c r="C9" i="3"/>
  <c r="B9" i="3"/>
  <c r="E9" i="3"/>
  <c r="G11" i="3"/>
  <c r="G192" i="3" s="1"/>
  <c r="G6" i="3"/>
  <c r="C11" i="3"/>
  <c r="C192" i="3" s="1"/>
  <c r="B36" i="3"/>
  <c r="B5" i="3"/>
  <c r="I199" i="1"/>
  <c r="I200" i="1" s="1"/>
  <c r="I36" i="3"/>
  <c r="B199" i="1"/>
  <c r="B200" i="1" s="1"/>
  <c r="M41" i="3"/>
  <c r="C36" i="3"/>
  <c r="G36" i="3"/>
  <c r="H36" i="3"/>
  <c r="D36" i="3"/>
  <c r="F36" i="3"/>
  <c r="E36" i="3"/>
  <c r="L32" i="3"/>
  <c r="M33" i="3"/>
  <c r="L31" i="3"/>
  <c r="L28" i="3"/>
  <c r="L27" i="3" s="1"/>
  <c r="M29" i="3"/>
  <c r="K21" i="3"/>
  <c r="C199" i="1"/>
  <c r="C200" i="1" s="1"/>
  <c r="D199" i="1"/>
  <c r="D200" i="1" s="1"/>
  <c r="G199" i="1"/>
  <c r="G200" i="1" s="1"/>
  <c r="E199" i="1"/>
  <c r="E200" i="1" s="1"/>
  <c r="F199" i="1"/>
  <c r="F200" i="1" s="1"/>
  <c r="H21" i="3"/>
  <c r="H3" i="3" s="1"/>
  <c r="H10" i="3" s="1"/>
  <c r="G21" i="3"/>
  <c r="G3" i="3" s="1"/>
  <c r="G10" i="3" s="1"/>
  <c r="F21" i="3"/>
  <c r="F3" i="3" s="1"/>
  <c r="E21" i="3"/>
  <c r="D21" i="3"/>
  <c r="C21" i="3"/>
  <c r="B21" i="3"/>
  <c r="I21" i="3"/>
  <c r="I166" i="1"/>
  <c r="I169" i="1" s="1"/>
  <c r="H166" i="1"/>
  <c r="H169" i="1" s="1"/>
  <c r="G166" i="1"/>
  <c r="G169" i="1" s="1"/>
  <c r="F166" i="1"/>
  <c r="F169" i="1" s="1"/>
  <c r="E166" i="1"/>
  <c r="E169" i="1" s="1"/>
  <c r="D166" i="1"/>
  <c r="D169" i="1" s="1"/>
  <c r="C166" i="1"/>
  <c r="C169" i="1" s="1"/>
  <c r="B166" i="1"/>
  <c r="B169" i="1" s="1"/>
  <c r="H7" i="3" l="1"/>
  <c r="I50" i="3"/>
  <c r="J50" i="3" s="1"/>
  <c r="J48" i="3" s="1"/>
  <c r="I3" i="3"/>
  <c r="G13" i="3"/>
  <c r="G12" i="3"/>
  <c r="E12" i="3"/>
  <c r="B37" i="3"/>
  <c r="F19" i="3"/>
  <c r="F16" i="3"/>
  <c r="B11" i="3"/>
  <c r="B6" i="3"/>
  <c r="H13" i="3"/>
  <c r="H12" i="3"/>
  <c r="C37" i="3"/>
  <c r="C3" i="3"/>
  <c r="D12" i="3"/>
  <c r="F10" i="3"/>
  <c r="F7" i="3"/>
  <c r="E37" i="3"/>
  <c r="E3" i="3"/>
  <c r="G19" i="3"/>
  <c r="G4" i="3"/>
  <c r="G16" i="3"/>
  <c r="D37" i="3"/>
  <c r="D3" i="3"/>
  <c r="H19" i="3"/>
  <c r="H4" i="3"/>
  <c r="H16" i="3"/>
  <c r="C6" i="3"/>
  <c r="G7" i="3"/>
  <c r="I13" i="3"/>
  <c r="I12" i="3"/>
  <c r="F13" i="3"/>
  <c r="F12" i="3"/>
  <c r="E50" i="3"/>
  <c r="E22" i="3"/>
  <c r="E44" i="3"/>
  <c r="E47" i="3"/>
  <c r="E40" i="3"/>
  <c r="H50" i="3"/>
  <c r="H47" i="3"/>
  <c r="H40" i="3"/>
  <c r="H22" i="3"/>
  <c r="H44" i="3"/>
  <c r="B22" i="3"/>
  <c r="B44" i="3"/>
  <c r="B40" i="3"/>
  <c r="B47" i="3"/>
  <c r="B50" i="3"/>
  <c r="F50" i="3"/>
  <c r="F40" i="3"/>
  <c r="F22" i="3"/>
  <c r="F44" i="3"/>
  <c r="F47" i="3"/>
  <c r="H37" i="3"/>
  <c r="D50" i="3"/>
  <c r="D44" i="3"/>
  <c r="D40" i="3"/>
  <c r="D47" i="3"/>
  <c r="D22" i="3"/>
  <c r="C50" i="3"/>
  <c r="C44" i="3"/>
  <c r="C47" i="3"/>
  <c r="C40" i="3"/>
  <c r="C22" i="3"/>
  <c r="G44" i="3"/>
  <c r="G50" i="3"/>
  <c r="G47" i="3"/>
  <c r="G40" i="3"/>
  <c r="G22" i="3"/>
  <c r="F37" i="3"/>
  <c r="G37" i="3"/>
  <c r="N41" i="3"/>
  <c r="J49" i="3"/>
  <c r="K50" i="3"/>
  <c r="I22" i="3"/>
  <c r="I44" i="3"/>
  <c r="J22" i="3"/>
  <c r="I40" i="3"/>
  <c r="I47" i="3"/>
  <c r="J47" i="3" s="1"/>
  <c r="I37" i="3"/>
  <c r="K22" i="3"/>
  <c r="M32" i="3"/>
  <c r="M31" i="3" s="1"/>
  <c r="N33" i="3"/>
  <c r="N32" i="3" s="1"/>
  <c r="L21" i="3"/>
  <c r="M28" i="3"/>
  <c r="M27" i="3" s="1"/>
  <c r="N29" i="3"/>
  <c r="N28" i="3" s="1"/>
  <c r="H154" i="1"/>
  <c r="H155" i="1" s="1"/>
  <c r="B154" i="1"/>
  <c r="N31" i="3" l="1"/>
  <c r="C12" i="3"/>
  <c r="B192" i="3"/>
  <c r="C19" i="3"/>
  <c r="C16" i="3"/>
  <c r="C10" i="3"/>
  <c r="C7" i="3"/>
  <c r="D19" i="3"/>
  <c r="D4" i="3"/>
  <c r="D16" i="3"/>
  <c r="D10" i="3"/>
  <c r="D7" i="3"/>
  <c r="C13" i="3"/>
  <c r="B12" i="3"/>
  <c r="I19" i="3"/>
  <c r="I4" i="3"/>
  <c r="I16" i="3"/>
  <c r="I10" i="3"/>
  <c r="I7" i="3"/>
  <c r="E19" i="3"/>
  <c r="E4" i="3"/>
  <c r="E16" i="3"/>
  <c r="E7" i="3"/>
  <c r="E10" i="3"/>
  <c r="D13" i="3"/>
  <c r="F4" i="3"/>
  <c r="E13" i="3"/>
  <c r="L50" i="3"/>
  <c r="L48" i="3" s="1"/>
  <c r="K49" i="3"/>
  <c r="K47" i="3"/>
  <c r="J45" i="3"/>
  <c r="K48" i="3"/>
  <c r="K37" i="3"/>
  <c r="L22" i="3"/>
  <c r="N27" i="3"/>
  <c r="N21" i="3" s="1"/>
  <c r="M21" i="3"/>
  <c r="E154" i="1"/>
  <c r="E155" i="1" s="1"/>
  <c r="G154" i="1"/>
  <c r="G155" i="1" s="1"/>
  <c r="D154" i="1"/>
  <c r="D155" i="1" s="1"/>
  <c r="F154" i="1"/>
  <c r="F155" i="1" s="1"/>
  <c r="I154" i="1"/>
  <c r="B155" i="1" s="1"/>
  <c r="C154" i="1"/>
  <c r="C155" i="1" s="1"/>
  <c r="H99" i="1"/>
  <c r="G99" i="1"/>
  <c r="F99" i="1"/>
  <c r="E99" i="1"/>
  <c r="D99" i="1"/>
  <c r="C99" i="1"/>
  <c r="B99" i="1"/>
  <c r="I99" i="1"/>
  <c r="G76" i="1"/>
  <c r="F76" i="1"/>
  <c r="E76" i="1"/>
  <c r="C76" i="1"/>
  <c r="B76" i="1"/>
  <c r="D76" i="1"/>
  <c r="H58" i="1"/>
  <c r="G58" i="1"/>
  <c r="F58" i="1"/>
  <c r="E58" i="1"/>
  <c r="D58" i="1"/>
  <c r="C58" i="1"/>
  <c r="B58" i="1"/>
  <c r="I58" i="1"/>
  <c r="H45" i="1"/>
  <c r="H59" i="1" s="1"/>
  <c r="G45" i="1"/>
  <c r="G59" i="1" s="1"/>
  <c r="F45" i="1"/>
  <c r="F59" i="1" s="1"/>
  <c r="E45" i="1"/>
  <c r="E59" i="1" s="1"/>
  <c r="D45" i="1"/>
  <c r="D59" i="1" s="1"/>
  <c r="C45" i="1"/>
  <c r="C59" i="1" s="1"/>
  <c r="B45" i="1"/>
  <c r="B59" i="1" s="1"/>
  <c r="I45" i="1"/>
  <c r="H30" i="1"/>
  <c r="H36" i="1" s="1"/>
  <c r="G30" i="1"/>
  <c r="G36" i="1" s="1"/>
  <c r="F30" i="1"/>
  <c r="F36" i="1" s="1"/>
  <c r="E30" i="1"/>
  <c r="E36" i="1" s="1"/>
  <c r="D30" i="1"/>
  <c r="D36" i="1" s="1"/>
  <c r="C30" i="1"/>
  <c r="C36" i="1" s="1"/>
  <c r="B30" i="1"/>
  <c r="B36" i="1" s="1"/>
  <c r="I30" i="1"/>
  <c r="I36" i="1" s="1"/>
  <c r="J46" i="3" l="1"/>
  <c r="L47" i="3"/>
  <c r="K45" i="3"/>
  <c r="K46" i="3" s="1"/>
  <c r="J36" i="3"/>
  <c r="L49" i="3"/>
  <c r="M50" i="3"/>
  <c r="M48" i="3" s="1"/>
  <c r="L37" i="3"/>
  <c r="M22" i="3"/>
  <c r="N22" i="3"/>
  <c r="E20" i="1"/>
  <c r="E170" i="1"/>
  <c r="F20" i="1"/>
  <c r="F170" i="1"/>
  <c r="H20" i="1"/>
  <c r="H170" i="1"/>
  <c r="I20" i="1"/>
  <c r="I170" i="1"/>
  <c r="B20" i="1"/>
  <c r="B170" i="1"/>
  <c r="C20" i="1"/>
  <c r="C170" i="1"/>
  <c r="D20" i="1"/>
  <c r="D170" i="1"/>
  <c r="E101" i="1"/>
  <c r="D101" i="1"/>
  <c r="D103" i="1" s="1"/>
  <c r="D104" i="1" s="1"/>
  <c r="C101" i="1"/>
  <c r="C103" i="1" s="1"/>
  <c r="C104" i="1" s="1"/>
  <c r="B101" i="1"/>
  <c r="B103" i="1" s="1"/>
  <c r="B104" i="1" s="1"/>
  <c r="F101" i="1"/>
  <c r="G101" i="1"/>
  <c r="H76" i="1"/>
  <c r="H101" i="1" s="1"/>
  <c r="B60" i="1"/>
  <c r="E60" i="1"/>
  <c r="F60" i="1"/>
  <c r="I59" i="1"/>
  <c r="I60" i="1" s="1"/>
  <c r="G60" i="1"/>
  <c r="H60" i="1"/>
  <c r="C60" i="1"/>
  <c r="D60" i="1"/>
  <c r="G103" i="1" l="1"/>
  <c r="F103" i="1"/>
  <c r="E103" i="1"/>
  <c r="K36" i="3"/>
  <c r="H103" i="1"/>
  <c r="M47" i="3"/>
  <c r="L45" i="3"/>
  <c r="L46" i="3" s="1"/>
  <c r="J44" i="3"/>
  <c r="M49" i="3"/>
  <c r="N50" i="3"/>
  <c r="M37" i="3"/>
  <c r="I76" i="1"/>
  <c r="I101" i="1" s="1"/>
  <c r="G20" i="1"/>
  <c r="G170" i="1"/>
  <c r="H104" i="1"/>
  <c r="F104" i="1" l="1"/>
  <c r="I102" i="1"/>
  <c r="G104" i="1"/>
  <c r="E104" i="1"/>
  <c r="K44" i="3"/>
  <c r="I103" i="1"/>
  <c r="I104" i="1" s="1"/>
  <c r="N47" i="3"/>
  <c r="M45" i="3"/>
  <c r="M46" i="3" s="1"/>
  <c r="L36" i="3"/>
  <c r="N49" i="3"/>
  <c r="N48" i="3"/>
  <c r="N37" i="3"/>
  <c r="H1" i="1"/>
  <c r="G1" i="1" s="1"/>
  <c r="F1" i="1" s="1"/>
  <c r="E1" i="1" s="1"/>
  <c r="D1" i="1" s="1"/>
  <c r="C1" i="1" s="1"/>
  <c r="B1" i="1" s="1"/>
  <c r="L44" i="3" l="1"/>
  <c r="M36" i="3"/>
  <c r="N45" i="3"/>
  <c r="N46" i="3" s="1"/>
  <c r="N36" i="3"/>
  <c r="N44" i="3" l="1"/>
  <c r="M44" i="3"/>
  <c r="M39" i="3"/>
  <c r="N39" i="3"/>
  <c r="M40" i="3"/>
  <c r="N40" i="3"/>
  <c r="K40" i="3"/>
  <c r="L39" i="3"/>
  <c r="L40" i="3"/>
  <c r="B196" i="3" l="1"/>
  <c r="B206" i="3"/>
  <c r="B199" i="3"/>
  <c r="B203" i="3"/>
  <c r="B193" i="3"/>
  <c r="C188" i="3"/>
  <c r="C190" i="3" s="1"/>
  <c r="B3" i="3"/>
  <c r="B10" i="3" s="1"/>
  <c r="B188" i="3"/>
  <c r="B190" i="3" s="1"/>
  <c r="C4" i="3" l="1"/>
  <c r="B7" i="3"/>
  <c r="B16" i="3"/>
  <c r="B4" i="3"/>
  <c r="B13" i="3"/>
  <c r="B19" i="3"/>
  <c r="J3" i="3"/>
  <c r="K3" i="3"/>
  <c r="K194" i="3"/>
  <c r="L3" i="3"/>
  <c r="J194" i="3"/>
  <c r="J14" i="3" s="1"/>
  <c r="J201" i="3"/>
  <c r="J5" i="3" s="1"/>
  <c r="J204" i="3"/>
  <c r="K204" i="3"/>
  <c r="J205" i="3"/>
  <c r="K205" i="3" l="1"/>
  <c r="K17" i="3"/>
  <c r="J197" i="3"/>
  <c r="J17" i="3"/>
  <c r="J18" i="3" s="1"/>
  <c r="K4" i="3"/>
  <c r="J4" i="3"/>
  <c r="L4" i="3"/>
  <c r="J15" i="3"/>
  <c r="J16" i="3"/>
  <c r="J198" i="3"/>
  <c r="J191" i="3"/>
  <c r="J192" i="3" s="1"/>
  <c r="K195" i="3"/>
  <c r="K14" i="3"/>
  <c r="J6" i="3"/>
  <c r="J7" i="3"/>
  <c r="K197" i="3"/>
  <c r="J202" i="3"/>
  <c r="K201" i="3"/>
  <c r="J195" i="3"/>
  <c r="L201" i="3"/>
  <c r="L194" i="3"/>
  <c r="L204" i="3"/>
  <c r="L17" i="3" s="1"/>
  <c r="K18" i="3" l="1"/>
  <c r="K191" i="3"/>
  <c r="K192" i="3" s="1"/>
  <c r="K5" i="3"/>
  <c r="K202" i="3"/>
  <c r="L197" i="3"/>
  <c r="L191" i="3" s="1"/>
  <c r="L192" i="3" s="1"/>
  <c r="L205" i="3"/>
  <c r="L14" i="3"/>
  <c r="L195" i="3"/>
  <c r="L5" i="3"/>
  <c r="L202" i="3"/>
  <c r="M201" i="3"/>
  <c r="M3" i="3"/>
  <c r="M204" i="3"/>
  <c r="M17" i="3" s="1"/>
  <c r="M194" i="3"/>
  <c r="K8" i="3"/>
  <c r="K198" i="3"/>
  <c r="K16" i="3"/>
  <c r="K15" i="3"/>
  <c r="L18" i="3"/>
  <c r="M14" i="3" l="1"/>
  <c r="M195" i="3"/>
  <c r="M202" i="3"/>
  <c r="M5" i="3"/>
  <c r="M205" i="3"/>
  <c r="M197" i="3"/>
  <c r="L15" i="3"/>
  <c r="L16" i="3"/>
  <c r="N194" i="3"/>
  <c r="N201" i="3"/>
  <c r="N3" i="3"/>
  <c r="N204" i="3"/>
  <c r="N17" i="3" s="1"/>
  <c r="L7" i="3"/>
  <c r="L6" i="3"/>
  <c r="L8" i="3"/>
  <c r="L11" i="3" s="1"/>
  <c r="L198" i="3"/>
  <c r="K7" i="3"/>
  <c r="K11" i="3"/>
  <c r="K6" i="3"/>
  <c r="K10" i="3"/>
  <c r="M4" i="3"/>
  <c r="M18" i="3"/>
  <c r="K13" i="3" l="1"/>
  <c r="M6" i="3"/>
  <c r="M7" i="3"/>
  <c r="L12" i="3"/>
  <c r="L13" i="3"/>
  <c r="N14" i="3"/>
  <c r="N195" i="3"/>
  <c r="N18" i="3"/>
  <c r="N4" i="3"/>
  <c r="N5" i="3"/>
  <c r="N191" i="3"/>
  <c r="N202" i="3"/>
  <c r="M8" i="3"/>
  <c r="M11" i="3" s="1"/>
  <c r="M198" i="3"/>
  <c r="L10" i="3"/>
  <c r="L9" i="3"/>
  <c r="N197" i="3"/>
  <c r="N205" i="3"/>
  <c r="M191" i="3"/>
  <c r="M192" i="3" s="1"/>
  <c r="M16" i="3"/>
  <c r="M15" i="3"/>
  <c r="N192" i="3" l="1"/>
  <c r="M12" i="3"/>
  <c r="M13" i="3"/>
  <c r="N6" i="3"/>
  <c r="N7" i="3"/>
  <c r="N15" i="3"/>
  <c r="N16" i="3"/>
  <c r="N8" i="3"/>
  <c r="N11" i="3" s="1"/>
  <c r="N198" i="3"/>
  <c r="M10" i="3"/>
  <c r="M9" i="3"/>
  <c r="N13" i="3" l="1"/>
  <c r="N12" i="3"/>
  <c r="N9" i="3"/>
  <c r="N10" i="3"/>
  <c r="J39" i="3" l="1"/>
  <c r="K39" i="3"/>
  <c r="J40" i="3"/>
  <c r="J8" i="3"/>
  <c r="K9" i="3" s="1"/>
  <c r="J11" i="3" l="1"/>
  <c r="J9" i="3"/>
  <c r="J10" i="3"/>
  <c r="J12" i="3" l="1"/>
  <c r="K12" i="3"/>
  <c r="J13" i="3"/>
</calcChain>
</file>

<file path=xl/comments1.xml><?xml version="1.0" encoding="utf-8"?>
<comments xmlns="http://schemas.openxmlformats.org/spreadsheetml/2006/main">
  <authors>
    <author>Dell</author>
  </authors>
  <commentList>
    <comment ref="A198" authorId="0" shapeId="0">
      <text>
        <r>
          <rPr>
            <b/>
            <sz val="9"/>
            <color indexed="81"/>
            <rFont val="Tahoma"/>
            <family val="2"/>
          </rPr>
          <t>Dell:</t>
        </r>
        <r>
          <rPr>
            <sz val="9"/>
            <color indexed="81"/>
            <rFont val="Tahoma"/>
            <family val="2"/>
          </rPr>
          <t xml:space="preserve">
Kept as balancing figure, since the reported segmental breakdowns and the cahsflow numbers have a small difference which cannot be traced back.</t>
        </r>
      </text>
    </comment>
  </commentList>
</comments>
</file>

<file path=xl/sharedStrings.xml><?xml version="1.0" encoding="utf-8"?>
<sst xmlns="http://schemas.openxmlformats.org/spreadsheetml/2006/main" count="547" uniqueCount="225">
  <si>
    <t>CONSOLIDATED BALANCE SHEETS</t>
  </si>
  <si>
    <t>CONSOLIDATED STATEMENTS OF CASH FLOWS</t>
  </si>
  <si>
    <t>Check (Reported diluted EPS-(Net income/diluted no. of shares)</t>
  </si>
  <si>
    <t xml:space="preserve"> Check (total assets - total labilities and equity)</t>
  </si>
  <si>
    <t>Gross profit</t>
  </si>
  <si>
    <t>Other (income) expense, net</t>
  </si>
  <si>
    <t>Basic</t>
  </si>
  <si>
    <t>Diluted</t>
  </si>
  <si>
    <t>Net earnings per share:</t>
  </si>
  <si>
    <t>Average shares outstanding:</t>
  </si>
  <si>
    <t>Total current assets</t>
  </si>
  <si>
    <t>Accounts payable</t>
  </si>
  <si>
    <t>Accrued liabilities</t>
  </si>
  <si>
    <t>Total current liabilities</t>
  </si>
  <si>
    <t>Additions to property, plant and equipment</t>
  </si>
  <si>
    <t>(Link Net income figures from income statement)</t>
  </si>
  <si>
    <t>Repurchase of common stock</t>
  </si>
  <si>
    <t>Cash paid during the year for:</t>
  </si>
  <si>
    <t>Income taxes</t>
  </si>
  <si>
    <t xml:space="preserve"> Check (cash at eop - cash in balance sheet)</t>
  </si>
  <si>
    <t>Instructions</t>
  </si>
  <si>
    <t>Demand creation expense</t>
  </si>
  <si>
    <t>Operating overhead expense</t>
  </si>
  <si>
    <t>Total selling and administrative expense</t>
  </si>
  <si>
    <t>Interest expense (income), net</t>
  </si>
  <si>
    <t>Income before income taxes</t>
  </si>
  <si>
    <t>Income tax expense</t>
  </si>
  <si>
    <t>Revenues</t>
  </si>
  <si>
    <t>Cost of sales</t>
  </si>
  <si>
    <t>NET INCOME</t>
  </si>
  <si>
    <t>ASSETS</t>
  </si>
  <si>
    <t>Current assets:</t>
  </si>
  <si>
    <t>Cash and equivalents</t>
  </si>
  <si>
    <t>Short-term investments</t>
  </si>
  <si>
    <t>Accounts receivable, net</t>
  </si>
  <si>
    <t>Inventories</t>
  </si>
  <si>
    <t>Prepaid expenses and other current assets</t>
  </si>
  <si>
    <t>Property, plant and equipment, net</t>
  </si>
  <si>
    <t>Operating lease right-of-use assets, net</t>
  </si>
  <si>
    <t>Identifiable intangible assets, net</t>
  </si>
  <si>
    <t>Goodwill</t>
  </si>
  <si>
    <t>Deferred income taxes and other assets</t>
  </si>
  <si>
    <t>TOTAL ASSETS</t>
  </si>
  <si>
    <t>LIABILITIES AND SHAREHOLDERS' EQUITY</t>
  </si>
  <si>
    <t>Current liabilities:</t>
  </si>
  <si>
    <t>Current portion of long-term debt</t>
  </si>
  <si>
    <t>Notes payable</t>
  </si>
  <si>
    <t>Current portion of operating lease liabilities</t>
  </si>
  <si>
    <t>Income taxes payable</t>
  </si>
  <si>
    <t>Long-term debt</t>
  </si>
  <si>
    <t>Operating lease liabilities</t>
  </si>
  <si>
    <t>Deferred income taxes and other liabilities</t>
  </si>
  <si>
    <t>Commitments and contingencies (Note 18)</t>
  </si>
  <si>
    <t>Redeemable preferred stock</t>
  </si>
  <si>
    <t>Shareholders' equity:</t>
  </si>
  <si>
    <t>Common stock at stated value:</t>
  </si>
  <si>
    <t>Class A convertible — 305 and 305 shares outstanding</t>
  </si>
  <si>
    <t>Class B — 1,266 and 1,273 shares outstanding</t>
  </si>
  <si>
    <t>Capital in excess of stated value</t>
  </si>
  <si>
    <t>Accumulated other comprehensive income (loss)</t>
  </si>
  <si>
    <t>Retained earnings (deficit)</t>
  </si>
  <si>
    <t>Total shareholders' equity</t>
  </si>
  <si>
    <t>TOTAL LIABILITIES AND SHAREHOLDERS' EQUITY</t>
  </si>
  <si>
    <t>Cash provided (used) by operations:</t>
  </si>
  <si>
    <t>Net income</t>
  </si>
  <si>
    <t>Adjustments to reconcile net income to net cash provided (used) by operations:</t>
  </si>
  <si>
    <t>Depreciation</t>
  </si>
  <si>
    <t>Deferred income taxes</t>
  </si>
  <si>
    <t>Stock-based compensation</t>
  </si>
  <si>
    <t>Amortization, impairment and other</t>
  </si>
  <si>
    <t>Net foreign currency adjustments</t>
  </si>
  <si>
    <t>Changes in certain working capital components and other assets and liabilities:</t>
  </si>
  <si>
    <t>(Increase) decrease in accounts receivable</t>
  </si>
  <si>
    <t>(Increase) decrease in inventories</t>
  </si>
  <si>
    <t>Cash provided (used) by operations</t>
  </si>
  <si>
    <t>Cash provided (used) by investing activities:</t>
  </si>
  <si>
    <t>Purchases of short-term investments</t>
  </si>
  <si>
    <t>Maturities of short-term investments</t>
  </si>
  <si>
    <t>Sales of short-term investments</t>
  </si>
  <si>
    <t>Other investing activities</t>
  </si>
  <si>
    <t>Cash provided (used) by investing activities</t>
  </si>
  <si>
    <t>Cash provided (used) by financing activities:</t>
  </si>
  <si>
    <t>Proceeds from borrowings, net of debt issuance costs</t>
  </si>
  <si>
    <t>Increase (decrease) in notes payable, net</t>
  </si>
  <si>
    <t>Repayment of borrowings</t>
  </si>
  <si>
    <t>Proceeds from exercise of stock options and other stock issuances</t>
  </si>
  <si>
    <t>Dividends — common and preferred</t>
  </si>
  <si>
    <t>Other financing activities</t>
  </si>
  <si>
    <t>Cash provided (used) by financing activities</t>
  </si>
  <si>
    <t>Effect of exchange rate changes on cash and equivalents</t>
  </si>
  <si>
    <t>Net increase (decrease) in cash and equivalents</t>
  </si>
  <si>
    <t>Cash and equivalents, beginning of year</t>
  </si>
  <si>
    <t>CASH AND EQUIVALENTS, END OF YEAR</t>
  </si>
  <si>
    <t>Supplemental disclosure of cash flow information:</t>
  </si>
  <si>
    <t>Interest, net of capitalized interest</t>
  </si>
  <si>
    <t>Non-cash additions to property, plant and equipment</t>
  </si>
  <si>
    <t>Dividends declared and not paid</t>
  </si>
  <si>
    <t>Increase (decrease) in accounts payable, accrued liabilities, operating lease liabilities and other current and non-current liabilities</t>
  </si>
  <si>
    <t>(Increase) decrease in prepaid expenses, operating lease right-of-use assets and other current and non-current assets</t>
  </si>
  <si>
    <t>Segmental Breakdowns</t>
  </si>
  <si>
    <t>North America</t>
  </si>
  <si>
    <t>Europe, Middle East &amp; Africa</t>
  </si>
  <si>
    <t>Greater China</t>
  </si>
  <si>
    <t>TOTAL NIKE BRAND</t>
  </si>
  <si>
    <t>Converse</t>
  </si>
  <si>
    <t>TOTAL NIKE, INC. REVENUES</t>
  </si>
  <si>
    <t>Asia Pacific &amp; Latin America</t>
  </si>
  <si>
    <t>Global Brand Divisions</t>
  </si>
  <si>
    <t>Corporate</t>
  </si>
  <si>
    <t>Revenue:</t>
  </si>
  <si>
    <t>EBIT:</t>
  </si>
  <si>
    <t xml:space="preserve"> Check</t>
  </si>
  <si>
    <t>TOTAL NIKE, INC. EBIT</t>
  </si>
  <si>
    <t>Footwear</t>
  </si>
  <si>
    <t>Apparel</t>
  </si>
  <si>
    <t>Equipment</t>
  </si>
  <si>
    <r>
      <rPr>
        <b/>
        <sz val="16"/>
        <color theme="0"/>
        <rFont val="Calibri"/>
        <family val="2"/>
        <scheme val="minor"/>
      </rPr>
      <t>NIKE, INC.</t>
    </r>
    <r>
      <rPr>
        <b/>
        <sz val="20"/>
        <color theme="0"/>
        <rFont val="Calibri"/>
        <family val="2"/>
        <scheme val="minor"/>
      </rPr>
      <t xml:space="preserve">
</t>
    </r>
    <r>
      <rPr>
        <sz val="11"/>
        <color theme="0"/>
        <rFont val="Calibri"/>
        <family val="2"/>
        <scheme val="minor"/>
      </rPr>
      <t>(Dollars and Shares in Millions Except Per Share Amounts)</t>
    </r>
  </si>
  <si>
    <t>PROPERTY, PLANT AND EQUIPMENT, NET</t>
  </si>
  <si>
    <t>Asia Pacific &amp; Latin America(1)</t>
  </si>
  <si>
    <t>Total NIKE Brand</t>
  </si>
  <si>
    <t>TOTAL PROPERTY, PLANT AND EQUIPMENT, NET</t>
  </si>
  <si>
    <t>Other</t>
  </si>
  <si>
    <t>ADDITIONS TO PROPERTY, PLANT AND EQUIPMENT</t>
  </si>
  <si>
    <t>TOTAL ADDITIONS TO PROPERTY, PLANT AND EQUIPMENT</t>
  </si>
  <si>
    <t>DEPRECIATION</t>
  </si>
  <si>
    <t>TOTAL DEPRECIATION</t>
  </si>
  <si>
    <t>Revenue Drivers</t>
  </si>
  <si>
    <t>Organic revenue growth</t>
  </si>
  <si>
    <t>Group Totals</t>
  </si>
  <si>
    <t>Growth %</t>
  </si>
  <si>
    <t>EBITDA</t>
  </si>
  <si>
    <t>Margin %</t>
  </si>
  <si>
    <t>D&amp;A</t>
  </si>
  <si>
    <t>As a  % of revenue</t>
  </si>
  <si>
    <t>EBIT</t>
  </si>
  <si>
    <t>Capex</t>
  </si>
  <si>
    <t>Revenue</t>
  </si>
  <si>
    <t>Organic growth %</t>
  </si>
  <si>
    <t>Currency impact %</t>
  </si>
  <si>
    <t>Group Revenue</t>
  </si>
  <si>
    <t>As a % of PPE</t>
  </si>
  <si>
    <t>Property, plant and equipment</t>
  </si>
  <si>
    <t>Investment in reverse repurchase agreement</t>
  </si>
  <si>
    <t>Disposable of property, plant and equipment</t>
  </si>
  <si>
    <t>Decrease (increase in other assets, net of other liabilities)</t>
  </si>
  <si>
    <t>Long-term debt payments, including current portion</t>
  </si>
  <si>
    <t>Payment of capital lease and other financial obligations</t>
  </si>
  <si>
    <t>Excess tax benefits from share-based payments arrangements</t>
  </si>
  <si>
    <t>Tax for net share settlement of equity awards</t>
  </si>
  <si>
    <t>Western Europe</t>
  </si>
  <si>
    <t>Central &amp; Eastern Europe</t>
  </si>
  <si>
    <t>Japan</t>
  </si>
  <si>
    <t>Emerging markets</t>
  </si>
  <si>
    <t>Europe Middle East &amp; Africa</t>
  </si>
  <si>
    <t>CAPEX</t>
  </si>
  <si>
    <t>As a % of revenue</t>
  </si>
  <si>
    <t>Income Statement</t>
  </si>
  <si>
    <t>EBTDA</t>
  </si>
  <si>
    <t>PBT</t>
  </si>
  <si>
    <t>Tax rate %</t>
  </si>
  <si>
    <t>Net Income</t>
  </si>
  <si>
    <t>Diluted number of shares</t>
  </si>
  <si>
    <t>EPS</t>
  </si>
  <si>
    <t>DPS</t>
  </si>
  <si>
    <t>Payout ratio%</t>
  </si>
  <si>
    <t>Balance Sheet</t>
  </si>
  <si>
    <t>Cash and Cash Equivalents</t>
  </si>
  <si>
    <t>Other Items Included in Net Debt</t>
  </si>
  <si>
    <t>Net Working Capital</t>
  </si>
  <si>
    <t>Other Current Assets</t>
  </si>
  <si>
    <t>Property Plant and Equipment</t>
  </si>
  <si>
    <t>Intangible Assets</t>
  </si>
  <si>
    <t>Other Assets</t>
  </si>
  <si>
    <t>Total Assets</t>
  </si>
  <si>
    <t>Current Borrowings</t>
  </si>
  <si>
    <t>Other Current Liabilities</t>
  </si>
  <si>
    <t>Other non-current Liabilities</t>
  </si>
  <si>
    <t>Equity</t>
  </si>
  <si>
    <t>Common stock</t>
  </si>
  <si>
    <t>Retained Earnings</t>
  </si>
  <si>
    <t>Other Components of Equity</t>
  </si>
  <si>
    <t>Total Liabilities and Equity</t>
  </si>
  <si>
    <t>Check</t>
  </si>
  <si>
    <t>Cash flow</t>
  </si>
  <si>
    <t>Cash Tax</t>
  </si>
  <si>
    <t>NOPAT</t>
  </si>
  <si>
    <t>Cash Interest</t>
  </si>
  <si>
    <t>(Increase)/Decrease in Working Capital</t>
  </si>
  <si>
    <t>FCFF</t>
  </si>
  <si>
    <t>Other Operating Activities</t>
  </si>
  <si>
    <t>CFO</t>
  </si>
  <si>
    <t xml:space="preserve">Acquisitions </t>
  </si>
  <si>
    <t>Other Investing Activities</t>
  </si>
  <si>
    <t>CFI</t>
  </si>
  <si>
    <t>Share Issuance/Buybacks</t>
  </si>
  <si>
    <t>Dividends Paid to Shareholders</t>
  </si>
  <si>
    <t>Borrowings</t>
  </si>
  <si>
    <t>Other Financing Activities</t>
  </si>
  <si>
    <t>CFF</t>
  </si>
  <si>
    <t>Other Adjustments</t>
  </si>
  <si>
    <t>Net Change in Cash</t>
  </si>
  <si>
    <t>Opening Cash</t>
  </si>
  <si>
    <t>Closing Cash</t>
  </si>
  <si>
    <t>Net Debt (Cash)</t>
  </si>
  <si>
    <t>The growth rate of 5.7% was chosen from the speculated growth rate of Nike's revenue by Refinitiv. Available at: https://www.cnbc.com/2021/12/20/nike-nke-q2-2022-</t>
  </si>
  <si>
    <t>EBIT is expected to decline by 6% as reported in the FY 2023 Q4 Earnings Release Conference Call Transcript</t>
  </si>
  <si>
    <t>EBIT is expected to decline by 13% as reported in the FY 2023 Q4 Earnings Release Conference Call Transcript</t>
  </si>
  <si>
    <t>EBIT is expected to increase by 70% as reported in the FY 2023 Q4 Earnings Release Conference Call Transcript</t>
  </si>
  <si>
    <t>EBIT is expected to decline by 16% as reported in the FY 2023 Q4 Earnings Release Conference Call Transcript</t>
  </si>
  <si>
    <t>The growth rate is a s a result of each segmental growth rate.</t>
  </si>
  <si>
    <t>The growth rate of 5% was chosen from the FY23 Q4 Earning Release Conference Call Transcript.</t>
  </si>
  <si>
    <t>The growth rate of 7% was chosen from the FY23 Q4 Earning Release Conference Call Transcript.</t>
  </si>
  <si>
    <t>The growth rate of 25% was chosen from the FY23 Q4 Earning Release Conference Call Transcript.</t>
  </si>
  <si>
    <t>The growth rate of 6% was chosen from the FY23 Q4 Earning Release Conference Call Transcript.</t>
  </si>
  <si>
    <t>You can take up to 5 days for this exercise</t>
  </si>
  <si>
    <t>Balancing the model</t>
  </si>
  <si>
    <t>Note that the balancing should be done column by column i.e. year by year not row by row (since net debt will change the interest and tax every year)</t>
  </si>
  <si>
    <t>Add up  the Cash flow CFO, CFI and CFF to arrive at closing cash and net debt</t>
  </si>
  <si>
    <t>Link closing cash to the balance sheet</t>
  </si>
  <si>
    <t>Link change in other assets in balance sheet to other investing activities in cash flow</t>
  </si>
  <si>
    <t>Read up on the share buy-back plans of the company, include the buy back amount in cash flow forecast and link that to the number of shares (Opening share count + (buy back amount/1 year average share price at the bottom of cash flow))</t>
  </si>
  <si>
    <t>Note that the share buy back should be subtracted from the retained earnings as well</t>
  </si>
  <si>
    <t>Ideally the balance sheet should tally on both Assets and Liabilities, if doesn't, think of all the forecasts that you have made and ensure the double entry impact is reflected. i.e. Capex should show cash out flow whilst asset addition balancing out the impact</t>
  </si>
  <si>
    <t>Feel free to reach out to me if you are have trouble balancing the model.</t>
  </si>
  <si>
    <t>Nike recorded a buyback of 1.379 billion in May 31, 2.23.</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</si>
</sst>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3" formatCode="_(* #,##0.00_);_(* \(#,##0.00\);_(* &quot;-&quot;??_);_(@_)"/>
    <numFmt numFmtId="164" formatCode="_-* #,##0.00_-;\-* #,##0.00_-;_-* &quot;-&quot;??_-;_-@_-"/>
    <numFmt numFmtId="165" formatCode="_(* #,##0_);_(* \(#,##0\);_(* &quot;-&quot;??_);_(@_)"/>
    <numFmt numFmtId="166" formatCode="0.0%"/>
    <numFmt numFmtId="167" formatCode="#,##0.0"/>
    <numFmt numFmtId="168" formatCode="0.0"/>
    <numFmt numFmtId="169" formatCode="_(* #,##0_);_(* \(#,##0\);_(* &quot;-&quot;?_);_(@_)"/>
    <numFmt numFmtId="170" formatCode="_(* #,##0.000_);_(* \(#,##0.000\);_(* &quot;-&quot;??_);_(@_)"/>
  </numFmts>
  <fonts count="19"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20"/>
      <color theme="0"/>
      <name val="Calibri"/>
      <family val="2"/>
      <scheme val="minor"/>
    </font>
    <font>
      <b/>
      <sz val="11"/>
      <color rgb="FFFF0000"/>
      <name val="Calibri"/>
      <family val="2"/>
      <scheme val="minor"/>
    </font>
    <font>
      <b/>
      <sz val="11"/>
      <color theme="0"/>
      <name val="Calibri"/>
      <family val="2"/>
      <scheme val="minor"/>
    </font>
    <font>
      <b/>
      <sz val="16"/>
      <color theme="0"/>
      <name val="Calibri"/>
      <family val="2"/>
      <scheme val="minor"/>
    </font>
    <font>
      <b/>
      <sz val="18"/>
      <color theme="0"/>
      <name val="Calibri"/>
      <family val="2"/>
      <scheme val="minor"/>
    </font>
    <font>
      <sz val="9"/>
      <color indexed="81"/>
      <name val="Tahoma"/>
      <family val="2"/>
    </font>
    <font>
      <b/>
      <sz val="9"/>
      <color indexed="81"/>
      <name val="Tahoma"/>
      <family val="2"/>
    </font>
    <font>
      <i/>
      <sz val="10"/>
      <color theme="1"/>
      <name val="Calibri"/>
      <family val="2"/>
      <scheme val="minor"/>
    </font>
    <font>
      <b/>
      <i/>
      <sz val="10"/>
      <color theme="1"/>
      <name val="Calibri"/>
      <family val="2"/>
      <scheme val="minor"/>
    </font>
    <font>
      <i/>
      <sz val="9"/>
      <color theme="1"/>
      <name val="Calibri"/>
      <family val="2"/>
      <scheme val="minor"/>
    </font>
    <font>
      <i/>
      <sz val="10"/>
      <color rgb="FF002060"/>
      <name val="Calibri"/>
      <family val="2"/>
      <scheme val="minor"/>
    </font>
    <font>
      <i/>
      <sz val="11"/>
      <color theme="1"/>
      <name val="Calibri"/>
      <family val="2"/>
      <scheme val="minor"/>
    </font>
    <font>
      <b/>
      <i/>
      <sz val="11"/>
      <color theme="1"/>
      <name val="Calibri"/>
      <family val="2"/>
      <scheme val="minor"/>
    </font>
    <font>
      <i/>
      <sz val="9"/>
      <color rgb="FF0070C0"/>
      <name val="Calibri"/>
      <family val="2"/>
      <scheme val="minor"/>
    </font>
    <font>
      <b/>
      <sz val="14"/>
      <color theme="0"/>
      <name val="Calibri"/>
      <family val="2"/>
      <scheme val="minor"/>
    </font>
  </fonts>
  <fills count="9">
    <fill>
      <patternFill patternType="none"/>
    </fill>
    <fill>
      <patternFill patternType="gray125"/>
    </fill>
    <fill>
      <patternFill patternType="solid">
        <fgColor rgb="FF002060"/>
        <bgColor indexed="64"/>
      </patternFill>
    </fill>
    <fill>
      <patternFill patternType="solid">
        <fgColor theme="3" tint="0.59999389629810485"/>
        <bgColor indexed="64"/>
      </patternFill>
    </fill>
    <fill>
      <patternFill patternType="solid">
        <fgColor theme="4"/>
      </patternFill>
    </fill>
    <fill>
      <patternFill patternType="solid">
        <fgColor theme="4" tint="0.39997558519241921"/>
        <bgColor indexed="65"/>
      </patternFill>
    </fill>
    <fill>
      <patternFill patternType="solid">
        <fgColor theme="3" tint="0.39997558519241921"/>
        <bgColor indexed="64"/>
      </patternFill>
    </fill>
    <fill>
      <patternFill patternType="solid">
        <fgColor theme="6" tint="0.79998168889431442"/>
        <bgColor indexed="64"/>
      </patternFill>
    </fill>
    <fill>
      <patternFill patternType="solid">
        <fgColor rgb="FFFFFF00"/>
        <bgColor indexed="64"/>
      </patternFill>
    </fill>
  </fills>
  <borders count="5">
    <border>
      <left/>
      <right/>
      <top/>
      <bottom/>
      <diagonal/>
    </border>
    <border>
      <left/>
      <right/>
      <top style="thin">
        <color indexed="64"/>
      </top>
      <bottom/>
      <diagonal/>
    </border>
    <border>
      <left/>
      <right/>
      <top style="thin">
        <color indexed="64"/>
      </top>
      <bottom style="double">
        <color indexed="64"/>
      </bottom>
      <diagonal/>
    </border>
    <border>
      <left/>
      <right/>
      <top/>
      <bottom style="thin">
        <color indexed="64"/>
      </bottom>
      <diagonal/>
    </border>
    <border>
      <left/>
      <right/>
      <top style="thin">
        <color indexed="64"/>
      </top>
      <bottom style="thin">
        <color indexed="64"/>
      </bottom>
      <diagonal/>
    </border>
  </borders>
  <cellStyleXfs count="6">
    <xf numFmtId="0" fontId="0" fillId="0" borderId="0"/>
    <xf numFmtId="43"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0" fontId="3" fillId="4" borderId="0" applyNumberFormat="0" applyBorder="0" applyAlignment="0" applyProtection="0"/>
    <xf numFmtId="0" fontId="3" fillId="5" borderId="0" applyNumberFormat="0" applyBorder="0" applyAlignment="0" applyProtection="0"/>
  </cellStyleXfs>
  <cellXfs count="151">
    <xf numFmtId="0" fontId="0" fillId="0" borderId="0" xfId="0"/>
    <xf numFmtId="0" fontId="2" fillId="0" borderId="0" xfId="0" applyFont="1"/>
    <xf numFmtId="0" fontId="0" fillId="0" borderId="0" xfId="0" applyAlignment="1">
      <alignment horizontal="left" indent="1"/>
    </xf>
    <xf numFmtId="165" fontId="0" fillId="0" borderId="0" xfId="1" applyNumberFormat="1" applyFont="1"/>
    <xf numFmtId="0" fontId="2" fillId="0" borderId="1" xfId="0" applyFont="1" applyBorder="1"/>
    <xf numFmtId="165" fontId="2" fillId="0" borderId="1" xfId="1" applyNumberFormat="1" applyFont="1" applyBorder="1"/>
    <xf numFmtId="0" fontId="2" fillId="0" borderId="2" xfId="0" applyFont="1" applyBorder="1"/>
    <xf numFmtId="165" fontId="2" fillId="0" borderId="2" xfId="1" applyNumberFormat="1" applyFont="1" applyBorder="1"/>
    <xf numFmtId="3" fontId="0" fillId="0" borderId="0" xfId="0" applyNumberFormat="1"/>
    <xf numFmtId="165" fontId="2" fillId="0" borderId="0" xfId="1" applyNumberFormat="1" applyFont="1"/>
    <xf numFmtId="0" fontId="2" fillId="0" borderId="0" xfId="0" applyFont="1" applyAlignment="1">
      <alignment horizontal="left" indent="1"/>
    </xf>
    <xf numFmtId="0" fontId="0" fillId="0" borderId="0" xfId="0" applyAlignment="1">
      <alignment horizontal="left" indent="2"/>
    </xf>
    <xf numFmtId="0" fontId="5" fillId="0" borderId="0" xfId="0" applyFont="1"/>
    <xf numFmtId="165" fontId="5" fillId="0" borderId="0" xfId="0" applyNumberFormat="1" applyFont="1"/>
    <xf numFmtId="0" fontId="2" fillId="3" borderId="0" xfId="0" applyFont="1" applyFill="1" applyAlignment="1">
      <alignment horizontal="center"/>
    </xf>
    <xf numFmtId="0" fontId="4" fillId="2" borderId="0" xfId="0" applyFont="1" applyFill="1" applyAlignment="1">
      <alignment vertical="center" wrapText="1"/>
    </xf>
    <xf numFmtId="0" fontId="6" fillId="2" borderId="0" xfId="0" applyFont="1" applyFill="1" applyAlignment="1">
      <alignment horizontal="right"/>
    </xf>
    <xf numFmtId="0" fontId="0" fillId="0" borderId="0" xfId="0" applyFont="1"/>
    <xf numFmtId="0" fontId="0" fillId="0" borderId="0" xfId="0" applyAlignment="1">
      <alignment horizontal="left" indent="3"/>
    </xf>
    <xf numFmtId="165" fontId="0" fillId="0" borderId="1" xfId="1" applyNumberFormat="1" applyFont="1" applyBorder="1"/>
    <xf numFmtId="0" fontId="0" fillId="0" borderId="1" xfId="0" applyFont="1" applyBorder="1" applyAlignment="1">
      <alignment horizontal="left" indent="1"/>
    </xf>
    <xf numFmtId="0" fontId="2" fillId="0" borderId="0" xfId="0" applyFont="1" applyBorder="1"/>
    <xf numFmtId="0" fontId="0" fillId="0" borderId="3" xfId="0" applyBorder="1"/>
    <xf numFmtId="165" fontId="0" fillId="0" borderId="3" xfId="1" applyNumberFormat="1" applyFont="1" applyBorder="1"/>
    <xf numFmtId="0" fontId="2" fillId="0" borderId="4" xfId="0" applyFont="1" applyBorder="1" applyAlignment="1">
      <alignment horizontal="left"/>
    </xf>
    <xf numFmtId="165" fontId="2" fillId="0" borderId="4" xfId="1" applyNumberFormat="1" applyFont="1" applyBorder="1"/>
    <xf numFmtId="0" fontId="2" fillId="0" borderId="4" xfId="0" applyFont="1" applyBorder="1"/>
    <xf numFmtId="0" fontId="2" fillId="0" borderId="0" xfId="0" applyFont="1" applyAlignment="1">
      <alignment horizontal="left"/>
    </xf>
    <xf numFmtId="0" fontId="11" fillId="0" borderId="0" xfId="0" applyFont="1" applyAlignment="1">
      <alignment horizontal="left" indent="1"/>
    </xf>
    <xf numFmtId="166" fontId="11" fillId="0" borderId="0" xfId="2" applyNumberFormat="1" applyFont="1"/>
    <xf numFmtId="0" fontId="11" fillId="0" borderId="0" xfId="0" applyFont="1" applyAlignment="1">
      <alignment horizontal="left" indent="2"/>
    </xf>
    <xf numFmtId="0" fontId="12" fillId="0" borderId="2" xfId="0" applyFont="1" applyBorder="1"/>
    <xf numFmtId="0" fontId="12" fillId="0" borderId="0" xfId="0" applyFont="1" applyAlignment="1">
      <alignment horizontal="left" indent="1"/>
    </xf>
    <xf numFmtId="166" fontId="12" fillId="0" borderId="0" xfId="2" applyNumberFormat="1" applyFont="1"/>
    <xf numFmtId="0" fontId="11" fillId="0" borderId="1" xfId="0" applyFont="1" applyBorder="1"/>
    <xf numFmtId="166" fontId="12" fillId="0" borderId="2" xfId="2" applyNumberFormat="1" applyFont="1" applyBorder="1"/>
    <xf numFmtId="166" fontId="12" fillId="0" borderId="1" xfId="2" applyNumberFormat="1" applyFont="1" applyBorder="1"/>
    <xf numFmtId="0" fontId="2" fillId="6" borderId="0" xfId="0" applyFont="1" applyFill="1"/>
    <xf numFmtId="165" fontId="6" fillId="4" borderId="0" xfId="4" applyNumberFormat="1" applyFont="1" applyBorder="1" applyAlignment="1">
      <alignment horizontal="left"/>
    </xf>
    <xf numFmtId="165" fontId="2" fillId="0" borderId="0" xfId="1" applyNumberFormat="1" applyFont="1" applyBorder="1"/>
    <xf numFmtId="165" fontId="13" fillId="0" borderId="0" xfId="1" applyNumberFormat="1" applyFont="1" applyBorder="1" applyAlignment="1">
      <alignment horizontal="left" indent="1"/>
    </xf>
    <xf numFmtId="165" fontId="2" fillId="5" borderId="0" xfId="5" applyNumberFormat="1" applyFont="1"/>
    <xf numFmtId="165" fontId="13" fillId="0" borderId="0" xfId="1" applyNumberFormat="1" applyFont="1" applyAlignment="1">
      <alignment horizontal="left" indent="2"/>
    </xf>
    <xf numFmtId="165" fontId="0" fillId="0" borderId="0" xfId="1" applyNumberFormat="1" applyFont="1" applyAlignment="1">
      <alignment horizontal="left" indent="1"/>
    </xf>
    <xf numFmtId="165" fontId="13" fillId="0" borderId="0" xfId="1" applyNumberFormat="1" applyFont="1" applyAlignment="1">
      <alignment horizontal="left" indent="1"/>
    </xf>
    <xf numFmtId="166" fontId="11" fillId="0" borderId="0" xfId="2" applyNumberFormat="1" applyFont="1" applyAlignment="1">
      <alignment horizontal="right"/>
    </xf>
    <xf numFmtId="165" fontId="2" fillId="0" borderId="0" xfId="0" applyNumberFormat="1" applyFont="1"/>
    <xf numFmtId="166" fontId="14" fillId="7" borderId="0" xfId="2" applyNumberFormat="1" applyFont="1" applyFill="1"/>
    <xf numFmtId="167" fontId="0" fillId="0" borderId="0" xfId="0" applyNumberFormat="1"/>
    <xf numFmtId="168" fontId="0" fillId="0" borderId="0" xfId="0" applyNumberFormat="1"/>
    <xf numFmtId="43" fontId="0" fillId="0" borderId="0" xfId="1" applyFont="1"/>
    <xf numFmtId="0" fontId="0" fillId="0" borderId="0" xfId="0" applyAlignment="1">
      <alignment horizontal="left"/>
    </xf>
    <xf numFmtId="165" fontId="13" fillId="0" borderId="0" xfId="1" applyNumberFormat="1" applyFont="1" applyFill="1" applyAlignment="1">
      <alignment horizontal="left" indent="1"/>
    </xf>
    <xf numFmtId="166" fontId="11" fillId="0" borderId="0" xfId="2" applyNumberFormat="1" applyFont="1" applyFill="1" applyAlignment="1">
      <alignment horizontal="right"/>
    </xf>
    <xf numFmtId="0" fontId="0" fillId="0" borderId="0" xfId="0" applyFill="1"/>
    <xf numFmtId="165" fontId="2" fillId="0" borderId="0" xfId="1" applyNumberFormat="1" applyFont="1" applyAlignment="1">
      <alignment horizontal="left"/>
    </xf>
    <xf numFmtId="0" fontId="13" fillId="0" borderId="0" xfId="0" applyFont="1" applyAlignment="1">
      <alignment horizontal="left" indent="1"/>
    </xf>
    <xf numFmtId="166" fontId="13" fillId="0" borderId="0" xfId="2" applyNumberFormat="1" applyFont="1"/>
    <xf numFmtId="166" fontId="15" fillId="0" borderId="0" xfId="2" applyNumberFormat="1" applyFont="1" applyAlignment="1">
      <alignment horizontal="right"/>
    </xf>
    <xf numFmtId="0" fontId="15" fillId="0" borderId="0" xfId="0" applyFont="1" applyAlignment="1">
      <alignment horizontal="right"/>
    </xf>
    <xf numFmtId="1" fontId="1" fillId="0" borderId="0" xfId="2" applyNumberFormat="1" applyFont="1" applyAlignment="1">
      <alignment horizontal="right"/>
    </xf>
    <xf numFmtId="9" fontId="13" fillId="0" borderId="0" xfId="2" applyFont="1" applyAlignment="1">
      <alignment horizontal="right"/>
    </xf>
    <xf numFmtId="10" fontId="13" fillId="0" borderId="0" xfId="2" applyNumberFormat="1" applyFont="1" applyAlignment="1">
      <alignment horizontal="right"/>
    </xf>
    <xf numFmtId="165" fontId="1" fillId="0" borderId="0" xfId="1" applyNumberFormat="1" applyFont="1" applyAlignment="1">
      <alignment horizontal="right"/>
    </xf>
    <xf numFmtId="1" fontId="1" fillId="0" borderId="0" xfId="1" applyNumberFormat="1" applyFont="1" applyAlignment="1">
      <alignment horizontal="right"/>
    </xf>
    <xf numFmtId="1" fontId="13" fillId="0" borderId="0" xfId="1" applyNumberFormat="1" applyFont="1" applyAlignment="1">
      <alignment horizontal="right"/>
    </xf>
    <xf numFmtId="9" fontId="1" fillId="0" borderId="0" xfId="2" applyFont="1" applyAlignment="1">
      <alignment horizontal="right"/>
    </xf>
    <xf numFmtId="165" fontId="0" fillId="0" borderId="0" xfId="0" applyNumberFormat="1"/>
    <xf numFmtId="9" fontId="11" fillId="0" borderId="0" xfId="2" applyFont="1"/>
    <xf numFmtId="166" fontId="13" fillId="0" borderId="0" xfId="2" applyNumberFormat="1" applyFont="1" applyAlignment="1">
      <alignment horizontal="right"/>
    </xf>
    <xf numFmtId="9" fontId="13" fillId="0" borderId="0" xfId="2" applyFont="1"/>
    <xf numFmtId="1" fontId="2" fillId="0" borderId="0" xfId="2" applyNumberFormat="1" applyFont="1" applyAlignment="1">
      <alignment horizontal="right"/>
    </xf>
    <xf numFmtId="165" fontId="2" fillId="0" borderId="0" xfId="1" applyNumberFormat="1" applyFont="1" applyFill="1" applyAlignment="1">
      <alignment horizontal="left"/>
    </xf>
    <xf numFmtId="0" fontId="2" fillId="0" borderId="0" xfId="2" applyNumberFormat="1" applyFont="1" applyFill="1" applyAlignment="1">
      <alignment horizontal="right"/>
    </xf>
    <xf numFmtId="166" fontId="13" fillId="0" borderId="0" xfId="2" applyNumberFormat="1" applyFont="1" applyFill="1" applyAlignment="1">
      <alignment horizontal="right"/>
    </xf>
    <xf numFmtId="0" fontId="2" fillId="0" borderId="0" xfId="2" applyNumberFormat="1" applyFont="1" applyAlignment="1">
      <alignment horizontal="right"/>
    </xf>
    <xf numFmtId="166" fontId="0" fillId="0" borderId="0" xfId="0" applyNumberFormat="1"/>
    <xf numFmtId="166" fontId="11" fillId="0" borderId="0" xfId="0" applyNumberFormat="1" applyFont="1"/>
    <xf numFmtId="169" fontId="2" fillId="0" borderId="0" xfId="0" applyNumberFormat="1" applyFont="1"/>
    <xf numFmtId="0" fontId="0" fillId="0" borderId="0" xfId="0" applyNumberFormat="1"/>
    <xf numFmtId="166" fontId="11" fillId="0" borderId="0" xfId="0" applyNumberFormat="1" applyFont="1" applyFill="1"/>
    <xf numFmtId="0" fontId="2" fillId="0" borderId="0" xfId="0" applyFont="1" applyFill="1"/>
    <xf numFmtId="166" fontId="15" fillId="0" borderId="0" xfId="0" applyNumberFormat="1" applyFont="1" applyAlignment="1">
      <alignment horizontal="left"/>
    </xf>
    <xf numFmtId="166" fontId="11" fillId="0" borderId="0" xfId="0" applyNumberFormat="1" applyFont="1" applyAlignment="1">
      <alignment horizontal="left"/>
    </xf>
    <xf numFmtId="0" fontId="2" fillId="0" borderId="0" xfId="0" applyFont="1" applyAlignment="1">
      <alignment horizontal="right"/>
    </xf>
    <xf numFmtId="9" fontId="11" fillId="0" borderId="0" xfId="0" applyNumberFormat="1" applyFont="1" applyAlignment="1">
      <alignment horizontal="right"/>
    </xf>
    <xf numFmtId="0" fontId="16" fillId="0" borderId="0" xfId="0" applyFont="1" applyAlignment="1">
      <alignment horizontal="right"/>
    </xf>
    <xf numFmtId="10" fontId="11" fillId="0" borderId="0" xfId="0" applyNumberFormat="1" applyFont="1" applyAlignment="1">
      <alignment horizontal="right"/>
    </xf>
    <xf numFmtId="166" fontId="15" fillId="0" borderId="0" xfId="0" applyNumberFormat="1" applyFont="1" applyAlignment="1">
      <alignment horizontal="right"/>
    </xf>
    <xf numFmtId="166" fontId="11" fillId="0" borderId="0" xfId="0" applyNumberFormat="1" applyFont="1" applyAlignment="1">
      <alignment horizontal="right"/>
    </xf>
    <xf numFmtId="165" fontId="15" fillId="0" borderId="0" xfId="0" applyNumberFormat="1" applyFont="1" applyAlignment="1">
      <alignment horizontal="left"/>
    </xf>
    <xf numFmtId="165" fontId="0" fillId="0" borderId="0" xfId="0" applyNumberFormat="1" applyFont="1" applyAlignment="1">
      <alignment horizontal="left"/>
    </xf>
    <xf numFmtId="1" fontId="0" fillId="0" borderId="0" xfId="0" applyNumberFormat="1" applyFont="1" applyAlignment="1">
      <alignment horizontal="right"/>
    </xf>
    <xf numFmtId="9" fontId="11" fillId="0" borderId="0" xfId="0" applyNumberFormat="1" applyFont="1"/>
    <xf numFmtId="165" fontId="0" fillId="0" borderId="0" xfId="1" applyNumberFormat="1" applyFont="1" applyFill="1"/>
    <xf numFmtId="165" fontId="0" fillId="0" borderId="0" xfId="0" applyNumberFormat="1" applyFill="1"/>
    <xf numFmtId="165" fontId="0" fillId="0" borderId="0" xfId="0" applyNumberFormat="1" applyFont="1" applyFill="1" applyAlignment="1">
      <alignment horizontal="left"/>
    </xf>
    <xf numFmtId="166" fontId="15" fillId="0" borderId="0" xfId="2" applyNumberFormat="1" applyFont="1" applyFill="1" applyAlignment="1">
      <alignment horizontal="right"/>
    </xf>
    <xf numFmtId="165" fontId="0" fillId="0" borderId="0" xfId="1" applyNumberFormat="1" applyFont="1"/>
    <xf numFmtId="165" fontId="2" fillId="0" borderId="0" xfId="1" applyNumberFormat="1" applyFont="1"/>
    <xf numFmtId="165" fontId="2" fillId="0" borderId="0" xfId="0" applyNumberFormat="1" applyFont="1"/>
    <xf numFmtId="0" fontId="2" fillId="0" borderId="2" xfId="0" applyFont="1" applyFill="1" applyBorder="1"/>
    <xf numFmtId="165" fontId="2" fillId="0" borderId="2" xfId="1" applyNumberFormat="1" applyFont="1" applyFill="1" applyBorder="1"/>
    <xf numFmtId="165" fontId="2" fillId="0" borderId="0" xfId="1" applyNumberFormat="1" applyFont="1" applyFill="1" applyBorder="1"/>
    <xf numFmtId="165" fontId="2" fillId="0" borderId="0" xfId="1" applyNumberFormat="1" applyFont="1" applyFill="1"/>
    <xf numFmtId="0" fontId="2" fillId="0" borderId="4" xfId="0" applyFont="1" applyFill="1" applyBorder="1"/>
    <xf numFmtId="165" fontId="2" fillId="0" borderId="4" xfId="1" applyNumberFormat="1" applyFont="1" applyFill="1" applyBorder="1"/>
    <xf numFmtId="165" fontId="13" fillId="0" borderId="0" xfId="1" applyNumberFormat="1" applyFont="1" applyFill="1" applyAlignment="1">
      <alignment horizontal="left"/>
    </xf>
    <xf numFmtId="166" fontId="17" fillId="0" borderId="0" xfId="2" applyNumberFormat="1" applyFont="1" applyFill="1"/>
    <xf numFmtId="0" fontId="0" fillId="0" borderId="0" xfId="0" applyFill="1" applyAlignment="1">
      <alignment horizontal="left" indent="1"/>
    </xf>
    <xf numFmtId="0" fontId="0" fillId="0" borderId="0" xfId="0" applyFill="1" applyAlignment="1">
      <alignment horizontal="left"/>
    </xf>
    <xf numFmtId="166" fontId="13" fillId="0" borderId="0" xfId="2" applyNumberFormat="1" applyFont="1" applyFill="1" applyBorder="1" applyAlignment="1">
      <alignment horizontal="right"/>
    </xf>
    <xf numFmtId="165" fontId="1" fillId="0" borderId="0" xfId="1" applyNumberFormat="1" applyFont="1" applyFill="1"/>
    <xf numFmtId="43" fontId="0" fillId="0" borderId="0" xfId="1" applyNumberFormat="1" applyFont="1" applyFill="1"/>
    <xf numFmtId="43" fontId="5" fillId="0" borderId="0" xfId="1" applyFont="1" applyFill="1" applyBorder="1"/>
    <xf numFmtId="165" fontId="0" fillId="0" borderId="0" xfId="0" applyNumberFormat="1" applyFont="1" applyFill="1"/>
    <xf numFmtId="165" fontId="2" fillId="0" borderId="0" xfId="0" applyNumberFormat="1" applyFont="1" applyFill="1"/>
    <xf numFmtId="1" fontId="0" fillId="0" borderId="0" xfId="0" applyNumberFormat="1"/>
    <xf numFmtId="1" fontId="2" fillId="0" borderId="0" xfId="0" applyNumberFormat="1" applyFont="1"/>
    <xf numFmtId="1" fontId="2" fillId="0" borderId="0" xfId="0" applyNumberFormat="1" applyFont="1" applyFill="1"/>
    <xf numFmtId="1" fontId="0" fillId="0" borderId="0" xfId="0" applyNumberFormat="1" applyFill="1"/>
    <xf numFmtId="1" fontId="2" fillId="0" borderId="0" xfId="0" applyNumberFormat="1" applyFont="1" applyAlignment="1">
      <alignment horizontal="right"/>
    </xf>
    <xf numFmtId="169" fontId="2" fillId="0" borderId="0" xfId="0" applyNumberFormat="1" applyFont="1" applyFill="1"/>
    <xf numFmtId="166" fontId="14" fillId="0" borderId="0" xfId="2" applyNumberFormat="1" applyFont="1" applyFill="1"/>
    <xf numFmtId="43" fontId="2" fillId="0" borderId="0" xfId="0" applyNumberFormat="1" applyFont="1"/>
    <xf numFmtId="0" fontId="0" fillId="0" borderId="0" xfId="0"/>
    <xf numFmtId="0" fontId="2" fillId="0" borderId="0" xfId="0" applyFont="1"/>
    <xf numFmtId="0" fontId="8" fillId="2" borderId="0" xfId="0" applyFont="1" applyFill="1" applyAlignment="1">
      <alignment wrapText="1"/>
    </xf>
    <xf numFmtId="0" fontId="0" fillId="0" borderId="0" xfId="0" applyAlignment="1">
      <alignment wrapText="1"/>
    </xf>
    <xf numFmtId="170" fontId="0" fillId="0" borderId="0" xfId="1" applyNumberFormat="1" applyFont="1" applyFill="1"/>
    <xf numFmtId="0" fontId="0" fillId="0" borderId="0" xfId="0" applyFill="1" applyAlignment="1">
      <alignment horizontal="left" indent="2"/>
    </xf>
    <xf numFmtId="0" fontId="2" fillId="0" borderId="1" xfId="0" applyFont="1" applyFill="1" applyBorder="1"/>
    <xf numFmtId="165" fontId="2" fillId="0" borderId="1" xfId="1" applyNumberFormat="1" applyFont="1" applyFill="1" applyBorder="1"/>
    <xf numFmtId="0" fontId="4" fillId="0" borderId="0" xfId="0" applyFont="1" applyFill="1" applyAlignment="1">
      <alignment vertical="center" wrapText="1"/>
    </xf>
    <xf numFmtId="0" fontId="6" fillId="0" borderId="0" xfId="0" applyFont="1" applyFill="1" applyAlignment="1">
      <alignment horizontal="right"/>
    </xf>
    <xf numFmtId="0" fontId="18" fillId="0" borderId="0" xfId="0" applyFont="1" applyFill="1" applyAlignment="1">
      <alignment horizontal="center"/>
    </xf>
    <xf numFmtId="165" fontId="6" fillId="0" borderId="0" xfId="4" applyNumberFormat="1" applyFont="1" applyFill="1" applyBorder="1" applyAlignment="1">
      <alignment horizontal="left"/>
    </xf>
    <xf numFmtId="165" fontId="13" fillId="0" borderId="0" xfId="1" applyNumberFormat="1" applyFont="1" applyFill="1" applyBorder="1" applyAlignment="1">
      <alignment horizontal="left" indent="1"/>
    </xf>
    <xf numFmtId="165" fontId="1" fillId="0" borderId="0" xfId="1" applyNumberFormat="1" applyFont="1" applyFill="1" applyAlignment="1">
      <alignment horizontal="left"/>
    </xf>
    <xf numFmtId="170" fontId="2" fillId="0" borderId="1" xfId="1" applyNumberFormat="1" applyFont="1" applyFill="1" applyBorder="1"/>
    <xf numFmtId="170" fontId="2" fillId="0" borderId="2" xfId="1" applyNumberFormat="1" applyFont="1" applyFill="1" applyBorder="1"/>
    <xf numFmtId="170" fontId="0" fillId="0" borderId="0" xfId="1" applyNumberFormat="1" applyFont="1" applyFill="1" applyBorder="1"/>
    <xf numFmtId="0" fontId="6" fillId="0" borderId="0" xfId="4" applyFont="1" applyFill="1"/>
    <xf numFmtId="0" fontId="0" fillId="8" borderId="0" xfId="0" applyFill="1"/>
    <xf numFmtId="165" fontId="0" fillId="8" borderId="0" xfId="1" applyNumberFormat="1" applyFont="1" applyFill="1"/>
    <xf numFmtId="0" fontId="2" fillId="8" borderId="0" xfId="0" applyFont="1" applyFill="1"/>
    <xf numFmtId="165" fontId="2" fillId="8" borderId="0" xfId="1" applyNumberFormat="1" applyFont="1" applyFill="1"/>
    <xf numFmtId="0" fontId="2" fillId="8" borderId="4" xfId="0" applyFont="1" applyFill="1" applyBorder="1"/>
    <xf numFmtId="165" fontId="2" fillId="8" borderId="4" xfId="1" applyNumberFormat="1" applyFont="1" applyFill="1" applyBorder="1"/>
    <xf numFmtId="165" fontId="2" fillId="8" borderId="0" xfId="1" applyNumberFormat="1" applyFont="1" applyFill="1" applyBorder="1"/>
    <xf numFmtId="43" fontId="0" fillId="8" borderId="0" xfId="1" applyNumberFormat="1" applyFont="1" applyFill="1"/>
  </cellXfs>
  <cellStyles count="6">
    <cellStyle name="60% - Accent1" xfId="5" builtinId="32"/>
    <cellStyle name="Accent1" xfId="4" builtinId="29"/>
    <cellStyle name="Comma" xfId="1" builtinId="3"/>
    <cellStyle name="Comma 2" xfId="3"/>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Dell/Desktop/IA%20Freelance%20work/Level%202/Task%208%20-%20Building%20the%20Revenue%20Model_04.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Historicals"/>
      <sheetName val="Segmental forecast"/>
    </sheetNames>
    <sheetDataSet>
      <sheetData sheetId="0"/>
      <sheetData sheetId="1">
        <row r="138">
          <cell r="A138" t="str">
            <v>Global Brand Divisions</v>
          </cell>
        </row>
      </sheetData>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topLeftCell="A4" workbookViewId="0">
      <selection activeCell="A7" sqref="A7"/>
    </sheetView>
  </sheetViews>
  <sheetFormatPr defaultRowHeight="15" x14ac:dyDescent="0.25"/>
  <cols>
    <col min="1" max="1" width="176.140625" style="128" customWidth="1"/>
    <col min="2" max="16384" width="9.140625" style="125"/>
  </cols>
  <sheetData>
    <row r="1" spans="1:1" ht="23.25" x14ac:dyDescent="0.35">
      <c r="A1" s="127" t="s">
        <v>20</v>
      </c>
    </row>
    <row r="2" spans="1:1" x14ac:dyDescent="0.25">
      <c r="A2" s="126" t="s">
        <v>215</v>
      </c>
    </row>
    <row r="3" spans="1:1" x14ac:dyDescent="0.25">
      <c r="A3" s="125" t="s">
        <v>216</v>
      </c>
    </row>
    <row r="4" spans="1:1" x14ac:dyDescent="0.25">
      <c r="A4" s="125" t="s">
        <v>217</v>
      </c>
    </row>
    <row r="5" spans="1:1" x14ac:dyDescent="0.25">
      <c r="A5" s="125" t="s">
        <v>218</v>
      </c>
    </row>
    <row r="6" spans="1:1" x14ac:dyDescent="0.25">
      <c r="A6" s="125" t="s">
        <v>219</v>
      </c>
    </row>
    <row r="7" spans="1:1" x14ac:dyDescent="0.25">
      <c r="A7" s="125" t="s">
        <v>220</v>
      </c>
    </row>
    <row r="8" spans="1:1" x14ac:dyDescent="0.25">
      <c r="A8" s="2" t="s">
        <v>221</v>
      </c>
    </row>
    <row r="9" spans="1:1" x14ac:dyDescent="0.25">
      <c r="A9" s="125" t="s">
        <v>222</v>
      </c>
    </row>
    <row r="10" spans="1:1" x14ac:dyDescent="0.25">
      <c r="A10" s="125"/>
    </row>
    <row r="11" spans="1:1" x14ac:dyDescent="0.25">
      <c r="A11" s="125" t="s">
        <v>223</v>
      </c>
    </row>
    <row r="12" spans="1:1" x14ac:dyDescent="0.25">
      <c r="A12" s="125" t="s">
        <v>214</v>
      </c>
    </row>
    <row r="13" spans="1:1" x14ac:dyDescent="0.25">
      <c r="A13" s="125"/>
    </row>
    <row r="14" spans="1:1" x14ac:dyDescent="0.25">
      <c r="A14" s="125"/>
    </row>
    <row r="15" spans="1:1" x14ac:dyDescent="0.25">
      <c r="A15" s="125"/>
    </row>
    <row r="16" spans="1:1" x14ac:dyDescent="0.25">
      <c r="A16" s="125"/>
    </row>
    <row r="17" spans="1:1" x14ac:dyDescent="0.25">
      <c r="A17" s="125"/>
    </row>
    <row r="18" spans="1:1" x14ac:dyDescent="0.25">
      <c r="A18" s="125"/>
    </row>
    <row r="19" spans="1:1" x14ac:dyDescent="0.25">
      <c r="A19" s="125"/>
    </row>
    <row r="20" spans="1:1" x14ac:dyDescent="0.25">
      <c r="A20" s="125"/>
    </row>
    <row r="21" spans="1:1" x14ac:dyDescent="0.25">
      <c r="A21" s="125"/>
    </row>
    <row r="22" spans="1:1" x14ac:dyDescent="0.25">
      <c r="A22" s="125"/>
    </row>
    <row r="23" spans="1:1" x14ac:dyDescent="0.25">
      <c r="A23" s="125"/>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243"/>
  <sheetViews>
    <sheetView workbookViewId="0">
      <pane ySplit="1" topLeftCell="A41" activePane="bottomLeft" state="frozen"/>
      <selection pane="bottomLeft" activeCell="A39" sqref="A39"/>
    </sheetView>
  </sheetViews>
  <sheetFormatPr defaultRowHeight="15" x14ac:dyDescent="0.25"/>
  <cols>
    <col min="1" max="1" width="78.140625" customWidth="1"/>
    <col min="2" max="7" width="9" bestFit="1" customWidth="1"/>
    <col min="8" max="8" width="10.42578125" bestFit="1" customWidth="1"/>
    <col min="9" max="9" width="10.7109375" bestFit="1" customWidth="1"/>
  </cols>
  <sheetData>
    <row r="1" spans="1:9" ht="60" customHeight="1" x14ac:dyDescent="0.25">
      <c r="A1" s="15" t="s">
        <v>116</v>
      </c>
      <c r="B1" s="16">
        <f t="shared" ref="B1:G1" si="0">+C1-1</f>
        <v>2015</v>
      </c>
      <c r="C1" s="16">
        <f t="shared" si="0"/>
        <v>2016</v>
      </c>
      <c r="D1" s="16">
        <f t="shared" si="0"/>
        <v>2017</v>
      </c>
      <c r="E1" s="16">
        <f t="shared" si="0"/>
        <v>2018</v>
      </c>
      <c r="F1" s="16">
        <f t="shared" si="0"/>
        <v>2019</v>
      </c>
      <c r="G1" s="16">
        <f t="shared" si="0"/>
        <v>2020</v>
      </c>
      <c r="H1" s="16">
        <f>+I1-1</f>
        <v>2021</v>
      </c>
      <c r="I1" s="16">
        <v>2022</v>
      </c>
    </row>
    <row r="2" spans="1:9" x14ac:dyDescent="0.25">
      <c r="A2" t="s">
        <v>27</v>
      </c>
      <c r="B2" s="3">
        <v>30601</v>
      </c>
      <c r="C2" s="3">
        <v>32376</v>
      </c>
      <c r="D2" s="3">
        <v>34350</v>
      </c>
      <c r="E2" s="3">
        <v>36397</v>
      </c>
      <c r="F2" s="3">
        <v>39117</v>
      </c>
      <c r="G2" s="3">
        <v>37403</v>
      </c>
      <c r="H2" s="3">
        <v>44538</v>
      </c>
      <c r="I2" s="3">
        <v>46710</v>
      </c>
    </row>
    <row r="3" spans="1:9" x14ac:dyDescent="0.25">
      <c r="A3" s="22" t="s">
        <v>28</v>
      </c>
      <c r="B3" s="23">
        <v>16534</v>
      </c>
      <c r="C3" s="23">
        <v>17405</v>
      </c>
      <c r="D3" s="23">
        <v>19038</v>
      </c>
      <c r="E3" s="23">
        <v>20441</v>
      </c>
      <c r="F3" s="23">
        <v>21643</v>
      </c>
      <c r="G3" s="23">
        <v>21162</v>
      </c>
      <c r="H3" s="23">
        <v>24576</v>
      </c>
      <c r="I3" s="23">
        <v>25231</v>
      </c>
    </row>
    <row r="4" spans="1:9" s="1" customFormat="1" x14ac:dyDescent="0.25">
      <c r="A4" s="21" t="s">
        <v>4</v>
      </c>
      <c r="B4" s="9">
        <f t="shared" ref="B4:H4" si="1">+B2-B3</f>
        <v>14067</v>
      </c>
      <c r="C4" s="9">
        <f t="shared" si="1"/>
        <v>14971</v>
      </c>
      <c r="D4" s="9">
        <f t="shared" si="1"/>
        <v>15312</v>
      </c>
      <c r="E4" s="9">
        <f t="shared" si="1"/>
        <v>15956</v>
      </c>
      <c r="F4" s="9">
        <f t="shared" si="1"/>
        <v>17474</v>
      </c>
      <c r="G4" s="9">
        <f t="shared" si="1"/>
        <v>16241</v>
      </c>
      <c r="H4" s="9">
        <f t="shared" si="1"/>
        <v>19962</v>
      </c>
      <c r="I4" s="9">
        <f>+I2-I3</f>
        <v>21479</v>
      </c>
    </row>
    <row r="5" spans="1:9" x14ac:dyDescent="0.25">
      <c r="A5" s="11" t="s">
        <v>21</v>
      </c>
      <c r="B5" s="3">
        <v>3213</v>
      </c>
      <c r="C5" s="3">
        <v>3278</v>
      </c>
      <c r="D5" s="3">
        <v>3341</v>
      </c>
      <c r="E5" s="3">
        <v>3577</v>
      </c>
      <c r="F5" s="3">
        <v>3753</v>
      </c>
      <c r="G5" s="3">
        <v>3592</v>
      </c>
      <c r="H5" s="3">
        <v>3114</v>
      </c>
      <c r="I5" s="3">
        <v>3850</v>
      </c>
    </row>
    <row r="6" spans="1:9" x14ac:dyDescent="0.25">
      <c r="A6" s="11" t="s">
        <v>22</v>
      </c>
      <c r="B6" s="3">
        <v>6679</v>
      </c>
      <c r="C6" s="3">
        <v>7191</v>
      </c>
      <c r="D6" s="3">
        <v>7222</v>
      </c>
      <c r="E6" s="3">
        <v>7934</v>
      </c>
      <c r="F6" s="3">
        <v>8949</v>
      </c>
      <c r="G6" s="3">
        <v>9534</v>
      </c>
      <c r="H6" s="3">
        <v>9911</v>
      </c>
      <c r="I6" s="3">
        <v>10954</v>
      </c>
    </row>
    <row r="7" spans="1:9" x14ac:dyDescent="0.25">
      <c r="A7" s="20" t="s">
        <v>23</v>
      </c>
      <c r="B7" s="19">
        <f t="shared" ref="B7:H7" si="2">+B5+B6</f>
        <v>9892</v>
      </c>
      <c r="C7" s="19">
        <f t="shared" si="2"/>
        <v>10469</v>
      </c>
      <c r="D7" s="19">
        <f t="shared" si="2"/>
        <v>10563</v>
      </c>
      <c r="E7" s="19">
        <f t="shared" si="2"/>
        <v>11511</v>
      </c>
      <c r="F7" s="19">
        <f t="shared" si="2"/>
        <v>12702</v>
      </c>
      <c r="G7" s="19">
        <f t="shared" si="2"/>
        <v>13126</v>
      </c>
      <c r="H7" s="19">
        <f t="shared" si="2"/>
        <v>13025</v>
      </c>
      <c r="I7" s="19">
        <f>+I5+I6</f>
        <v>14804</v>
      </c>
    </row>
    <row r="8" spans="1:9" x14ac:dyDescent="0.25">
      <c r="A8" s="2" t="s">
        <v>24</v>
      </c>
      <c r="B8" s="3">
        <v>28</v>
      </c>
      <c r="C8" s="3">
        <v>19</v>
      </c>
      <c r="D8" s="3">
        <v>59</v>
      </c>
      <c r="E8" s="3">
        <v>54</v>
      </c>
      <c r="F8" s="3">
        <v>49</v>
      </c>
      <c r="G8" s="3">
        <v>89</v>
      </c>
      <c r="H8" s="3">
        <v>262</v>
      </c>
      <c r="I8" s="3">
        <v>205</v>
      </c>
    </row>
    <row r="9" spans="1:9" x14ac:dyDescent="0.25">
      <c r="A9" s="2" t="s">
        <v>5</v>
      </c>
      <c r="B9" s="3">
        <v>-58</v>
      </c>
      <c r="C9" s="3">
        <v>-140</v>
      </c>
      <c r="D9" s="3">
        <v>-196</v>
      </c>
      <c r="E9" s="3">
        <v>66</v>
      </c>
      <c r="F9" s="3">
        <v>-78</v>
      </c>
      <c r="G9" s="3">
        <v>139</v>
      </c>
      <c r="H9" s="3">
        <v>14</v>
      </c>
      <c r="I9" s="3">
        <v>-181</v>
      </c>
    </row>
    <row r="10" spans="1:9" x14ac:dyDescent="0.25">
      <c r="A10" s="4" t="s">
        <v>25</v>
      </c>
      <c r="B10" s="5">
        <f t="shared" ref="B10:H10" si="3">+B4-B7-B8-B9</f>
        <v>4205</v>
      </c>
      <c r="C10" s="5">
        <f t="shared" si="3"/>
        <v>4623</v>
      </c>
      <c r="D10" s="5">
        <f t="shared" si="3"/>
        <v>4886</v>
      </c>
      <c r="E10" s="5">
        <f t="shared" si="3"/>
        <v>4325</v>
      </c>
      <c r="F10" s="5">
        <f t="shared" si="3"/>
        <v>4801</v>
      </c>
      <c r="G10" s="5">
        <f t="shared" si="3"/>
        <v>2887</v>
      </c>
      <c r="H10" s="5">
        <f t="shared" si="3"/>
        <v>6661</v>
      </c>
      <c r="I10" s="5">
        <f>+I4-I7-I8-I9</f>
        <v>6651</v>
      </c>
    </row>
    <row r="11" spans="1:9" x14ac:dyDescent="0.25">
      <c r="A11" s="2" t="s">
        <v>26</v>
      </c>
      <c r="B11" s="3">
        <v>932</v>
      </c>
      <c r="C11" s="3">
        <v>863</v>
      </c>
      <c r="D11" s="3">
        <v>646</v>
      </c>
      <c r="E11" s="3">
        <v>2392</v>
      </c>
      <c r="F11" s="3">
        <v>772</v>
      </c>
      <c r="G11" s="3">
        <v>348</v>
      </c>
      <c r="H11" s="3">
        <v>934</v>
      </c>
      <c r="I11" s="3">
        <v>605</v>
      </c>
    </row>
    <row r="12" spans="1:9" ht="15.75" thickBot="1" x14ac:dyDescent="0.3">
      <c r="A12" s="6" t="s">
        <v>29</v>
      </c>
      <c r="B12" s="7">
        <f t="shared" ref="B12:H12" si="4">+B10-B11</f>
        <v>3273</v>
      </c>
      <c r="C12" s="7">
        <f t="shared" si="4"/>
        <v>3760</v>
      </c>
      <c r="D12" s="7">
        <f t="shared" si="4"/>
        <v>4240</v>
      </c>
      <c r="E12" s="7">
        <f t="shared" si="4"/>
        <v>1933</v>
      </c>
      <c r="F12" s="7">
        <f t="shared" si="4"/>
        <v>4029</v>
      </c>
      <c r="G12" s="7">
        <f t="shared" si="4"/>
        <v>2539</v>
      </c>
      <c r="H12" s="7">
        <f t="shared" si="4"/>
        <v>5727</v>
      </c>
      <c r="I12" s="7">
        <f>+I10-I11</f>
        <v>6046</v>
      </c>
    </row>
    <row r="13" spans="1:9" ht="15.75" thickTop="1" x14ac:dyDescent="0.25">
      <c r="A13" s="1" t="s">
        <v>8</v>
      </c>
    </row>
    <row r="14" spans="1:9" x14ac:dyDescent="0.25">
      <c r="A14" s="2" t="s">
        <v>6</v>
      </c>
      <c r="B14">
        <v>1.9</v>
      </c>
      <c r="C14">
        <v>2.21</v>
      </c>
      <c r="D14">
        <v>1.19</v>
      </c>
      <c r="E14">
        <v>1.19</v>
      </c>
      <c r="F14">
        <v>2.5499999999999998</v>
      </c>
      <c r="G14">
        <v>1.63</v>
      </c>
      <c r="H14">
        <v>3.64</v>
      </c>
      <c r="I14">
        <v>3.83</v>
      </c>
    </row>
    <row r="15" spans="1:9" x14ac:dyDescent="0.25">
      <c r="A15" s="2" t="s">
        <v>7</v>
      </c>
      <c r="B15">
        <v>1.85</v>
      </c>
      <c r="C15">
        <v>2.16</v>
      </c>
      <c r="D15">
        <v>1.17</v>
      </c>
      <c r="E15">
        <v>1.17</v>
      </c>
      <c r="F15">
        <v>2.4900000000000002</v>
      </c>
      <c r="G15">
        <v>1.6</v>
      </c>
      <c r="H15">
        <v>3.56</v>
      </c>
      <c r="I15">
        <v>3.75</v>
      </c>
    </row>
    <row r="16" spans="1:9" x14ac:dyDescent="0.25">
      <c r="A16" s="1" t="s">
        <v>9</v>
      </c>
    </row>
    <row r="17" spans="1:9" x14ac:dyDescent="0.25">
      <c r="A17" s="2" t="s">
        <v>6</v>
      </c>
      <c r="B17">
        <v>1723.5</v>
      </c>
      <c r="C17">
        <v>1697.9</v>
      </c>
      <c r="D17">
        <v>1657.8</v>
      </c>
      <c r="E17">
        <v>1623.8</v>
      </c>
      <c r="F17">
        <v>1579.7</v>
      </c>
      <c r="G17" s="48">
        <v>1558.8</v>
      </c>
      <c r="H17" s="8">
        <v>1573</v>
      </c>
      <c r="I17" s="8">
        <v>1578.8</v>
      </c>
    </row>
    <row r="18" spans="1:9" x14ac:dyDescent="0.25">
      <c r="A18" s="2" t="s">
        <v>7</v>
      </c>
      <c r="B18">
        <v>1768.8</v>
      </c>
      <c r="C18">
        <v>1742.5</v>
      </c>
      <c r="D18" s="49">
        <v>1692</v>
      </c>
      <c r="E18">
        <v>1659.1</v>
      </c>
      <c r="F18">
        <v>1618.4</v>
      </c>
      <c r="G18" s="48">
        <v>1591.6</v>
      </c>
      <c r="H18" s="8">
        <v>1609.4</v>
      </c>
      <c r="I18" s="8">
        <v>1610.8</v>
      </c>
    </row>
    <row r="20" spans="1:9" s="12" customFormat="1" x14ac:dyDescent="0.25">
      <c r="A20" s="12" t="s">
        <v>2</v>
      </c>
      <c r="B20" s="13">
        <f t="shared" ref="B20:H20" si="5">+ROUND(((B12/B18)-B15),2)</f>
        <v>0</v>
      </c>
      <c r="C20" s="13">
        <f t="shared" si="5"/>
        <v>0</v>
      </c>
      <c r="D20" s="13">
        <f t="shared" si="5"/>
        <v>1.34</v>
      </c>
      <c r="E20" s="13">
        <f t="shared" si="5"/>
        <v>0</v>
      </c>
      <c r="F20" s="13">
        <f t="shared" si="5"/>
        <v>0</v>
      </c>
      <c r="G20" s="13">
        <f t="shared" si="5"/>
        <v>0</v>
      </c>
      <c r="H20" s="13">
        <f t="shared" si="5"/>
        <v>0</v>
      </c>
      <c r="I20" s="13">
        <f>+ROUND(((I12/I18)-I15),2)</f>
        <v>0</v>
      </c>
    </row>
    <row r="22" spans="1:9" x14ac:dyDescent="0.25">
      <c r="A22" s="14" t="s">
        <v>0</v>
      </c>
      <c r="B22" s="14"/>
      <c r="C22" s="14"/>
      <c r="D22" s="14"/>
      <c r="E22" s="14"/>
      <c r="F22" s="14"/>
      <c r="G22" s="14"/>
      <c r="H22" s="14"/>
      <c r="I22" s="14"/>
    </row>
    <row r="23" spans="1:9" x14ac:dyDescent="0.25">
      <c r="A23" s="1" t="s">
        <v>30</v>
      </c>
    </row>
    <row r="24" spans="1:9" x14ac:dyDescent="0.25">
      <c r="A24" s="10" t="s">
        <v>31</v>
      </c>
      <c r="B24" s="3"/>
      <c r="C24" s="3"/>
      <c r="D24" s="3"/>
      <c r="E24" s="3"/>
      <c r="F24" s="3"/>
      <c r="G24" s="3"/>
      <c r="H24" s="3"/>
      <c r="I24" s="3"/>
    </row>
    <row r="25" spans="1:9" s="54" customFormat="1" x14ac:dyDescent="0.25">
      <c r="A25" s="130" t="s">
        <v>32</v>
      </c>
      <c r="B25" s="94">
        <v>3852</v>
      </c>
      <c r="C25" s="94">
        <v>3138</v>
      </c>
      <c r="D25" s="94">
        <v>3808</v>
      </c>
      <c r="E25" s="94">
        <v>4249</v>
      </c>
      <c r="F25" s="94">
        <v>4466</v>
      </c>
      <c r="G25" s="94">
        <v>8348</v>
      </c>
      <c r="H25" s="94">
        <v>9889</v>
      </c>
      <c r="I25" s="94">
        <v>8574</v>
      </c>
    </row>
    <row r="26" spans="1:9" s="54" customFormat="1" x14ac:dyDescent="0.25">
      <c r="A26" s="130" t="s">
        <v>33</v>
      </c>
      <c r="B26" s="94">
        <v>2072</v>
      </c>
      <c r="C26" s="94">
        <v>2319</v>
      </c>
      <c r="D26" s="94">
        <v>2371</v>
      </c>
      <c r="E26" s="94">
        <v>996</v>
      </c>
      <c r="F26" s="94">
        <v>197</v>
      </c>
      <c r="G26" s="94">
        <v>439</v>
      </c>
      <c r="H26" s="94">
        <v>3587</v>
      </c>
      <c r="I26" s="94">
        <v>4423</v>
      </c>
    </row>
    <row r="27" spans="1:9" s="54" customFormat="1" x14ac:dyDescent="0.25">
      <c r="A27" s="130" t="s">
        <v>34</v>
      </c>
      <c r="B27" s="94">
        <v>3358</v>
      </c>
      <c r="C27" s="94">
        <v>3241</v>
      </c>
      <c r="D27" s="94">
        <v>3677</v>
      </c>
      <c r="E27" s="94">
        <v>3498</v>
      </c>
      <c r="F27" s="94">
        <v>4272</v>
      </c>
      <c r="G27" s="94">
        <v>2749</v>
      </c>
      <c r="H27" s="94">
        <v>4463</v>
      </c>
      <c r="I27" s="94">
        <v>4667</v>
      </c>
    </row>
    <row r="28" spans="1:9" s="54" customFormat="1" x14ac:dyDescent="0.25">
      <c r="A28" s="130" t="s">
        <v>35</v>
      </c>
      <c r="B28" s="94">
        <v>4337</v>
      </c>
      <c r="C28" s="94">
        <v>4838</v>
      </c>
      <c r="D28" s="94">
        <v>5055</v>
      </c>
      <c r="E28" s="94">
        <v>5261</v>
      </c>
      <c r="F28" s="94">
        <v>5622</v>
      </c>
      <c r="G28" s="94">
        <v>7367</v>
      </c>
      <c r="H28" s="94">
        <v>6854</v>
      </c>
      <c r="I28" s="94">
        <v>8420</v>
      </c>
    </row>
    <row r="29" spans="1:9" x14ac:dyDescent="0.25">
      <c r="A29" s="11" t="s">
        <v>36</v>
      </c>
      <c r="B29" s="3">
        <v>1968</v>
      </c>
      <c r="C29" s="3">
        <v>1489</v>
      </c>
      <c r="D29" s="3">
        <v>1150</v>
      </c>
      <c r="E29" s="3">
        <v>1130</v>
      </c>
      <c r="F29" s="3">
        <v>1968</v>
      </c>
      <c r="G29" s="3">
        <v>1653</v>
      </c>
      <c r="H29" s="3">
        <v>1498</v>
      </c>
      <c r="I29" s="3">
        <v>2129</v>
      </c>
    </row>
    <row r="30" spans="1:9" s="54" customFormat="1" x14ac:dyDescent="0.25">
      <c r="A30" s="131" t="s">
        <v>10</v>
      </c>
      <c r="B30" s="132">
        <f t="shared" ref="B30:H30" si="6">+SUM(B25:B29)</f>
        <v>15587</v>
      </c>
      <c r="C30" s="132">
        <f t="shared" si="6"/>
        <v>15025</v>
      </c>
      <c r="D30" s="132">
        <f t="shared" si="6"/>
        <v>16061</v>
      </c>
      <c r="E30" s="132">
        <f t="shared" si="6"/>
        <v>15134</v>
      </c>
      <c r="F30" s="132">
        <f t="shared" si="6"/>
        <v>16525</v>
      </c>
      <c r="G30" s="132">
        <f t="shared" si="6"/>
        <v>20556</v>
      </c>
      <c r="H30" s="132">
        <f t="shared" si="6"/>
        <v>26291</v>
      </c>
      <c r="I30" s="132">
        <f>+SUM(I25:I29)</f>
        <v>28213</v>
      </c>
    </row>
    <row r="31" spans="1:9" s="54" customFormat="1" x14ac:dyDescent="0.25">
      <c r="A31" s="109" t="s">
        <v>37</v>
      </c>
      <c r="B31" s="94">
        <v>3011</v>
      </c>
      <c r="C31" s="94">
        <v>3520</v>
      </c>
      <c r="D31" s="94">
        <v>3989</v>
      </c>
      <c r="E31" s="94">
        <v>4454</v>
      </c>
      <c r="F31" s="94">
        <v>4744</v>
      </c>
      <c r="G31" s="94">
        <v>4866</v>
      </c>
      <c r="H31" s="94">
        <v>4904</v>
      </c>
      <c r="I31" s="94">
        <v>4791</v>
      </c>
    </row>
    <row r="32" spans="1:9" s="54" customFormat="1" x14ac:dyDescent="0.25">
      <c r="A32" s="109" t="s">
        <v>38</v>
      </c>
      <c r="B32" s="94">
        <v>0</v>
      </c>
      <c r="C32" s="94">
        <v>0</v>
      </c>
      <c r="D32" s="94">
        <v>0</v>
      </c>
      <c r="E32" s="94">
        <v>0</v>
      </c>
      <c r="F32" s="94">
        <v>0</v>
      </c>
      <c r="G32" s="94">
        <v>3097</v>
      </c>
      <c r="H32" s="94">
        <v>3113</v>
      </c>
      <c r="I32" s="94">
        <v>2926</v>
      </c>
    </row>
    <row r="33" spans="1:9" s="54" customFormat="1" x14ac:dyDescent="0.25">
      <c r="A33" s="109" t="s">
        <v>39</v>
      </c>
      <c r="B33" s="94">
        <v>281</v>
      </c>
      <c r="C33" s="94">
        <v>281</v>
      </c>
      <c r="D33" s="94">
        <v>283</v>
      </c>
      <c r="E33" s="94">
        <v>285</v>
      </c>
      <c r="F33" s="94">
        <v>283</v>
      </c>
      <c r="G33" s="94">
        <v>274</v>
      </c>
      <c r="H33" s="94">
        <v>269</v>
      </c>
      <c r="I33" s="94">
        <v>286</v>
      </c>
    </row>
    <row r="34" spans="1:9" s="54" customFormat="1" x14ac:dyDescent="0.25">
      <c r="A34" s="109" t="s">
        <v>40</v>
      </c>
      <c r="B34" s="94">
        <v>131</v>
      </c>
      <c r="C34" s="94">
        <v>131</v>
      </c>
      <c r="D34" s="94">
        <v>139</v>
      </c>
      <c r="E34" s="94">
        <v>154</v>
      </c>
      <c r="F34" s="94">
        <v>154</v>
      </c>
      <c r="G34" s="94">
        <v>223</v>
      </c>
      <c r="H34" s="94">
        <v>242</v>
      </c>
      <c r="I34" s="94">
        <v>284</v>
      </c>
    </row>
    <row r="35" spans="1:9" x14ac:dyDescent="0.25">
      <c r="A35" s="2" t="s">
        <v>41</v>
      </c>
      <c r="B35" s="3">
        <v>2587</v>
      </c>
      <c r="C35" s="3">
        <v>2439</v>
      </c>
      <c r="D35" s="3">
        <v>2787</v>
      </c>
      <c r="E35" s="3">
        <v>2509</v>
      </c>
      <c r="F35" s="3">
        <v>2011</v>
      </c>
      <c r="G35" s="3">
        <v>2326</v>
      </c>
      <c r="H35" s="3">
        <v>2921</v>
      </c>
      <c r="I35" s="3">
        <v>3821</v>
      </c>
    </row>
    <row r="36" spans="1:9" ht="15.75" thickBot="1" x14ac:dyDescent="0.3">
      <c r="A36" s="6" t="s">
        <v>42</v>
      </c>
      <c r="B36" s="7">
        <f t="shared" ref="B36:H36" si="7">+SUM(B30:B35)</f>
        <v>21597</v>
      </c>
      <c r="C36" s="7">
        <f t="shared" si="7"/>
        <v>21396</v>
      </c>
      <c r="D36" s="7">
        <f t="shared" si="7"/>
        <v>23259</v>
      </c>
      <c r="E36" s="7">
        <f t="shared" si="7"/>
        <v>22536</v>
      </c>
      <c r="F36" s="7">
        <f t="shared" si="7"/>
        <v>23717</v>
      </c>
      <c r="G36" s="7">
        <f t="shared" si="7"/>
        <v>31342</v>
      </c>
      <c r="H36" s="7">
        <f t="shared" si="7"/>
        <v>37740</v>
      </c>
      <c r="I36" s="7">
        <f>+SUM(I30:I35)</f>
        <v>40321</v>
      </c>
    </row>
    <row r="37" spans="1:9" ht="15.75" thickTop="1" x14ac:dyDescent="0.25">
      <c r="A37" s="1" t="s">
        <v>43</v>
      </c>
      <c r="B37" s="3"/>
      <c r="C37" s="3"/>
      <c r="D37" s="3"/>
      <c r="E37" s="3"/>
      <c r="F37" s="3"/>
      <c r="G37" s="3"/>
      <c r="H37" s="3"/>
      <c r="I37" s="3"/>
    </row>
    <row r="38" spans="1:9" x14ac:dyDescent="0.25">
      <c r="A38" s="2" t="s">
        <v>44</v>
      </c>
      <c r="B38" s="3"/>
      <c r="C38" s="3"/>
      <c r="D38" s="3"/>
      <c r="E38" s="3"/>
      <c r="F38" s="3"/>
      <c r="G38" s="3"/>
      <c r="H38" s="3"/>
      <c r="I38" s="3"/>
    </row>
    <row r="39" spans="1:9" x14ac:dyDescent="0.25">
      <c r="A39" s="11" t="s">
        <v>45</v>
      </c>
      <c r="B39" s="3">
        <v>107</v>
      </c>
      <c r="C39" s="3">
        <v>44</v>
      </c>
      <c r="D39" s="3">
        <v>6</v>
      </c>
      <c r="E39" s="3">
        <v>6</v>
      </c>
      <c r="F39" s="3">
        <v>6</v>
      </c>
      <c r="G39" s="3">
        <v>3</v>
      </c>
      <c r="H39" s="3">
        <v>0</v>
      </c>
      <c r="I39" s="3">
        <v>500</v>
      </c>
    </row>
    <row r="40" spans="1:9" x14ac:dyDescent="0.25">
      <c r="A40" s="11" t="s">
        <v>46</v>
      </c>
      <c r="B40" s="3">
        <v>74</v>
      </c>
      <c r="C40" s="3">
        <v>1</v>
      </c>
      <c r="D40" s="3">
        <v>325</v>
      </c>
      <c r="E40" s="3">
        <v>336</v>
      </c>
      <c r="F40" s="3">
        <v>9</v>
      </c>
      <c r="G40" s="3">
        <v>248</v>
      </c>
      <c r="H40" s="3">
        <v>2</v>
      </c>
      <c r="I40" s="3">
        <v>10</v>
      </c>
    </row>
    <row r="41" spans="1:9" x14ac:dyDescent="0.25">
      <c r="A41" s="11" t="s">
        <v>11</v>
      </c>
      <c r="B41" s="3">
        <v>2131</v>
      </c>
      <c r="C41" s="3">
        <v>2191</v>
      </c>
      <c r="D41" s="3">
        <v>2048</v>
      </c>
      <c r="E41" s="3">
        <v>2279</v>
      </c>
      <c r="F41" s="3">
        <v>2612</v>
      </c>
      <c r="G41" s="3">
        <v>2248</v>
      </c>
      <c r="H41" s="3">
        <v>2836</v>
      </c>
      <c r="I41" s="3">
        <v>3358</v>
      </c>
    </row>
    <row r="42" spans="1:9" x14ac:dyDescent="0.25">
      <c r="A42" s="11" t="s">
        <v>47</v>
      </c>
      <c r="B42" s="3">
        <v>0</v>
      </c>
      <c r="C42" s="3">
        <v>0</v>
      </c>
      <c r="D42" s="3">
        <v>0</v>
      </c>
      <c r="E42" s="3">
        <v>0</v>
      </c>
      <c r="F42" s="3">
        <v>0</v>
      </c>
      <c r="G42" s="3">
        <v>445</v>
      </c>
      <c r="H42" s="3">
        <v>467</v>
      </c>
      <c r="I42" s="3">
        <v>420</v>
      </c>
    </row>
    <row r="43" spans="1:9" x14ac:dyDescent="0.25">
      <c r="A43" s="11" t="s">
        <v>12</v>
      </c>
      <c r="B43" s="3">
        <v>3949</v>
      </c>
      <c r="C43" s="3">
        <v>3037</v>
      </c>
      <c r="D43" s="3">
        <v>3011</v>
      </c>
      <c r="E43" s="3">
        <v>3269</v>
      </c>
      <c r="F43" s="3">
        <v>5010</v>
      </c>
      <c r="G43" s="3">
        <v>5184</v>
      </c>
      <c r="H43" s="3">
        <v>6063</v>
      </c>
      <c r="I43" s="3">
        <v>6220</v>
      </c>
    </row>
    <row r="44" spans="1:9" x14ac:dyDescent="0.25">
      <c r="A44" s="11" t="s">
        <v>48</v>
      </c>
      <c r="B44" s="3">
        <v>71</v>
      </c>
      <c r="C44" s="3">
        <v>85</v>
      </c>
      <c r="D44" s="3">
        <v>84</v>
      </c>
      <c r="E44" s="3">
        <v>150</v>
      </c>
      <c r="F44" s="3">
        <v>229</v>
      </c>
      <c r="G44" s="3">
        <v>156</v>
      </c>
      <c r="H44" s="3">
        <v>306</v>
      </c>
      <c r="I44" s="3">
        <v>222</v>
      </c>
    </row>
    <row r="45" spans="1:9" x14ac:dyDescent="0.25">
      <c r="A45" s="4" t="s">
        <v>13</v>
      </c>
      <c r="B45" s="5">
        <f t="shared" ref="B45:H45" si="8">+SUM(B39:B44)</f>
        <v>6332</v>
      </c>
      <c r="C45" s="5">
        <f t="shared" si="8"/>
        <v>5358</v>
      </c>
      <c r="D45" s="5">
        <f t="shared" si="8"/>
        <v>5474</v>
      </c>
      <c r="E45" s="5">
        <f t="shared" si="8"/>
        <v>6040</v>
      </c>
      <c r="F45" s="5">
        <f t="shared" si="8"/>
        <v>7866</v>
      </c>
      <c r="G45" s="5">
        <f t="shared" si="8"/>
        <v>8284</v>
      </c>
      <c r="H45" s="5">
        <f t="shared" si="8"/>
        <v>9674</v>
      </c>
      <c r="I45" s="5">
        <f>+SUM(I39:I44)</f>
        <v>10730</v>
      </c>
    </row>
    <row r="46" spans="1:9" x14ac:dyDescent="0.25">
      <c r="A46" s="2" t="s">
        <v>49</v>
      </c>
      <c r="B46" s="3">
        <v>1079</v>
      </c>
      <c r="C46" s="3">
        <v>2010</v>
      </c>
      <c r="D46" s="3">
        <v>3471</v>
      </c>
      <c r="E46" s="3">
        <v>3468</v>
      </c>
      <c r="F46" s="3">
        <v>3464</v>
      </c>
      <c r="G46" s="3">
        <v>9406</v>
      </c>
      <c r="H46" s="3">
        <v>9413</v>
      </c>
      <c r="I46" s="3">
        <v>8920</v>
      </c>
    </row>
    <row r="47" spans="1:9" x14ac:dyDescent="0.25">
      <c r="A47" s="2" t="s">
        <v>50</v>
      </c>
      <c r="B47" s="3">
        <v>0</v>
      </c>
      <c r="C47" s="3">
        <v>0</v>
      </c>
      <c r="D47" s="3">
        <v>0</v>
      </c>
      <c r="E47" s="3">
        <v>0</v>
      </c>
      <c r="F47" s="3">
        <v>0</v>
      </c>
      <c r="G47" s="3">
        <v>2913</v>
      </c>
      <c r="H47" s="3">
        <v>2931</v>
      </c>
      <c r="I47" s="3">
        <v>2777</v>
      </c>
    </row>
    <row r="48" spans="1:9" x14ac:dyDescent="0.25">
      <c r="A48" s="2" t="s">
        <v>51</v>
      </c>
      <c r="B48" s="3">
        <v>1479</v>
      </c>
      <c r="C48" s="3">
        <v>1770</v>
      </c>
      <c r="D48" s="3">
        <v>1907</v>
      </c>
      <c r="E48" s="3">
        <v>3216</v>
      </c>
      <c r="F48" s="3">
        <v>3347</v>
      </c>
      <c r="G48" s="3">
        <v>2684</v>
      </c>
      <c r="H48" s="3">
        <v>2955</v>
      </c>
      <c r="I48" s="3">
        <v>2613</v>
      </c>
    </row>
    <row r="49" spans="1:9" x14ac:dyDescent="0.25">
      <c r="A49" s="2" t="s">
        <v>52</v>
      </c>
      <c r="B49" s="3"/>
      <c r="C49" s="3"/>
      <c r="D49" s="3"/>
      <c r="E49" s="3"/>
      <c r="F49" s="3"/>
      <c r="G49" s="3"/>
      <c r="H49" s="3"/>
      <c r="I49" s="3"/>
    </row>
    <row r="50" spans="1:9" x14ac:dyDescent="0.25">
      <c r="A50" s="11" t="s">
        <v>53</v>
      </c>
      <c r="B50" s="3">
        <v>0</v>
      </c>
      <c r="C50" s="3">
        <v>0</v>
      </c>
      <c r="D50" s="3">
        <v>0</v>
      </c>
      <c r="E50" s="3">
        <v>0</v>
      </c>
      <c r="F50" s="3"/>
      <c r="G50" s="3"/>
      <c r="H50" s="3">
        <v>0</v>
      </c>
      <c r="I50" s="3">
        <v>0</v>
      </c>
    </row>
    <row r="51" spans="1:9" x14ac:dyDescent="0.25">
      <c r="A51" s="2" t="s">
        <v>54</v>
      </c>
      <c r="B51" s="3"/>
      <c r="C51" s="3"/>
      <c r="D51" s="3"/>
      <c r="E51" s="3"/>
      <c r="F51" s="3"/>
      <c r="G51" s="3"/>
      <c r="H51" s="3"/>
      <c r="I51" s="3"/>
    </row>
    <row r="52" spans="1:9" x14ac:dyDescent="0.25">
      <c r="A52" s="11" t="s">
        <v>55</v>
      </c>
      <c r="B52" s="3"/>
      <c r="C52" s="3"/>
      <c r="D52" s="3"/>
      <c r="E52" s="3"/>
      <c r="F52" s="3"/>
      <c r="G52" s="3"/>
      <c r="H52" s="3"/>
      <c r="I52" s="3"/>
    </row>
    <row r="53" spans="1:9" x14ac:dyDescent="0.25">
      <c r="A53" s="18" t="s">
        <v>56</v>
      </c>
      <c r="B53" s="3">
        <v>0</v>
      </c>
      <c r="C53" s="3">
        <v>0</v>
      </c>
      <c r="D53" s="3">
        <v>0</v>
      </c>
      <c r="E53" s="3">
        <v>0</v>
      </c>
      <c r="F53" s="3"/>
      <c r="G53" s="3"/>
      <c r="H53" s="3"/>
      <c r="I53" s="3"/>
    </row>
    <row r="54" spans="1:9" x14ac:dyDescent="0.25">
      <c r="A54" s="18" t="s">
        <v>57</v>
      </c>
      <c r="B54" s="3">
        <v>3</v>
      </c>
      <c r="C54" s="3">
        <v>3</v>
      </c>
      <c r="D54" s="3">
        <v>3</v>
      </c>
      <c r="E54" s="3">
        <v>3</v>
      </c>
      <c r="F54" s="3">
        <v>3</v>
      </c>
      <c r="G54" s="3">
        <v>3</v>
      </c>
      <c r="H54" s="3">
        <v>3</v>
      </c>
      <c r="I54" s="3">
        <v>3</v>
      </c>
    </row>
    <row r="55" spans="1:9" x14ac:dyDescent="0.25">
      <c r="A55" s="18" t="s">
        <v>58</v>
      </c>
      <c r="B55" s="3">
        <v>6773</v>
      </c>
      <c r="C55" s="3">
        <v>7786</v>
      </c>
      <c r="D55" s="3">
        <v>5710</v>
      </c>
      <c r="E55" s="3">
        <v>6384</v>
      </c>
      <c r="F55" s="3">
        <v>7163</v>
      </c>
      <c r="G55" s="3">
        <v>8299</v>
      </c>
      <c r="H55" s="3">
        <v>9965</v>
      </c>
      <c r="I55" s="3">
        <v>11484</v>
      </c>
    </row>
    <row r="56" spans="1:9" x14ac:dyDescent="0.25">
      <c r="A56" s="18" t="s">
        <v>59</v>
      </c>
      <c r="B56" s="3">
        <v>1246</v>
      </c>
      <c r="C56" s="3">
        <v>318</v>
      </c>
      <c r="D56" s="3">
        <v>-213</v>
      </c>
      <c r="E56" s="3">
        <v>-92</v>
      </c>
      <c r="F56" s="3">
        <v>231</v>
      </c>
      <c r="G56" s="3">
        <v>-56</v>
      </c>
      <c r="H56" s="3">
        <v>-380</v>
      </c>
      <c r="I56" s="3">
        <v>318</v>
      </c>
    </row>
    <row r="57" spans="1:9" x14ac:dyDescent="0.25">
      <c r="A57" s="18" t="s">
        <v>60</v>
      </c>
      <c r="B57" s="3">
        <v>4685</v>
      </c>
      <c r="C57" s="3">
        <v>4151</v>
      </c>
      <c r="D57" s="3">
        <v>6907</v>
      </c>
      <c r="E57" s="3">
        <v>3517</v>
      </c>
      <c r="F57" s="3">
        <v>1643</v>
      </c>
      <c r="G57" s="3">
        <v>-191</v>
      </c>
      <c r="H57" s="3">
        <v>3179</v>
      </c>
      <c r="I57" s="3">
        <v>3476</v>
      </c>
    </row>
    <row r="58" spans="1:9" x14ac:dyDescent="0.25">
      <c r="A58" s="4" t="s">
        <v>61</v>
      </c>
      <c r="B58" s="5">
        <f t="shared" ref="B58:H58" si="9">+SUM(B53:B57)</f>
        <v>12707</v>
      </c>
      <c r="C58" s="5">
        <f t="shared" si="9"/>
        <v>12258</v>
      </c>
      <c r="D58" s="5">
        <f t="shared" si="9"/>
        <v>12407</v>
      </c>
      <c r="E58" s="5">
        <f t="shared" si="9"/>
        <v>9812</v>
      </c>
      <c r="F58" s="5">
        <f t="shared" si="9"/>
        <v>9040</v>
      </c>
      <c r="G58" s="5">
        <f t="shared" si="9"/>
        <v>8055</v>
      </c>
      <c r="H58" s="5">
        <f t="shared" si="9"/>
        <v>12767</v>
      </c>
      <c r="I58" s="5">
        <f>+SUM(I53:I57)</f>
        <v>15281</v>
      </c>
    </row>
    <row r="59" spans="1:9" ht="15.75" thickBot="1" x14ac:dyDescent="0.3">
      <c r="A59" s="6" t="s">
        <v>62</v>
      </c>
      <c r="B59" s="7">
        <f t="shared" ref="B59:H59" si="10">+SUM(B45:B50)+B58</f>
        <v>21597</v>
      </c>
      <c r="C59" s="7">
        <f t="shared" si="10"/>
        <v>21396</v>
      </c>
      <c r="D59" s="7">
        <f t="shared" si="10"/>
        <v>23259</v>
      </c>
      <c r="E59" s="7">
        <f t="shared" si="10"/>
        <v>22536</v>
      </c>
      <c r="F59" s="7">
        <f t="shared" si="10"/>
        <v>23717</v>
      </c>
      <c r="G59" s="7">
        <f t="shared" si="10"/>
        <v>31342</v>
      </c>
      <c r="H59" s="7">
        <f t="shared" si="10"/>
        <v>37740</v>
      </c>
      <c r="I59" s="7">
        <f>+SUM(I45:I50)+I58</f>
        <v>40321</v>
      </c>
    </row>
    <row r="60" spans="1:9" s="12" customFormat="1" ht="15.75" thickTop="1" x14ac:dyDescent="0.25">
      <c r="A60" s="12" t="s">
        <v>3</v>
      </c>
      <c r="B60" s="13">
        <f t="shared" ref="B60:H60" si="11">+B59-B36</f>
        <v>0</v>
      </c>
      <c r="C60" s="13">
        <f t="shared" si="11"/>
        <v>0</v>
      </c>
      <c r="D60" s="13">
        <f t="shared" si="11"/>
        <v>0</v>
      </c>
      <c r="E60" s="13">
        <f t="shared" si="11"/>
        <v>0</v>
      </c>
      <c r="F60" s="13">
        <f t="shared" si="11"/>
        <v>0</v>
      </c>
      <c r="G60" s="13">
        <f t="shared" si="11"/>
        <v>0</v>
      </c>
      <c r="H60" s="13">
        <f t="shared" si="11"/>
        <v>0</v>
      </c>
      <c r="I60" s="13">
        <f>+I59-I36</f>
        <v>0</v>
      </c>
    </row>
    <row r="61" spans="1:9" x14ac:dyDescent="0.25">
      <c r="A61" s="14" t="s">
        <v>1</v>
      </c>
      <c r="B61" s="14"/>
      <c r="C61" s="14"/>
      <c r="D61" s="14"/>
      <c r="E61" s="14"/>
      <c r="F61" s="14"/>
      <c r="G61" s="14"/>
      <c r="H61" s="14"/>
      <c r="I61" s="14"/>
    </row>
    <row r="62" spans="1:9" x14ac:dyDescent="0.25">
      <c r="A62" t="s">
        <v>15</v>
      </c>
    </row>
    <row r="63" spans="1:9" x14ac:dyDescent="0.25">
      <c r="A63" s="1" t="s">
        <v>63</v>
      </c>
    </row>
    <row r="64" spans="1:9" s="1" customFormat="1" x14ac:dyDescent="0.25">
      <c r="A64" s="10" t="s">
        <v>64</v>
      </c>
      <c r="B64" s="9">
        <v>3273</v>
      </c>
      <c r="C64" s="9">
        <v>3760</v>
      </c>
      <c r="D64" s="9">
        <v>4240</v>
      </c>
      <c r="E64" s="9">
        <v>1933</v>
      </c>
      <c r="F64" s="9">
        <v>4029</v>
      </c>
      <c r="G64" s="9">
        <v>2539</v>
      </c>
      <c r="H64" s="9">
        <f>+H12</f>
        <v>5727</v>
      </c>
      <c r="I64" s="9">
        <f>+I12</f>
        <v>6046</v>
      </c>
    </row>
    <row r="65" spans="1:9" s="1" customFormat="1" x14ac:dyDescent="0.25">
      <c r="A65" s="2" t="s">
        <v>65</v>
      </c>
      <c r="B65" s="3"/>
      <c r="C65" s="3"/>
      <c r="D65" s="3"/>
      <c r="E65" s="3"/>
      <c r="F65" s="3"/>
      <c r="G65" s="3"/>
      <c r="H65" s="3"/>
      <c r="I65" s="3"/>
    </row>
    <row r="66" spans="1:9" s="17" customFormat="1" x14ac:dyDescent="0.25">
      <c r="A66" s="11" t="s">
        <v>66</v>
      </c>
      <c r="B66" s="3">
        <v>606</v>
      </c>
      <c r="C66" s="3">
        <v>649</v>
      </c>
      <c r="D66" s="3">
        <v>706</v>
      </c>
      <c r="E66" s="3">
        <v>747</v>
      </c>
      <c r="F66" s="3">
        <v>705</v>
      </c>
      <c r="G66" s="3">
        <v>721</v>
      </c>
      <c r="H66" s="3">
        <v>744</v>
      </c>
      <c r="I66" s="3">
        <v>717</v>
      </c>
    </row>
    <row r="67" spans="1:9" s="17" customFormat="1" x14ac:dyDescent="0.25">
      <c r="A67" s="11" t="s">
        <v>67</v>
      </c>
      <c r="B67" s="3">
        <v>-113</v>
      </c>
      <c r="C67" s="3">
        <v>-80</v>
      </c>
      <c r="D67" s="3">
        <v>-273</v>
      </c>
      <c r="E67" s="3">
        <v>647</v>
      </c>
      <c r="F67" s="3">
        <v>34</v>
      </c>
      <c r="G67" s="3">
        <v>-380</v>
      </c>
      <c r="H67" s="3">
        <v>-385</v>
      </c>
      <c r="I67" s="3">
        <v>-650</v>
      </c>
    </row>
    <row r="68" spans="1:9" s="17" customFormat="1" x14ac:dyDescent="0.25">
      <c r="A68" s="11" t="s">
        <v>68</v>
      </c>
      <c r="B68" s="3">
        <v>191</v>
      </c>
      <c r="C68" s="3">
        <v>236</v>
      </c>
      <c r="D68" s="3">
        <v>215</v>
      </c>
      <c r="E68" s="3">
        <v>218</v>
      </c>
      <c r="F68" s="3">
        <v>325</v>
      </c>
      <c r="G68" s="3">
        <v>429</v>
      </c>
      <c r="H68" s="3">
        <v>611</v>
      </c>
      <c r="I68" s="3">
        <v>638</v>
      </c>
    </row>
    <row r="69" spans="1:9" s="17" customFormat="1" x14ac:dyDescent="0.25">
      <c r="A69" s="11" t="s">
        <v>69</v>
      </c>
      <c r="B69" s="3">
        <v>43</v>
      </c>
      <c r="C69" s="3">
        <v>13</v>
      </c>
      <c r="D69" s="3">
        <v>10</v>
      </c>
      <c r="E69" s="3">
        <v>27</v>
      </c>
      <c r="F69" s="3">
        <v>15</v>
      </c>
      <c r="G69" s="3">
        <v>398</v>
      </c>
      <c r="H69" s="3">
        <v>53</v>
      </c>
      <c r="I69" s="3">
        <v>123</v>
      </c>
    </row>
    <row r="70" spans="1:9" s="17" customFormat="1" x14ac:dyDescent="0.25">
      <c r="A70" s="11" t="s">
        <v>70</v>
      </c>
      <c r="B70" s="3">
        <v>424</v>
      </c>
      <c r="C70" s="3">
        <v>98</v>
      </c>
      <c r="D70" s="3">
        <v>-117</v>
      </c>
      <c r="E70" s="3">
        <v>-99</v>
      </c>
      <c r="F70" s="3">
        <v>233</v>
      </c>
      <c r="G70" s="3">
        <v>23</v>
      </c>
      <c r="H70" s="3">
        <v>-138</v>
      </c>
      <c r="I70" s="3">
        <v>-26</v>
      </c>
    </row>
    <row r="71" spans="1:9" s="17" customFormat="1" x14ac:dyDescent="0.25">
      <c r="A71" s="2" t="s">
        <v>71</v>
      </c>
      <c r="B71" s="3"/>
      <c r="C71" s="3"/>
      <c r="D71" s="3"/>
      <c r="E71" s="3"/>
      <c r="F71" s="3"/>
      <c r="G71" s="3"/>
      <c r="H71" s="3"/>
      <c r="I71" s="3"/>
    </row>
    <row r="72" spans="1:9" s="17" customFormat="1" x14ac:dyDescent="0.25">
      <c r="A72" s="11" t="s">
        <v>72</v>
      </c>
      <c r="B72" s="3">
        <v>-216</v>
      </c>
      <c r="C72" s="3">
        <v>60</v>
      </c>
      <c r="D72" s="3">
        <v>-426</v>
      </c>
      <c r="E72" s="3">
        <v>187</v>
      </c>
      <c r="F72" s="3">
        <v>-270</v>
      </c>
      <c r="G72" s="3">
        <v>1239</v>
      </c>
      <c r="H72" s="3">
        <v>-1606</v>
      </c>
      <c r="I72" s="3">
        <v>-504</v>
      </c>
    </row>
    <row r="73" spans="1:9" s="17" customFormat="1" x14ac:dyDescent="0.25">
      <c r="A73" s="11" t="s">
        <v>73</v>
      </c>
      <c r="B73" s="3">
        <v>-621</v>
      </c>
      <c r="C73" s="3">
        <v>-590</v>
      </c>
      <c r="D73" s="3">
        <v>-231</v>
      </c>
      <c r="E73" s="3">
        <v>-255</v>
      </c>
      <c r="F73" s="3">
        <v>-490</v>
      </c>
      <c r="G73" s="3">
        <v>-1854</v>
      </c>
      <c r="H73" s="3">
        <v>507</v>
      </c>
      <c r="I73" s="3">
        <v>-1676</v>
      </c>
    </row>
    <row r="74" spans="1:9" s="17" customFormat="1" x14ac:dyDescent="0.25">
      <c r="A74" s="11" t="s">
        <v>98</v>
      </c>
      <c r="B74" s="3">
        <v>-144</v>
      </c>
      <c r="C74" s="3">
        <v>-161</v>
      </c>
      <c r="D74" s="3">
        <v>-120</v>
      </c>
      <c r="E74" s="3">
        <v>35</v>
      </c>
      <c r="F74" s="3">
        <v>-203</v>
      </c>
      <c r="G74" s="3">
        <v>-654</v>
      </c>
      <c r="H74" s="3">
        <v>-182</v>
      </c>
      <c r="I74" s="3">
        <v>-845</v>
      </c>
    </row>
    <row r="75" spans="1:9" s="17" customFormat="1" x14ac:dyDescent="0.25">
      <c r="A75" s="11" t="s">
        <v>97</v>
      </c>
      <c r="B75" s="3">
        <v>1237</v>
      </c>
      <c r="C75" s="3">
        <v>-889</v>
      </c>
      <c r="D75" s="3">
        <v>-158</v>
      </c>
      <c r="E75" s="3">
        <v>1515</v>
      </c>
      <c r="F75" s="3">
        <v>1525</v>
      </c>
      <c r="G75" s="3">
        <v>24</v>
      </c>
      <c r="H75" s="3">
        <v>1326</v>
      </c>
      <c r="I75" s="3">
        <v>1365</v>
      </c>
    </row>
    <row r="76" spans="1:9" s="17" customFormat="1" x14ac:dyDescent="0.25">
      <c r="A76" s="24" t="s">
        <v>74</v>
      </c>
      <c r="B76" s="25">
        <f t="shared" ref="B76:H76" si="12">+SUM(B64:B75)</f>
        <v>4680</v>
      </c>
      <c r="C76" s="25">
        <f t="shared" si="12"/>
        <v>3096</v>
      </c>
      <c r="D76" s="25">
        <f t="shared" si="12"/>
        <v>3846</v>
      </c>
      <c r="E76" s="25">
        <f t="shared" si="12"/>
        <v>4955</v>
      </c>
      <c r="F76" s="25">
        <f t="shared" si="12"/>
        <v>5903</v>
      </c>
      <c r="G76" s="25">
        <f t="shared" si="12"/>
        <v>2485</v>
      </c>
      <c r="H76" s="25">
        <f t="shared" si="12"/>
        <v>6657</v>
      </c>
      <c r="I76" s="25">
        <f>+SUM(I64:I75)</f>
        <v>5188</v>
      </c>
    </row>
    <row r="77" spans="1:9" s="17" customFormat="1" x14ac:dyDescent="0.25">
      <c r="A77" s="1" t="s">
        <v>75</v>
      </c>
      <c r="B77" s="3"/>
      <c r="C77" s="3"/>
      <c r="D77" s="3"/>
      <c r="E77" s="3"/>
      <c r="F77" s="3"/>
      <c r="G77" s="3"/>
      <c r="H77" s="3"/>
      <c r="I77" s="3"/>
    </row>
    <row r="78" spans="1:9" s="17" customFormat="1" x14ac:dyDescent="0.25">
      <c r="A78" s="2" t="s">
        <v>76</v>
      </c>
      <c r="B78" s="3">
        <v>-4936</v>
      </c>
      <c r="C78" s="3">
        <v>-5367</v>
      </c>
      <c r="D78" s="3">
        <v>-5928</v>
      </c>
      <c r="E78" s="3">
        <v>-4783</v>
      </c>
      <c r="F78" s="3">
        <v>-2937</v>
      </c>
      <c r="G78" s="3">
        <v>-2426</v>
      </c>
      <c r="H78" s="3">
        <v>-9961</v>
      </c>
      <c r="I78" s="3">
        <v>-12913</v>
      </c>
    </row>
    <row r="79" spans="1:9" s="17" customFormat="1" x14ac:dyDescent="0.25">
      <c r="A79" s="2" t="s">
        <v>77</v>
      </c>
      <c r="B79" s="3">
        <v>3655</v>
      </c>
      <c r="C79" s="3">
        <v>2924</v>
      </c>
      <c r="D79" s="3">
        <v>3623</v>
      </c>
      <c r="E79" s="3">
        <v>3613</v>
      </c>
      <c r="F79" s="3">
        <v>1715</v>
      </c>
      <c r="G79" s="3">
        <v>74</v>
      </c>
      <c r="H79" s="3">
        <v>4236</v>
      </c>
      <c r="I79" s="3">
        <v>8199</v>
      </c>
    </row>
    <row r="80" spans="1:9" s="17" customFormat="1" x14ac:dyDescent="0.25">
      <c r="A80" s="2" t="s">
        <v>78</v>
      </c>
      <c r="B80" s="3">
        <v>2216</v>
      </c>
      <c r="C80" s="3">
        <v>2386</v>
      </c>
      <c r="D80" s="3">
        <v>2423</v>
      </c>
      <c r="E80" s="3">
        <v>2496</v>
      </c>
      <c r="F80" s="3">
        <v>2072</v>
      </c>
      <c r="G80" s="3">
        <v>2379</v>
      </c>
      <c r="H80" s="3">
        <v>2449</v>
      </c>
      <c r="I80" s="3">
        <v>3967</v>
      </c>
    </row>
    <row r="81" spans="1:9" s="17" customFormat="1" x14ac:dyDescent="0.25">
      <c r="A81" s="2" t="s">
        <v>142</v>
      </c>
      <c r="B81" s="3">
        <v>-150</v>
      </c>
      <c r="C81" s="3">
        <v>150</v>
      </c>
      <c r="D81" s="3">
        <v>0</v>
      </c>
      <c r="E81" s="3">
        <v>0</v>
      </c>
      <c r="F81" s="3">
        <v>0</v>
      </c>
      <c r="G81" s="3">
        <v>0</v>
      </c>
      <c r="H81" s="3">
        <v>0</v>
      </c>
      <c r="I81" s="3">
        <v>0</v>
      </c>
    </row>
    <row r="82" spans="1:9" s="17" customFormat="1" x14ac:dyDescent="0.25">
      <c r="A82" s="2" t="s">
        <v>14</v>
      </c>
      <c r="B82" s="3">
        <v>-963</v>
      </c>
      <c r="C82" s="3">
        <v>-1143</v>
      </c>
      <c r="D82" s="3">
        <v>-1105</v>
      </c>
      <c r="E82" s="3">
        <v>-1028</v>
      </c>
      <c r="F82" s="3">
        <v>-1119</v>
      </c>
      <c r="G82" s="3">
        <v>-1086</v>
      </c>
      <c r="H82" s="3">
        <v>-695</v>
      </c>
      <c r="I82" s="3">
        <v>-758</v>
      </c>
    </row>
    <row r="83" spans="1:9" s="17" customFormat="1" x14ac:dyDescent="0.25">
      <c r="A83" s="2" t="s">
        <v>143</v>
      </c>
      <c r="B83" s="3">
        <v>3</v>
      </c>
      <c r="C83" s="3">
        <v>10</v>
      </c>
      <c r="D83" s="3">
        <v>13</v>
      </c>
      <c r="E83" s="3">
        <v>3</v>
      </c>
      <c r="F83" s="3">
        <v>0</v>
      </c>
      <c r="G83" s="3">
        <v>0</v>
      </c>
      <c r="H83" s="3">
        <v>0</v>
      </c>
      <c r="I83" s="3">
        <v>0</v>
      </c>
    </row>
    <row r="84" spans="1:9" s="17" customFormat="1" x14ac:dyDescent="0.25">
      <c r="A84" s="2" t="s">
        <v>144</v>
      </c>
      <c r="B84" s="3">
        <v>0</v>
      </c>
      <c r="C84" s="3">
        <v>6</v>
      </c>
      <c r="D84" s="3">
        <v>0</v>
      </c>
      <c r="E84" s="3">
        <v>0</v>
      </c>
      <c r="F84" s="3">
        <v>0</v>
      </c>
      <c r="G84" s="3">
        <v>0</v>
      </c>
      <c r="H84" s="3">
        <v>0</v>
      </c>
      <c r="I84" s="3">
        <v>0</v>
      </c>
    </row>
    <row r="85" spans="1:9" s="17" customFormat="1" x14ac:dyDescent="0.25">
      <c r="A85" s="2" t="s">
        <v>79</v>
      </c>
      <c r="B85" s="3">
        <v>0</v>
      </c>
      <c r="C85" s="3">
        <v>0</v>
      </c>
      <c r="D85" s="3">
        <v>-34</v>
      </c>
      <c r="E85" s="3">
        <v>-25</v>
      </c>
      <c r="F85" s="3">
        <v>5</v>
      </c>
      <c r="G85" s="3">
        <v>31</v>
      </c>
      <c r="H85" s="3">
        <v>171</v>
      </c>
      <c r="I85" s="3">
        <v>-19</v>
      </c>
    </row>
    <row r="86" spans="1:9" s="17" customFormat="1" x14ac:dyDescent="0.25">
      <c r="A86" s="26" t="s">
        <v>80</v>
      </c>
      <c r="B86" s="25">
        <f t="shared" ref="B86:I86" si="13">+SUM(B78:B85)</f>
        <v>-175</v>
      </c>
      <c r="C86" s="25">
        <f t="shared" si="13"/>
        <v>-1034</v>
      </c>
      <c r="D86" s="25">
        <f t="shared" si="13"/>
        <v>-1008</v>
      </c>
      <c r="E86" s="25">
        <f t="shared" si="13"/>
        <v>276</v>
      </c>
      <c r="F86" s="25">
        <f t="shared" si="13"/>
        <v>-264</v>
      </c>
      <c r="G86" s="25">
        <f t="shared" si="13"/>
        <v>-1028</v>
      </c>
      <c r="H86" s="25">
        <f t="shared" si="13"/>
        <v>-3800</v>
      </c>
      <c r="I86" s="25">
        <f t="shared" si="13"/>
        <v>-1524</v>
      </c>
    </row>
    <row r="87" spans="1:9" s="17" customFormat="1" x14ac:dyDescent="0.25">
      <c r="A87" s="1" t="s">
        <v>81</v>
      </c>
      <c r="B87" s="3"/>
      <c r="C87" s="3"/>
      <c r="D87" s="3"/>
      <c r="E87" s="3"/>
      <c r="F87" s="3"/>
      <c r="G87" s="3"/>
      <c r="H87" s="3"/>
      <c r="I87" s="3"/>
    </row>
    <row r="88" spans="1:9" s="17" customFormat="1" x14ac:dyDescent="0.25">
      <c r="A88" s="2" t="s">
        <v>82</v>
      </c>
      <c r="B88" s="3">
        <v>0</v>
      </c>
      <c r="C88" s="3">
        <v>981</v>
      </c>
      <c r="D88" s="3">
        <v>1482</v>
      </c>
      <c r="E88" s="3">
        <v>0</v>
      </c>
      <c r="F88" s="3">
        <v>0</v>
      </c>
      <c r="G88" s="3">
        <v>6134</v>
      </c>
      <c r="H88" s="3">
        <v>0</v>
      </c>
      <c r="I88" s="3">
        <v>0</v>
      </c>
    </row>
    <row r="89" spans="1:9" s="17" customFormat="1" x14ac:dyDescent="0.25">
      <c r="A89" s="2" t="s">
        <v>145</v>
      </c>
      <c r="B89" s="3">
        <v>-7</v>
      </c>
      <c r="C89" s="3">
        <v>-106</v>
      </c>
      <c r="D89" s="3">
        <v>-44</v>
      </c>
      <c r="E89" s="3">
        <v>0</v>
      </c>
      <c r="F89" s="98">
        <v>0</v>
      </c>
      <c r="G89" s="98">
        <v>0</v>
      </c>
      <c r="H89" s="98">
        <v>0</v>
      </c>
      <c r="I89" s="98">
        <v>0</v>
      </c>
    </row>
    <row r="90" spans="1:9" s="17" customFormat="1" x14ac:dyDescent="0.25">
      <c r="A90" s="2" t="s">
        <v>83</v>
      </c>
      <c r="B90" s="3">
        <v>-63</v>
      </c>
      <c r="C90" s="3">
        <v>-67</v>
      </c>
      <c r="D90" s="3">
        <v>327</v>
      </c>
      <c r="E90" s="3">
        <v>13</v>
      </c>
      <c r="F90" s="3">
        <v>-325</v>
      </c>
      <c r="G90" s="3">
        <v>49</v>
      </c>
      <c r="H90" s="3">
        <v>-52</v>
      </c>
      <c r="I90" s="3">
        <v>15</v>
      </c>
    </row>
    <row r="91" spans="1:9" s="17" customFormat="1" x14ac:dyDescent="0.25">
      <c r="A91" s="2" t="s">
        <v>146</v>
      </c>
      <c r="B91" s="3">
        <v>-19</v>
      </c>
      <c r="C91" s="3">
        <v>-7</v>
      </c>
      <c r="D91" s="3">
        <v>-17</v>
      </c>
      <c r="E91" s="3">
        <v>0</v>
      </c>
      <c r="F91" s="3">
        <v>0</v>
      </c>
      <c r="G91" s="3">
        <v>0</v>
      </c>
      <c r="H91" s="3">
        <v>0</v>
      </c>
      <c r="I91" s="3">
        <v>0</v>
      </c>
    </row>
    <row r="92" spans="1:9" s="17" customFormat="1" x14ac:dyDescent="0.25">
      <c r="A92" s="2" t="s">
        <v>84</v>
      </c>
      <c r="B92" s="3">
        <v>0</v>
      </c>
      <c r="C92" s="3">
        <v>0</v>
      </c>
      <c r="D92" s="3">
        <v>0</v>
      </c>
      <c r="E92" s="3">
        <v>0</v>
      </c>
      <c r="F92" s="3">
        <v>0</v>
      </c>
      <c r="G92" s="3">
        <v>0</v>
      </c>
      <c r="H92" s="3">
        <v>-197</v>
      </c>
      <c r="I92" s="3">
        <v>0</v>
      </c>
    </row>
    <row r="93" spans="1:9" s="17" customFormat="1" x14ac:dyDescent="0.25">
      <c r="A93" s="2" t="s">
        <v>85</v>
      </c>
      <c r="B93" s="3">
        <v>514</v>
      </c>
      <c r="C93" s="3">
        <v>507</v>
      </c>
      <c r="D93" s="3">
        <v>489</v>
      </c>
      <c r="E93" s="3">
        <v>733</v>
      </c>
      <c r="F93" s="3">
        <v>700</v>
      </c>
      <c r="G93" s="3">
        <v>885</v>
      </c>
      <c r="H93" s="3">
        <v>1172</v>
      </c>
      <c r="I93" s="3">
        <v>1151</v>
      </c>
    </row>
    <row r="94" spans="1:9" s="17" customFormat="1" x14ac:dyDescent="0.25">
      <c r="A94" s="2" t="s">
        <v>147</v>
      </c>
      <c r="B94" s="3">
        <v>218</v>
      </c>
      <c r="C94" s="3">
        <v>281</v>
      </c>
      <c r="D94" s="3">
        <v>0</v>
      </c>
      <c r="E94" s="3">
        <v>0</v>
      </c>
      <c r="F94" s="3">
        <v>0</v>
      </c>
      <c r="G94" s="3">
        <v>0</v>
      </c>
      <c r="H94" s="3">
        <v>0</v>
      </c>
      <c r="I94" s="3">
        <v>0</v>
      </c>
    </row>
    <row r="95" spans="1:9" s="17" customFormat="1" x14ac:dyDescent="0.25">
      <c r="A95" s="2" t="s">
        <v>16</v>
      </c>
      <c r="B95" s="3">
        <v>-2534</v>
      </c>
      <c r="C95" s="3">
        <v>-3238</v>
      </c>
      <c r="D95" s="3">
        <v>-3223</v>
      </c>
      <c r="E95" s="3">
        <v>-4254</v>
      </c>
      <c r="F95" s="3">
        <v>-4286</v>
      </c>
      <c r="G95" s="3">
        <v>-3067</v>
      </c>
      <c r="H95" s="3">
        <v>-608</v>
      </c>
      <c r="I95" s="3">
        <v>-4014</v>
      </c>
    </row>
    <row r="96" spans="1:9" s="17" customFormat="1" x14ac:dyDescent="0.25">
      <c r="A96" s="2" t="s">
        <v>86</v>
      </c>
      <c r="B96" s="3">
        <v>-899</v>
      </c>
      <c r="C96" s="3">
        <v>-1022</v>
      </c>
      <c r="D96" s="3">
        <v>-1133</v>
      </c>
      <c r="E96" s="3">
        <v>-1243</v>
      </c>
      <c r="F96" s="3">
        <v>-1332</v>
      </c>
      <c r="G96" s="3">
        <v>-1452</v>
      </c>
      <c r="H96" s="3">
        <v>-1638</v>
      </c>
      <c r="I96" s="3">
        <v>-1837</v>
      </c>
    </row>
    <row r="97" spans="1:9" s="17" customFormat="1" x14ac:dyDescent="0.25">
      <c r="A97" s="2" t="s">
        <v>148</v>
      </c>
      <c r="B97" s="3">
        <v>0</v>
      </c>
      <c r="C97" s="3">
        <v>0</v>
      </c>
      <c r="D97" s="3">
        <v>-29</v>
      </c>
      <c r="E97" s="3">
        <v>0</v>
      </c>
      <c r="F97" s="3">
        <v>0</v>
      </c>
      <c r="G97" s="3">
        <v>0</v>
      </c>
      <c r="H97" s="3">
        <v>0</v>
      </c>
      <c r="I97" s="3">
        <v>0</v>
      </c>
    </row>
    <row r="98" spans="1:9" s="17" customFormat="1" x14ac:dyDescent="0.25">
      <c r="A98" s="2" t="s">
        <v>87</v>
      </c>
      <c r="B98" s="3">
        <v>0</v>
      </c>
      <c r="C98" s="3">
        <v>0</v>
      </c>
      <c r="D98" s="3">
        <v>0</v>
      </c>
      <c r="E98" s="3">
        <v>-84</v>
      </c>
      <c r="F98" s="3">
        <v>-50</v>
      </c>
      <c r="G98" s="3">
        <v>-58</v>
      </c>
      <c r="H98" s="3">
        <v>-136</v>
      </c>
      <c r="I98" s="3">
        <v>-151</v>
      </c>
    </row>
    <row r="99" spans="1:9" s="17" customFormat="1" x14ac:dyDescent="0.25">
      <c r="A99" s="26" t="s">
        <v>88</v>
      </c>
      <c r="B99" s="25">
        <f t="shared" ref="B99:H99" si="14">+SUM(B88:B98)</f>
        <v>-2790</v>
      </c>
      <c r="C99" s="25">
        <f t="shared" si="14"/>
        <v>-2671</v>
      </c>
      <c r="D99" s="25">
        <f t="shared" si="14"/>
        <v>-2148</v>
      </c>
      <c r="E99" s="25">
        <f t="shared" si="14"/>
        <v>-4835</v>
      </c>
      <c r="F99" s="25">
        <f t="shared" si="14"/>
        <v>-5293</v>
      </c>
      <c r="G99" s="25">
        <f t="shared" si="14"/>
        <v>2491</v>
      </c>
      <c r="H99" s="25">
        <f t="shared" si="14"/>
        <v>-1459</v>
      </c>
      <c r="I99" s="25">
        <f>+SUM(I88:I98)</f>
        <v>-4836</v>
      </c>
    </row>
    <row r="100" spans="1:9" s="17" customFormat="1" x14ac:dyDescent="0.25">
      <c r="A100" s="2" t="s">
        <v>89</v>
      </c>
      <c r="B100" s="3">
        <v>-83</v>
      </c>
      <c r="C100" s="3">
        <v>-105</v>
      </c>
      <c r="D100" s="3">
        <v>-20</v>
      </c>
      <c r="E100" s="3">
        <v>45</v>
      </c>
      <c r="F100" s="3">
        <v>-129</v>
      </c>
      <c r="G100" s="3">
        <v>-66</v>
      </c>
      <c r="H100" s="3">
        <v>143</v>
      </c>
      <c r="I100" s="3">
        <v>-143</v>
      </c>
    </row>
    <row r="101" spans="1:9" s="17" customFormat="1" x14ac:dyDescent="0.25">
      <c r="A101" s="26" t="s">
        <v>90</v>
      </c>
      <c r="B101" s="25">
        <f t="shared" ref="B101:I101" si="15">+B76+B86+B99+B100</f>
        <v>1632</v>
      </c>
      <c r="C101" s="25">
        <f t="shared" si="15"/>
        <v>-714</v>
      </c>
      <c r="D101" s="25">
        <f t="shared" si="15"/>
        <v>670</v>
      </c>
      <c r="E101" s="25">
        <f t="shared" si="15"/>
        <v>441</v>
      </c>
      <c r="F101" s="25">
        <f t="shared" si="15"/>
        <v>217</v>
      </c>
      <c r="G101" s="25">
        <f t="shared" si="15"/>
        <v>3882</v>
      </c>
      <c r="H101" s="25">
        <f t="shared" si="15"/>
        <v>1541</v>
      </c>
      <c r="I101" s="25">
        <f t="shared" si="15"/>
        <v>-1315</v>
      </c>
    </row>
    <row r="102" spans="1:9" s="17" customFormat="1" x14ac:dyDescent="0.25">
      <c r="A102" t="s">
        <v>91</v>
      </c>
      <c r="B102" s="3">
        <v>2220</v>
      </c>
      <c r="C102" s="3">
        <v>3852</v>
      </c>
      <c r="D102" s="3">
        <v>3138</v>
      </c>
      <c r="E102" s="3">
        <v>3808</v>
      </c>
      <c r="F102" s="3">
        <v>4249</v>
      </c>
      <c r="G102" s="3">
        <v>4466</v>
      </c>
      <c r="H102" s="3">
        <v>8348</v>
      </c>
      <c r="I102" s="3">
        <f>+H103</f>
        <v>9889</v>
      </c>
    </row>
    <row r="103" spans="1:9" s="17" customFormat="1" ht="15.75" thickBot="1" x14ac:dyDescent="0.3">
      <c r="A103" s="6" t="s">
        <v>92</v>
      </c>
      <c r="B103" s="7">
        <f>B101+B102</f>
        <v>3852</v>
      </c>
      <c r="C103" s="7">
        <f t="shared" ref="C103:I103" si="16">C101+C102</f>
        <v>3138</v>
      </c>
      <c r="D103" s="7">
        <f t="shared" si="16"/>
        <v>3808</v>
      </c>
      <c r="E103" s="7">
        <f t="shared" si="16"/>
        <v>4249</v>
      </c>
      <c r="F103" s="7">
        <f t="shared" si="16"/>
        <v>4466</v>
      </c>
      <c r="G103" s="7">
        <f t="shared" si="16"/>
        <v>8348</v>
      </c>
      <c r="H103" s="7">
        <f t="shared" si="16"/>
        <v>9889</v>
      </c>
      <c r="I103" s="7">
        <f t="shared" si="16"/>
        <v>8574</v>
      </c>
    </row>
    <row r="104" spans="1:9" s="12" customFormat="1" ht="15.75" thickTop="1" x14ac:dyDescent="0.25">
      <c r="A104" s="12" t="s">
        <v>19</v>
      </c>
      <c r="B104" s="13">
        <f t="shared" ref="B104:I104" si="17">+B103-B25</f>
        <v>0</v>
      </c>
      <c r="C104" s="13">
        <f t="shared" si="17"/>
        <v>0</v>
      </c>
      <c r="D104" s="13">
        <f t="shared" si="17"/>
        <v>0</v>
      </c>
      <c r="E104" s="13">
        <f t="shared" si="17"/>
        <v>0</v>
      </c>
      <c r="F104" s="13">
        <f t="shared" si="17"/>
        <v>0</v>
      </c>
      <c r="G104" s="13">
        <f t="shared" si="17"/>
        <v>0</v>
      </c>
      <c r="H104" s="13">
        <f t="shared" si="17"/>
        <v>0</v>
      </c>
      <c r="I104" s="13">
        <f t="shared" si="17"/>
        <v>0</v>
      </c>
    </row>
    <row r="105" spans="1:9" s="17" customFormat="1" x14ac:dyDescent="0.25">
      <c r="A105" t="s">
        <v>93</v>
      </c>
      <c r="B105" s="3"/>
      <c r="C105" s="3"/>
      <c r="D105" s="3"/>
      <c r="E105" s="3"/>
      <c r="F105" s="3"/>
      <c r="G105" s="3"/>
      <c r="H105" s="3"/>
      <c r="I105" s="3"/>
    </row>
    <row r="106" spans="1:9" s="17" customFormat="1" x14ac:dyDescent="0.25">
      <c r="A106" s="2" t="s">
        <v>17</v>
      </c>
      <c r="B106" s="3"/>
      <c r="C106" s="3"/>
      <c r="D106" s="3"/>
      <c r="E106" s="3"/>
      <c r="F106" s="3"/>
      <c r="G106" s="3"/>
      <c r="H106" s="3"/>
      <c r="I106" s="3"/>
    </row>
    <row r="107" spans="1:9" s="17" customFormat="1" x14ac:dyDescent="0.25">
      <c r="A107" s="11" t="s">
        <v>94</v>
      </c>
      <c r="B107" s="3">
        <v>53</v>
      </c>
      <c r="C107" s="3">
        <v>70</v>
      </c>
      <c r="D107" s="3">
        <v>98</v>
      </c>
      <c r="E107" s="3">
        <v>125</v>
      </c>
      <c r="F107" s="3">
        <v>153</v>
      </c>
      <c r="G107" s="3">
        <v>140</v>
      </c>
      <c r="H107" s="3">
        <v>293</v>
      </c>
      <c r="I107" s="3">
        <v>290</v>
      </c>
    </row>
    <row r="108" spans="1:9" s="17" customFormat="1" x14ac:dyDescent="0.25">
      <c r="A108" s="11" t="s">
        <v>18</v>
      </c>
      <c r="B108" s="3">
        <v>1262</v>
      </c>
      <c r="C108" s="3">
        <v>748</v>
      </c>
      <c r="D108" s="3">
        <v>703</v>
      </c>
      <c r="E108" s="3">
        <v>529</v>
      </c>
      <c r="F108" s="3">
        <v>757</v>
      </c>
      <c r="G108" s="3">
        <v>1028</v>
      </c>
      <c r="H108" s="3">
        <v>1177</v>
      </c>
      <c r="I108" s="3">
        <v>1231</v>
      </c>
    </row>
    <row r="109" spans="1:9" s="17" customFormat="1" x14ac:dyDescent="0.25">
      <c r="A109" s="11" t="s">
        <v>95</v>
      </c>
      <c r="B109" s="3">
        <v>206</v>
      </c>
      <c r="C109" s="3">
        <v>252</v>
      </c>
      <c r="D109" s="3">
        <v>266</v>
      </c>
      <c r="E109" s="3">
        <v>294</v>
      </c>
      <c r="F109" s="3">
        <v>160</v>
      </c>
      <c r="G109" s="3">
        <v>121</v>
      </c>
      <c r="H109" s="3">
        <v>179</v>
      </c>
      <c r="I109" s="3">
        <v>160</v>
      </c>
    </row>
    <row r="110" spans="1:9" s="17" customFormat="1" x14ac:dyDescent="0.25">
      <c r="A110" s="11" t="s">
        <v>96</v>
      </c>
      <c r="B110" s="3">
        <v>240</v>
      </c>
      <c r="C110" s="3">
        <v>271</v>
      </c>
      <c r="D110" s="3">
        <v>300</v>
      </c>
      <c r="E110" s="3">
        <v>320</v>
      </c>
      <c r="F110" s="3">
        <v>347</v>
      </c>
      <c r="G110" s="3">
        <v>385</v>
      </c>
      <c r="H110" s="3">
        <v>438</v>
      </c>
      <c r="I110" s="3">
        <v>480</v>
      </c>
    </row>
    <row r="112" spans="1:9" x14ac:dyDescent="0.25">
      <c r="A112" s="14" t="s">
        <v>99</v>
      </c>
      <c r="B112" s="14"/>
      <c r="C112" s="14"/>
      <c r="D112" s="14"/>
      <c r="E112" s="14"/>
      <c r="F112" s="14"/>
      <c r="G112" s="14"/>
      <c r="H112" s="14"/>
      <c r="I112" s="14"/>
    </row>
    <row r="113" spans="1:9" x14ac:dyDescent="0.25">
      <c r="A113" s="27" t="s">
        <v>109</v>
      </c>
      <c r="B113" s="3"/>
      <c r="C113" s="3"/>
      <c r="D113" s="3"/>
      <c r="E113" s="3"/>
      <c r="F113" s="3"/>
      <c r="G113" s="3"/>
      <c r="H113" s="3"/>
      <c r="I113" s="3"/>
    </row>
    <row r="114" spans="1:9" x14ac:dyDescent="0.25">
      <c r="A114" s="51" t="s">
        <v>100</v>
      </c>
      <c r="B114" s="3">
        <f t="shared" ref="B114:H114" si="18">+SUM(B115:B117)</f>
        <v>13740</v>
      </c>
      <c r="C114" s="3">
        <f t="shared" si="18"/>
        <v>14764</v>
      </c>
      <c r="D114" s="3">
        <f t="shared" si="18"/>
        <v>15216</v>
      </c>
      <c r="E114" s="3">
        <f t="shared" si="18"/>
        <v>14855</v>
      </c>
      <c r="F114" s="3">
        <f t="shared" si="18"/>
        <v>15902</v>
      </c>
      <c r="G114" s="3">
        <f t="shared" si="18"/>
        <v>14484</v>
      </c>
      <c r="H114" s="3">
        <f t="shared" si="18"/>
        <v>17179</v>
      </c>
      <c r="I114" s="3">
        <f>+SUM(I115:I117)</f>
        <v>18353</v>
      </c>
    </row>
    <row r="115" spans="1:9" x14ac:dyDescent="0.25">
      <c r="A115" s="11" t="s">
        <v>113</v>
      </c>
      <c r="B115">
        <v>8506</v>
      </c>
      <c r="C115">
        <v>9299</v>
      </c>
      <c r="D115">
        <v>9684</v>
      </c>
      <c r="E115">
        <v>9322</v>
      </c>
      <c r="F115">
        <v>10045</v>
      </c>
      <c r="G115">
        <v>9329</v>
      </c>
      <c r="H115" s="8">
        <v>11644</v>
      </c>
      <c r="I115" s="8">
        <v>12228</v>
      </c>
    </row>
    <row r="116" spans="1:9" x14ac:dyDescent="0.25">
      <c r="A116" s="11" t="s">
        <v>114</v>
      </c>
      <c r="B116">
        <v>4410</v>
      </c>
      <c r="C116">
        <v>4746</v>
      </c>
      <c r="D116">
        <v>4886</v>
      </c>
      <c r="E116">
        <v>4938</v>
      </c>
      <c r="F116">
        <v>5260</v>
      </c>
      <c r="G116">
        <v>4639</v>
      </c>
      <c r="H116" s="8">
        <v>5028</v>
      </c>
      <c r="I116" s="8">
        <v>5492</v>
      </c>
    </row>
    <row r="117" spans="1:9" x14ac:dyDescent="0.25">
      <c r="A117" s="11" t="s">
        <v>115</v>
      </c>
      <c r="B117">
        <v>824</v>
      </c>
      <c r="C117">
        <v>719</v>
      </c>
      <c r="D117">
        <v>646</v>
      </c>
      <c r="E117">
        <v>595</v>
      </c>
      <c r="F117">
        <v>597</v>
      </c>
      <c r="G117">
        <v>516</v>
      </c>
      <c r="H117">
        <v>507</v>
      </c>
      <c r="I117">
        <v>633</v>
      </c>
    </row>
    <row r="118" spans="1:9" x14ac:dyDescent="0.25">
      <c r="A118" s="51" t="s">
        <v>101</v>
      </c>
      <c r="B118" s="3">
        <f t="shared" ref="B118:H118" si="19">+SUM(B119:B121)</f>
        <v>0</v>
      </c>
      <c r="C118" s="3">
        <f t="shared" si="19"/>
        <v>0</v>
      </c>
      <c r="D118" s="3">
        <f t="shared" si="19"/>
        <v>7970</v>
      </c>
      <c r="E118" s="3">
        <f t="shared" si="19"/>
        <v>9242</v>
      </c>
      <c r="F118" s="3">
        <f t="shared" si="19"/>
        <v>9812</v>
      </c>
      <c r="G118" s="3">
        <f t="shared" si="19"/>
        <v>9347</v>
      </c>
      <c r="H118" s="3">
        <f t="shared" si="19"/>
        <v>11456</v>
      </c>
      <c r="I118" s="3">
        <f>+SUM(I119:I121)</f>
        <v>12479</v>
      </c>
    </row>
    <row r="119" spans="1:9" x14ac:dyDescent="0.25">
      <c r="A119" s="11" t="s">
        <v>113</v>
      </c>
      <c r="D119">
        <v>5192</v>
      </c>
      <c r="E119">
        <v>5875</v>
      </c>
      <c r="F119">
        <v>6293</v>
      </c>
      <c r="G119">
        <v>5892</v>
      </c>
      <c r="H119" s="8">
        <v>6970</v>
      </c>
      <c r="I119" s="8">
        <v>7388</v>
      </c>
    </row>
    <row r="120" spans="1:9" x14ac:dyDescent="0.25">
      <c r="A120" s="11" t="s">
        <v>114</v>
      </c>
      <c r="D120">
        <v>2395</v>
      </c>
      <c r="E120">
        <v>2940</v>
      </c>
      <c r="F120">
        <v>3087</v>
      </c>
      <c r="G120">
        <v>3053</v>
      </c>
      <c r="H120" s="8">
        <v>3996</v>
      </c>
      <c r="I120" s="8">
        <v>4527</v>
      </c>
    </row>
    <row r="121" spans="1:9" x14ac:dyDescent="0.25">
      <c r="A121" s="11" t="s">
        <v>115</v>
      </c>
      <c r="D121">
        <v>383</v>
      </c>
      <c r="E121">
        <v>427</v>
      </c>
      <c r="F121">
        <v>432</v>
      </c>
      <c r="G121">
        <v>402</v>
      </c>
      <c r="H121">
        <v>490</v>
      </c>
      <c r="I121">
        <v>564</v>
      </c>
    </row>
    <row r="122" spans="1:9" x14ac:dyDescent="0.25">
      <c r="A122" s="51" t="s">
        <v>102</v>
      </c>
      <c r="B122" s="3">
        <f t="shared" ref="B122:H122" si="20">+SUM(B123:B125)</f>
        <v>3067</v>
      </c>
      <c r="C122" s="3">
        <f t="shared" si="20"/>
        <v>3785</v>
      </c>
      <c r="D122" s="3">
        <f t="shared" si="20"/>
        <v>4237</v>
      </c>
      <c r="E122" s="3">
        <f t="shared" si="20"/>
        <v>5134</v>
      </c>
      <c r="F122" s="3">
        <f t="shared" si="20"/>
        <v>6208</v>
      </c>
      <c r="G122" s="3">
        <f t="shared" si="20"/>
        <v>6679</v>
      </c>
      <c r="H122" s="3">
        <f t="shared" si="20"/>
        <v>8290</v>
      </c>
      <c r="I122" s="3">
        <f>+SUM(I123:I125)</f>
        <v>7547</v>
      </c>
    </row>
    <row r="123" spans="1:9" x14ac:dyDescent="0.25">
      <c r="A123" s="11" t="s">
        <v>113</v>
      </c>
      <c r="B123">
        <v>2016</v>
      </c>
      <c r="C123">
        <v>2599</v>
      </c>
      <c r="D123">
        <v>2920</v>
      </c>
      <c r="E123">
        <v>3496</v>
      </c>
      <c r="F123">
        <v>4262</v>
      </c>
      <c r="G123">
        <v>4635</v>
      </c>
      <c r="H123" s="8">
        <v>5748</v>
      </c>
      <c r="I123" s="8">
        <v>5416</v>
      </c>
    </row>
    <row r="124" spans="1:9" x14ac:dyDescent="0.25">
      <c r="A124" s="11" t="s">
        <v>114</v>
      </c>
      <c r="B124">
        <v>925</v>
      </c>
      <c r="C124">
        <v>1055</v>
      </c>
      <c r="D124">
        <v>1188</v>
      </c>
      <c r="E124">
        <v>1508</v>
      </c>
      <c r="F124">
        <v>1808</v>
      </c>
      <c r="G124">
        <v>1896</v>
      </c>
      <c r="H124" s="8">
        <v>2347</v>
      </c>
      <c r="I124" s="8">
        <v>1938</v>
      </c>
    </row>
    <row r="125" spans="1:9" x14ac:dyDescent="0.25">
      <c r="A125" s="11" t="s">
        <v>115</v>
      </c>
      <c r="B125">
        <v>126</v>
      </c>
      <c r="C125">
        <v>131</v>
      </c>
      <c r="D125">
        <v>129</v>
      </c>
      <c r="E125">
        <v>130</v>
      </c>
      <c r="F125">
        <v>138</v>
      </c>
      <c r="G125">
        <v>148</v>
      </c>
      <c r="H125">
        <v>195</v>
      </c>
      <c r="I125">
        <v>193</v>
      </c>
    </row>
    <row r="126" spans="1:9" x14ac:dyDescent="0.25">
      <c r="A126" s="51" t="s">
        <v>106</v>
      </c>
      <c r="B126" s="3">
        <f t="shared" ref="B126:H126" si="21">+SUM(B127:B129)</f>
        <v>0</v>
      </c>
      <c r="C126" s="3">
        <f t="shared" si="21"/>
        <v>0</v>
      </c>
      <c r="D126" s="3">
        <f t="shared" si="21"/>
        <v>4737</v>
      </c>
      <c r="E126" s="3">
        <f t="shared" si="21"/>
        <v>5166</v>
      </c>
      <c r="F126" s="3">
        <f t="shared" si="21"/>
        <v>5254</v>
      </c>
      <c r="G126" s="3">
        <f t="shared" si="21"/>
        <v>5028</v>
      </c>
      <c r="H126" s="3">
        <f t="shared" si="21"/>
        <v>5343</v>
      </c>
      <c r="I126" s="3">
        <f>+SUM(I127:I129)</f>
        <v>5955</v>
      </c>
    </row>
    <row r="127" spans="1:9" x14ac:dyDescent="0.25">
      <c r="A127" s="11" t="s">
        <v>113</v>
      </c>
      <c r="B127" s="50">
        <v>0</v>
      </c>
      <c r="C127" s="50">
        <v>0</v>
      </c>
      <c r="D127">
        <v>3285</v>
      </c>
      <c r="E127">
        <v>3575</v>
      </c>
      <c r="F127">
        <v>3622</v>
      </c>
      <c r="G127">
        <v>3449</v>
      </c>
      <c r="H127" s="8">
        <v>3659</v>
      </c>
      <c r="I127" s="8">
        <v>4111</v>
      </c>
    </row>
    <row r="128" spans="1:9" x14ac:dyDescent="0.25">
      <c r="A128" s="11" t="s">
        <v>114</v>
      </c>
      <c r="B128" s="50">
        <v>0</v>
      </c>
      <c r="C128" s="50">
        <v>0</v>
      </c>
      <c r="D128">
        <v>1185</v>
      </c>
      <c r="E128">
        <v>1347</v>
      </c>
      <c r="F128">
        <v>1395</v>
      </c>
      <c r="G128">
        <v>1365</v>
      </c>
      <c r="H128" s="8">
        <v>1494</v>
      </c>
      <c r="I128" s="8">
        <v>1610</v>
      </c>
    </row>
    <row r="129" spans="1:9" x14ac:dyDescent="0.25">
      <c r="A129" s="11" t="s">
        <v>115</v>
      </c>
      <c r="B129" s="50">
        <v>0</v>
      </c>
      <c r="C129" s="50">
        <v>0</v>
      </c>
      <c r="D129">
        <v>267</v>
      </c>
      <c r="E129">
        <v>244</v>
      </c>
      <c r="F129">
        <v>237</v>
      </c>
      <c r="G129">
        <v>214</v>
      </c>
      <c r="H129">
        <v>190</v>
      </c>
      <c r="I129">
        <v>234</v>
      </c>
    </row>
    <row r="130" spans="1:9" x14ac:dyDescent="0.25">
      <c r="A130" s="51" t="s">
        <v>149</v>
      </c>
      <c r="B130">
        <f>B131+B132+B133</f>
        <v>5705</v>
      </c>
      <c r="C130">
        <f>C131+C132+C133</f>
        <v>5884</v>
      </c>
      <c r="D130" s="50">
        <v>0</v>
      </c>
      <c r="E130" s="50">
        <v>0</v>
      </c>
      <c r="F130" s="50">
        <v>0</v>
      </c>
      <c r="G130" s="50">
        <v>0</v>
      </c>
      <c r="H130" s="50">
        <v>0</v>
      </c>
      <c r="I130" s="50">
        <v>0</v>
      </c>
    </row>
    <row r="131" spans="1:9" x14ac:dyDescent="0.25">
      <c r="A131" s="11" t="s">
        <v>113</v>
      </c>
      <c r="B131">
        <v>3876</v>
      </c>
      <c r="C131">
        <v>3985</v>
      </c>
      <c r="D131" s="50">
        <v>0</v>
      </c>
      <c r="E131" s="50">
        <v>0</v>
      </c>
      <c r="F131" s="50">
        <v>0</v>
      </c>
      <c r="G131" s="50">
        <v>0</v>
      </c>
      <c r="H131" s="50">
        <v>0</v>
      </c>
      <c r="I131" s="50">
        <v>0</v>
      </c>
    </row>
    <row r="132" spans="1:9" x14ac:dyDescent="0.25">
      <c r="A132" s="11" t="s">
        <v>114</v>
      </c>
      <c r="B132">
        <v>1552</v>
      </c>
      <c r="C132">
        <v>1628</v>
      </c>
      <c r="D132" s="50">
        <v>0</v>
      </c>
      <c r="E132" s="50">
        <v>0</v>
      </c>
      <c r="F132" s="50">
        <v>0</v>
      </c>
      <c r="G132" s="50">
        <v>0</v>
      </c>
      <c r="H132" s="50">
        <v>0</v>
      </c>
      <c r="I132" s="50">
        <v>0</v>
      </c>
    </row>
    <row r="133" spans="1:9" x14ac:dyDescent="0.25">
      <c r="A133" s="11" t="s">
        <v>115</v>
      </c>
      <c r="B133">
        <v>277</v>
      </c>
      <c r="C133">
        <v>271</v>
      </c>
      <c r="D133" s="50">
        <v>0</v>
      </c>
      <c r="E133" s="50">
        <v>0</v>
      </c>
      <c r="F133" s="50">
        <v>0</v>
      </c>
      <c r="G133" s="50">
        <v>0</v>
      </c>
      <c r="H133" s="50">
        <v>0</v>
      </c>
      <c r="I133" s="50">
        <v>0</v>
      </c>
    </row>
    <row r="134" spans="1:9" x14ac:dyDescent="0.25">
      <c r="A134" s="51" t="s">
        <v>150</v>
      </c>
      <c r="B134" s="3">
        <f>B135+B136+B137</f>
        <v>1421</v>
      </c>
      <c r="C134" s="3">
        <f>C135+C136+C137</f>
        <v>1431</v>
      </c>
      <c r="D134" s="50">
        <v>0</v>
      </c>
      <c r="E134" s="50">
        <v>0</v>
      </c>
      <c r="F134" s="50">
        <v>0</v>
      </c>
      <c r="G134" s="50">
        <v>0</v>
      </c>
      <c r="H134" s="50">
        <v>0</v>
      </c>
      <c r="I134" s="50">
        <v>0</v>
      </c>
    </row>
    <row r="135" spans="1:9" x14ac:dyDescent="0.25">
      <c r="A135" s="11" t="s">
        <v>113</v>
      </c>
      <c r="B135" s="3">
        <v>827</v>
      </c>
      <c r="C135" s="3">
        <v>882</v>
      </c>
      <c r="D135" s="50">
        <v>0</v>
      </c>
      <c r="E135" s="50">
        <v>0</v>
      </c>
      <c r="F135" s="50">
        <v>0</v>
      </c>
      <c r="G135" s="50">
        <v>0</v>
      </c>
      <c r="H135" s="50">
        <v>0</v>
      </c>
      <c r="I135" s="50">
        <v>0</v>
      </c>
    </row>
    <row r="136" spans="1:9" x14ac:dyDescent="0.25">
      <c r="A136" s="11" t="s">
        <v>114</v>
      </c>
      <c r="B136" s="3">
        <v>499</v>
      </c>
      <c r="C136" s="3">
        <v>463</v>
      </c>
      <c r="D136" s="50">
        <v>0</v>
      </c>
      <c r="E136" s="50">
        <v>0</v>
      </c>
      <c r="F136" s="50">
        <v>0</v>
      </c>
      <c r="G136" s="50">
        <v>0</v>
      </c>
      <c r="H136" s="50">
        <v>0</v>
      </c>
      <c r="I136" s="50">
        <v>0</v>
      </c>
    </row>
    <row r="137" spans="1:9" x14ac:dyDescent="0.25">
      <c r="A137" s="11" t="s">
        <v>115</v>
      </c>
      <c r="B137" s="3">
        <v>95</v>
      </c>
      <c r="C137" s="3">
        <v>86</v>
      </c>
      <c r="D137" s="50">
        <v>0</v>
      </c>
      <c r="E137" s="50">
        <v>0</v>
      </c>
      <c r="F137" s="50">
        <v>0</v>
      </c>
      <c r="G137" s="50">
        <v>0</v>
      </c>
      <c r="H137" s="50">
        <v>0</v>
      </c>
      <c r="I137" s="50">
        <v>0</v>
      </c>
    </row>
    <row r="138" spans="1:9" x14ac:dyDescent="0.25">
      <c r="A138" s="2" t="s">
        <v>151</v>
      </c>
      <c r="B138" s="3">
        <f>B139+B140+B141</f>
        <v>755</v>
      </c>
      <c r="C138" s="3">
        <f>C139+C140+C141</f>
        <v>869</v>
      </c>
      <c r="D138" s="50">
        <v>0</v>
      </c>
      <c r="E138" s="50">
        <v>0</v>
      </c>
      <c r="F138" s="50">
        <v>0</v>
      </c>
      <c r="G138" s="50">
        <v>0</v>
      </c>
      <c r="H138" s="50">
        <v>0</v>
      </c>
      <c r="I138" s="50">
        <v>0</v>
      </c>
    </row>
    <row r="139" spans="1:9" s="12" customFormat="1" x14ac:dyDescent="0.25">
      <c r="A139" s="11" t="s">
        <v>113</v>
      </c>
      <c r="B139" s="3">
        <v>452</v>
      </c>
      <c r="C139" s="3">
        <v>570</v>
      </c>
      <c r="D139" s="50">
        <v>0</v>
      </c>
      <c r="E139" s="50">
        <v>0</v>
      </c>
      <c r="F139" s="50">
        <v>0</v>
      </c>
      <c r="G139" s="50">
        <v>0</v>
      </c>
      <c r="H139" s="50">
        <v>0</v>
      </c>
      <c r="I139" s="50">
        <v>0</v>
      </c>
    </row>
    <row r="140" spans="1:9" x14ac:dyDescent="0.25">
      <c r="A140" s="11" t="s">
        <v>114</v>
      </c>
      <c r="B140" s="3">
        <v>230</v>
      </c>
      <c r="C140" s="3">
        <v>228</v>
      </c>
      <c r="D140" s="50">
        <v>0</v>
      </c>
      <c r="E140" s="50">
        <v>0</v>
      </c>
      <c r="F140" s="50">
        <v>0</v>
      </c>
      <c r="G140" s="50">
        <v>0</v>
      </c>
      <c r="H140" s="50">
        <v>0</v>
      </c>
      <c r="I140" s="50">
        <v>0</v>
      </c>
    </row>
    <row r="141" spans="1:9" x14ac:dyDescent="0.25">
      <c r="A141" s="11" t="s">
        <v>115</v>
      </c>
      <c r="B141" s="3">
        <v>73</v>
      </c>
      <c r="C141" s="3">
        <v>71</v>
      </c>
      <c r="D141" s="50">
        <v>0</v>
      </c>
      <c r="E141" s="50">
        <v>0</v>
      </c>
      <c r="F141" s="50">
        <v>0</v>
      </c>
      <c r="G141" s="50">
        <v>0</v>
      </c>
      <c r="H141" s="50">
        <v>0</v>
      </c>
      <c r="I141" s="50">
        <v>0</v>
      </c>
    </row>
    <row r="142" spans="1:9" x14ac:dyDescent="0.25">
      <c r="A142" s="51" t="s">
        <v>152</v>
      </c>
      <c r="B142" s="3">
        <f>B143+B144+B145</f>
        <v>3898</v>
      </c>
      <c r="C142" s="3">
        <f>C143+C144+C145</f>
        <v>3701</v>
      </c>
      <c r="D142" s="50">
        <v>0</v>
      </c>
      <c r="E142" s="50">
        <v>0</v>
      </c>
      <c r="F142" s="50">
        <v>0</v>
      </c>
      <c r="G142" s="50">
        <v>0</v>
      </c>
      <c r="H142" s="50">
        <v>0</v>
      </c>
      <c r="I142" s="50">
        <v>0</v>
      </c>
    </row>
    <row r="143" spans="1:9" x14ac:dyDescent="0.25">
      <c r="A143" s="11" t="s">
        <v>113</v>
      </c>
      <c r="B143" s="3">
        <v>2641</v>
      </c>
      <c r="C143" s="3">
        <v>2536</v>
      </c>
      <c r="D143" s="50">
        <v>0</v>
      </c>
      <c r="E143" s="50">
        <v>0</v>
      </c>
      <c r="F143" s="50">
        <v>0</v>
      </c>
      <c r="G143" s="50">
        <v>0</v>
      </c>
      <c r="H143" s="50">
        <v>0</v>
      </c>
      <c r="I143" s="50">
        <v>0</v>
      </c>
    </row>
    <row r="144" spans="1:9" x14ac:dyDescent="0.25">
      <c r="A144" s="11" t="s">
        <v>114</v>
      </c>
      <c r="B144" s="3">
        <v>1021</v>
      </c>
      <c r="C144" s="3">
        <v>947</v>
      </c>
      <c r="D144" s="50">
        <v>0</v>
      </c>
      <c r="E144" s="50">
        <v>0</v>
      </c>
      <c r="F144" s="50">
        <v>0</v>
      </c>
      <c r="G144" s="50">
        <v>0</v>
      </c>
      <c r="H144" s="50">
        <v>0</v>
      </c>
      <c r="I144" s="50">
        <v>0</v>
      </c>
    </row>
    <row r="145" spans="1:9" x14ac:dyDescent="0.25">
      <c r="A145" s="11" t="s">
        <v>115</v>
      </c>
      <c r="B145" s="3">
        <v>236</v>
      </c>
      <c r="C145" s="3">
        <v>218</v>
      </c>
      <c r="D145" s="50">
        <v>0</v>
      </c>
      <c r="E145" s="50">
        <v>0</v>
      </c>
      <c r="F145" s="50">
        <v>0</v>
      </c>
      <c r="G145" s="50">
        <v>0</v>
      </c>
      <c r="H145" s="50">
        <v>0</v>
      </c>
      <c r="I145" s="50">
        <v>0</v>
      </c>
    </row>
    <row r="146" spans="1:9" x14ac:dyDescent="0.25">
      <c r="A146" s="51" t="s">
        <v>107</v>
      </c>
      <c r="B146" s="3">
        <v>115</v>
      </c>
      <c r="C146" s="3">
        <v>73</v>
      </c>
      <c r="D146" s="3">
        <v>73</v>
      </c>
      <c r="E146" s="3">
        <v>88</v>
      </c>
      <c r="F146" s="3">
        <v>42</v>
      </c>
      <c r="G146" s="3">
        <v>30</v>
      </c>
      <c r="H146" s="3">
        <v>25</v>
      </c>
      <c r="I146" s="3">
        <v>102</v>
      </c>
    </row>
    <row r="147" spans="1:9" x14ac:dyDescent="0.25">
      <c r="A147" s="4" t="s">
        <v>103</v>
      </c>
      <c r="B147" s="5">
        <f>B114+B118+B122+B126+B130+B134+B138+B142+B146</f>
        <v>28701</v>
      </c>
      <c r="C147" s="5">
        <f t="shared" ref="C147:I147" si="22">C114+C118+C122+C126+C130+C134+C138+C142+C146</f>
        <v>30507</v>
      </c>
      <c r="D147" s="5">
        <f t="shared" si="22"/>
        <v>32233</v>
      </c>
      <c r="E147" s="5">
        <f t="shared" si="22"/>
        <v>34485</v>
      </c>
      <c r="F147" s="5">
        <f t="shared" si="22"/>
        <v>37218</v>
      </c>
      <c r="G147" s="5">
        <f t="shared" si="22"/>
        <v>35568</v>
      </c>
      <c r="H147" s="5">
        <f t="shared" si="22"/>
        <v>42293</v>
      </c>
      <c r="I147" s="5">
        <f t="shared" si="22"/>
        <v>44436</v>
      </c>
    </row>
    <row r="148" spans="1:9" x14ac:dyDescent="0.25">
      <c r="A148" s="2" t="s">
        <v>104</v>
      </c>
      <c r="B148" s="3">
        <v>1982</v>
      </c>
      <c r="C148" s="3">
        <v>1955</v>
      </c>
      <c r="D148" s="3">
        <v>2042</v>
      </c>
      <c r="E148" s="3">
        <v>1886</v>
      </c>
      <c r="F148" s="3">
        <v>1906</v>
      </c>
      <c r="G148" s="3">
        <v>1846</v>
      </c>
      <c r="H148" s="3">
        <v>2205</v>
      </c>
      <c r="I148" s="3">
        <v>2346</v>
      </c>
    </row>
    <row r="149" spans="1:9" x14ac:dyDescent="0.25">
      <c r="A149" s="11" t="s">
        <v>113</v>
      </c>
      <c r="B149" s="3"/>
      <c r="C149" s="3"/>
      <c r="D149" s="3"/>
      <c r="E149" s="3"/>
      <c r="F149" s="3">
        <v>1658</v>
      </c>
      <c r="G149" s="3">
        <v>1642</v>
      </c>
      <c r="H149" s="3">
        <v>1986</v>
      </c>
      <c r="I149" s="3">
        <v>2094</v>
      </c>
    </row>
    <row r="150" spans="1:9" s="12" customFormat="1" x14ac:dyDescent="0.25">
      <c r="A150" s="11" t="s">
        <v>114</v>
      </c>
      <c r="B150" s="3"/>
      <c r="C150" s="3"/>
      <c r="D150" s="3"/>
      <c r="E150" s="3"/>
      <c r="F150" s="3">
        <v>118</v>
      </c>
      <c r="G150" s="3">
        <v>89</v>
      </c>
      <c r="H150" s="3">
        <v>104</v>
      </c>
      <c r="I150" s="3">
        <v>103</v>
      </c>
    </row>
    <row r="151" spans="1:9" x14ac:dyDescent="0.25">
      <c r="A151" s="11" t="s">
        <v>115</v>
      </c>
      <c r="B151" s="3"/>
      <c r="C151" s="3"/>
      <c r="D151" s="3"/>
      <c r="E151" s="3"/>
      <c r="F151" s="3">
        <v>24</v>
      </c>
      <c r="G151" s="3">
        <v>25</v>
      </c>
      <c r="H151" s="3">
        <v>29</v>
      </c>
      <c r="I151" s="3">
        <v>26</v>
      </c>
    </row>
    <row r="152" spans="1:9" x14ac:dyDescent="0.25">
      <c r="A152" s="11" t="s">
        <v>121</v>
      </c>
      <c r="B152" s="3"/>
      <c r="C152" s="3"/>
      <c r="D152" s="3"/>
      <c r="E152" s="3"/>
      <c r="F152" s="3">
        <v>106</v>
      </c>
      <c r="G152" s="3">
        <v>90</v>
      </c>
      <c r="H152" s="3">
        <v>86</v>
      </c>
      <c r="I152" s="3">
        <v>123</v>
      </c>
    </row>
    <row r="153" spans="1:9" x14ac:dyDescent="0.25">
      <c r="A153" s="2" t="s">
        <v>108</v>
      </c>
      <c r="B153" s="3">
        <v>-82</v>
      </c>
      <c r="C153" s="3">
        <v>-86</v>
      </c>
      <c r="D153" s="3">
        <v>75</v>
      </c>
      <c r="E153" s="3">
        <v>26</v>
      </c>
      <c r="F153" s="3">
        <v>-7</v>
      </c>
      <c r="G153" s="3">
        <v>-11</v>
      </c>
      <c r="H153" s="3">
        <v>40</v>
      </c>
      <c r="I153" s="3">
        <v>-72</v>
      </c>
    </row>
    <row r="154" spans="1:9" ht="15.75" thickBot="1" x14ac:dyDescent="0.3">
      <c r="A154" s="6" t="s">
        <v>105</v>
      </c>
      <c r="B154" s="7">
        <f t="shared" ref="B154:H154" si="23">+B147+B148+B153</f>
        <v>30601</v>
      </c>
      <c r="C154" s="7">
        <f t="shared" si="23"/>
        <v>32376</v>
      </c>
      <c r="D154" s="7">
        <f t="shared" si="23"/>
        <v>34350</v>
      </c>
      <c r="E154" s="7">
        <f t="shared" si="23"/>
        <v>36397</v>
      </c>
      <c r="F154" s="7">
        <f t="shared" si="23"/>
        <v>39117</v>
      </c>
      <c r="G154" s="7">
        <f t="shared" si="23"/>
        <v>37403</v>
      </c>
      <c r="H154" s="7">
        <f t="shared" si="23"/>
        <v>44538</v>
      </c>
      <c r="I154" s="7">
        <f>+I147+I148+I153</f>
        <v>46710</v>
      </c>
    </row>
    <row r="155" spans="1:9" ht="15.75" thickTop="1" x14ac:dyDescent="0.25">
      <c r="A155" s="12" t="s">
        <v>111</v>
      </c>
      <c r="B155" s="13">
        <f>+I154-I2</f>
        <v>0</v>
      </c>
      <c r="C155" s="13">
        <f t="shared" ref="C155:H155" si="24">+C154-C2</f>
        <v>0</v>
      </c>
      <c r="D155" s="13">
        <f t="shared" si="24"/>
        <v>0</v>
      </c>
      <c r="E155" s="13">
        <f t="shared" si="24"/>
        <v>0</v>
      </c>
      <c r="F155" s="13">
        <f t="shared" si="24"/>
        <v>0</v>
      </c>
      <c r="G155" s="13">
        <f t="shared" si="24"/>
        <v>0</v>
      </c>
      <c r="H155" s="13">
        <f t="shared" si="24"/>
        <v>0</v>
      </c>
      <c r="I155" s="12"/>
    </row>
    <row r="156" spans="1:9" x14ac:dyDescent="0.25">
      <c r="A156" s="1" t="s">
        <v>110</v>
      </c>
    </row>
    <row r="157" spans="1:9" x14ac:dyDescent="0.25">
      <c r="A157" s="2" t="s">
        <v>100</v>
      </c>
      <c r="B157" s="3">
        <v>3645</v>
      </c>
      <c r="C157" s="3">
        <v>3763</v>
      </c>
      <c r="D157" s="3">
        <v>3875</v>
      </c>
      <c r="E157" s="3">
        <v>3600</v>
      </c>
      <c r="F157" s="3">
        <v>3925</v>
      </c>
      <c r="G157" s="3">
        <v>2899</v>
      </c>
      <c r="H157" s="3">
        <v>5089</v>
      </c>
      <c r="I157" s="3">
        <v>5114</v>
      </c>
    </row>
    <row r="158" spans="1:9" x14ac:dyDescent="0.25">
      <c r="A158" s="2" t="s">
        <v>101</v>
      </c>
      <c r="B158" s="3">
        <v>0</v>
      </c>
      <c r="C158" s="3">
        <v>1787</v>
      </c>
      <c r="D158" s="3">
        <v>1507</v>
      </c>
      <c r="E158" s="3">
        <v>1587</v>
      </c>
      <c r="F158" s="3">
        <v>1995</v>
      </c>
      <c r="G158" s="3">
        <v>1541</v>
      </c>
      <c r="H158" s="3">
        <v>2435</v>
      </c>
      <c r="I158" s="3">
        <v>3293</v>
      </c>
    </row>
    <row r="159" spans="1:9" x14ac:dyDescent="0.25">
      <c r="A159" s="2" t="s">
        <v>102</v>
      </c>
      <c r="B159" s="3">
        <v>993</v>
      </c>
      <c r="C159" s="3">
        <v>1372</v>
      </c>
      <c r="D159" s="3">
        <v>1507</v>
      </c>
      <c r="E159" s="3">
        <v>1807</v>
      </c>
      <c r="F159" s="3">
        <v>2376</v>
      </c>
      <c r="G159" s="3">
        <v>2490</v>
      </c>
      <c r="H159" s="3">
        <v>3243</v>
      </c>
      <c r="I159" s="3">
        <v>2365</v>
      </c>
    </row>
    <row r="160" spans="1:9" x14ac:dyDescent="0.25">
      <c r="A160" s="2" t="s">
        <v>106</v>
      </c>
      <c r="B160" s="3">
        <v>0</v>
      </c>
      <c r="C160" s="3">
        <v>1002</v>
      </c>
      <c r="D160" s="3">
        <v>980</v>
      </c>
      <c r="E160" s="3">
        <v>1189</v>
      </c>
      <c r="F160" s="3">
        <v>1323</v>
      </c>
      <c r="G160" s="3">
        <v>1184</v>
      </c>
      <c r="H160" s="3">
        <v>1530</v>
      </c>
      <c r="I160" s="3">
        <v>1896</v>
      </c>
    </row>
    <row r="161" spans="1:9" x14ac:dyDescent="0.25">
      <c r="A161" s="2" t="s">
        <v>150</v>
      </c>
      <c r="B161" s="3">
        <v>249</v>
      </c>
      <c r="C161" s="3">
        <v>0</v>
      </c>
      <c r="D161" s="3">
        <v>0</v>
      </c>
      <c r="E161" s="3">
        <v>0</v>
      </c>
      <c r="F161" s="3">
        <v>0</v>
      </c>
      <c r="G161" s="3">
        <v>0</v>
      </c>
      <c r="H161" s="3">
        <v>0</v>
      </c>
      <c r="I161" s="3">
        <v>0</v>
      </c>
    </row>
    <row r="162" spans="1:9" x14ac:dyDescent="0.25">
      <c r="A162" s="2" t="s">
        <v>151</v>
      </c>
      <c r="B162" s="3">
        <v>100</v>
      </c>
      <c r="C162" s="3">
        <v>0</v>
      </c>
      <c r="D162" s="3">
        <v>0</v>
      </c>
      <c r="E162" s="3">
        <v>0</v>
      </c>
      <c r="F162" s="3">
        <v>0</v>
      </c>
      <c r="G162" s="3">
        <v>0</v>
      </c>
      <c r="H162" s="3">
        <v>0</v>
      </c>
      <c r="I162" s="3">
        <v>0</v>
      </c>
    </row>
    <row r="163" spans="1:9" x14ac:dyDescent="0.25">
      <c r="A163" s="2" t="s">
        <v>152</v>
      </c>
      <c r="B163" s="3">
        <v>818</v>
      </c>
      <c r="C163" s="3">
        <v>0</v>
      </c>
      <c r="D163" s="3">
        <v>0</v>
      </c>
      <c r="E163" s="3">
        <v>0</v>
      </c>
      <c r="F163" s="3">
        <v>0</v>
      </c>
      <c r="G163" s="3">
        <v>0</v>
      </c>
      <c r="H163" s="3">
        <v>0</v>
      </c>
      <c r="I163" s="3">
        <v>0</v>
      </c>
    </row>
    <row r="164" spans="1:9" x14ac:dyDescent="0.25">
      <c r="A164" s="2" t="s">
        <v>149</v>
      </c>
      <c r="B164" s="3">
        <v>1275</v>
      </c>
      <c r="C164" s="3">
        <v>0</v>
      </c>
      <c r="D164" s="3">
        <v>0</v>
      </c>
      <c r="E164" s="3">
        <v>0</v>
      </c>
      <c r="F164" s="3">
        <v>0</v>
      </c>
      <c r="G164" s="3">
        <v>0</v>
      </c>
      <c r="H164" s="3">
        <v>0</v>
      </c>
      <c r="I164" s="3">
        <v>0</v>
      </c>
    </row>
    <row r="165" spans="1:9" x14ac:dyDescent="0.25">
      <c r="A165" s="2" t="s">
        <v>107</v>
      </c>
      <c r="B165" s="3">
        <v>-2267</v>
      </c>
      <c r="C165" s="3">
        <v>-2596</v>
      </c>
      <c r="D165" s="3">
        <v>-2677</v>
      </c>
      <c r="E165" s="3">
        <v>-2658</v>
      </c>
      <c r="F165" s="3">
        <v>-3262</v>
      </c>
      <c r="G165" s="3">
        <v>-3468</v>
      </c>
      <c r="H165" s="3">
        <v>-3656</v>
      </c>
      <c r="I165" s="3">
        <v>-4262</v>
      </c>
    </row>
    <row r="166" spans="1:9" x14ac:dyDescent="0.25">
      <c r="A166" s="4" t="s">
        <v>103</v>
      </c>
      <c r="B166" s="5">
        <f t="shared" ref="B166:I166" si="25">+SUM(B157:B165)</f>
        <v>4813</v>
      </c>
      <c r="C166" s="5">
        <f t="shared" si="25"/>
        <v>5328</v>
      </c>
      <c r="D166" s="5">
        <f t="shared" si="25"/>
        <v>5192</v>
      </c>
      <c r="E166" s="5">
        <f t="shared" si="25"/>
        <v>5525</v>
      </c>
      <c r="F166" s="5">
        <f t="shared" si="25"/>
        <v>6357</v>
      </c>
      <c r="G166" s="5">
        <f t="shared" si="25"/>
        <v>4646</v>
      </c>
      <c r="H166" s="5">
        <f t="shared" si="25"/>
        <v>8641</v>
      </c>
      <c r="I166" s="5">
        <f t="shared" si="25"/>
        <v>8406</v>
      </c>
    </row>
    <row r="167" spans="1:9" x14ac:dyDescent="0.25">
      <c r="A167" s="2" t="s">
        <v>104</v>
      </c>
      <c r="B167" s="3">
        <v>517</v>
      </c>
      <c r="C167" s="3">
        <v>487</v>
      </c>
      <c r="D167" s="3">
        <v>477</v>
      </c>
      <c r="E167" s="3">
        <v>310</v>
      </c>
      <c r="F167" s="3">
        <v>303</v>
      </c>
      <c r="G167" s="3">
        <v>297</v>
      </c>
      <c r="H167" s="3">
        <v>543</v>
      </c>
      <c r="I167" s="3">
        <v>669</v>
      </c>
    </row>
    <row r="168" spans="1:9" x14ac:dyDescent="0.25">
      <c r="A168" s="2" t="s">
        <v>108</v>
      </c>
      <c r="B168" s="3">
        <v>-1097</v>
      </c>
      <c r="C168" s="3">
        <v>-1173</v>
      </c>
      <c r="D168" s="3">
        <v>-724</v>
      </c>
      <c r="E168" s="3">
        <v>-1456</v>
      </c>
      <c r="F168" s="3">
        <v>-1810</v>
      </c>
      <c r="G168" s="3">
        <v>-1967</v>
      </c>
      <c r="H168" s="3">
        <v>-2261</v>
      </c>
      <c r="I168" s="3">
        <v>-2219</v>
      </c>
    </row>
    <row r="169" spans="1:9" ht="15.75" thickBot="1" x14ac:dyDescent="0.3">
      <c r="A169" s="6" t="s">
        <v>112</v>
      </c>
      <c r="B169" s="7">
        <f t="shared" ref="B169" si="26">+SUM(B166:B168)</f>
        <v>4233</v>
      </c>
      <c r="C169" s="7">
        <f t="shared" ref="C169" si="27">+SUM(C166:C168)</f>
        <v>4642</v>
      </c>
      <c r="D169" s="7">
        <f t="shared" ref="D169" si="28">+SUM(D166:D168)</f>
        <v>4945</v>
      </c>
      <c r="E169" s="7">
        <f t="shared" ref="E169" si="29">+SUM(E166:E168)</f>
        <v>4379</v>
      </c>
      <c r="F169" s="7">
        <f t="shared" ref="F169" si="30">+SUM(F166:F168)</f>
        <v>4850</v>
      </c>
      <c r="G169" s="7">
        <f t="shared" ref="G169" si="31">+SUM(G166:G168)</f>
        <v>2976</v>
      </c>
      <c r="H169" s="7">
        <f t="shared" ref="H169" si="32">+SUM(H166:H168)</f>
        <v>6923</v>
      </c>
      <c r="I169" s="7">
        <f>+SUM(I166:I168)</f>
        <v>6856</v>
      </c>
    </row>
    <row r="170" spans="1:9" ht="15.75" thickTop="1" x14ac:dyDescent="0.25">
      <c r="A170" s="12" t="s">
        <v>111</v>
      </c>
      <c r="B170" s="13">
        <f t="shared" ref="B170:I170" si="33">+B169-B10-B8</f>
        <v>0</v>
      </c>
      <c r="C170" s="13">
        <f t="shared" si="33"/>
        <v>0</v>
      </c>
      <c r="D170" s="13">
        <f t="shared" si="33"/>
        <v>0</v>
      </c>
      <c r="E170" s="13">
        <f t="shared" si="33"/>
        <v>0</v>
      </c>
      <c r="F170" s="13">
        <f t="shared" si="33"/>
        <v>0</v>
      </c>
      <c r="G170" s="13">
        <f t="shared" si="33"/>
        <v>0</v>
      </c>
      <c r="H170" s="13">
        <f t="shared" si="33"/>
        <v>0</v>
      </c>
      <c r="I170" s="13">
        <f t="shared" si="33"/>
        <v>0</v>
      </c>
    </row>
    <row r="171" spans="1:9" x14ac:dyDescent="0.25">
      <c r="A171" s="1" t="s">
        <v>117</v>
      </c>
    </row>
    <row r="172" spans="1:9" x14ac:dyDescent="0.25">
      <c r="A172" s="2" t="s">
        <v>100</v>
      </c>
      <c r="B172" s="3">
        <v>632</v>
      </c>
      <c r="C172" s="3">
        <v>742</v>
      </c>
      <c r="D172" s="3">
        <v>819</v>
      </c>
      <c r="E172" s="3">
        <v>848</v>
      </c>
      <c r="F172" s="3">
        <v>814</v>
      </c>
      <c r="G172" s="3">
        <v>645</v>
      </c>
      <c r="H172" s="3">
        <v>617</v>
      </c>
      <c r="I172" s="3">
        <v>639</v>
      </c>
    </row>
    <row r="173" spans="1:9" x14ac:dyDescent="0.25">
      <c r="A173" s="2" t="s">
        <v>101</v>
      </c>
      <c r="B173" s="3">
        <v>0</v>
      </c>
      <c r="C173" s="3">
        <v>0</v>
      </c>
      <c r="D173" s="3">
        <v>709</v>
      </c>
      <c r="E173" s="3">
        <v>849</v>
      </c>
      <c r="F173" s="3">
        <v>929</v>
      </c>
      <c r="G173" s="3">
        <v>885</v>
      </c>
      <c r="H173" s="3">
        <v>982</v>
      </c>
      <c r="I173" s="3">
        <v>920</v>
      </c>
    </row>
    <row r="174" spans="1:9" x14ac:dyDescent="0.25">
      <c r="A174" s="2" t="s">
        <v>102</v>
      </c>
      <c r="B174" s="3">
        <v>254</v>
      </c>
      <c r="C174" s="3">
        <v>234</v>
      </c>
      <c r="D174" s="3">
        <v>225</v>
      </c>
      <c r="E174" s="3">
        <v>256</v>
      </c>
      <c r="F174" s="3">
        <v>237</v>
      </c>
      <c r="G174" s="3">
        <v>214</v>
      </c>
      <c r="H174" s="3">
        <v>288</v>
      </c>
      <c r="I174" s="3">
        <v>303</v>
      </c>
    </row>
    <row r="175" spans="1:9" x14ac:dyDescent="0.25">
      <c r="A175" s="2" t="s">
        <v>118</v>
      </c>
      <c r="B175" s="3">
        <v>0</v>
      </c>
      <c r="C175" s="3">
        <v>0</v>
      </c>
      <c r="D175" s="3">
        <v>340</v>
      </c>
      <c r="E175" s="3">
        <v>339</v>
      </c>
      <c r="F175" s="3">
        <v>326</v>
      </c>
      <c r="G175" s="3">
        <v>296</v>
      </c>
      <c r="H175" s="3">
        <v>304</v>
      </c>
      <c r="I175" s="3">
        <v>274</v>
      </c>
    </row>
    <row r="176" spans="1:9" x14ac:dyDescent="0.25">
      <c r="A176" s="2" t="s">
        <v>149</v>
      </c>
      <c r="B176" s="3">
        <v>451</v>
      </c>
      <c r="C176" s="3">
        <v>589</v>
      </c>
      <c r="D176" s="3">
        <v>0</v>
      </c>
      <c r="E176" s="3">
        <v>0</v>
      </c>
      <c r="F176" s="3">
        <v>0</v>
      </c>
      <c r="G176" s="3">
        <v>0</v>
      </c>
      <c r="H176" s="3">
        <v>0</v>
      </c>
      <c r="I176" s="3">
        <v>0</v>
      </c>
    </row>
    <row r="177" spans="1:9" x14ac:dyDescent="0.25">
      <c r="A177" s="2" t="s">
        <v>150</v>
      </c>
      <c r="B177" s="3">
        <v>47</v>
      </c>
      <c r="C177" s="3">
        <v>50</v>
      </c>
      <c r="D177" s="3">
        <v>0</v>
      </c>
      <c r="E177" s="3">
        <v>0</v>
      </c>
      <c r="F177" s="3">
        <v>0</v>
      </c>
      <c r="G177" s="3">
        <v>0</v>
      </c>
      <c r="H177" s="3">
        <v>0</v>
      </c>
      <c r="I177" s="3">
        <v>0</v>
      </c>
    </row>
    <row r="178" spans="1:9" x14ac:dyDescent="0.25">
      <c r="A178" s="2" t="s">
        <v>151</v>
      </c>
      <c r="B178" s="3">
        <v>205</v>
      </c>
      <c r="C178" s="3">
        <v>223</v>
      </c>
      <c r="D178" s="3">
        <v>0</v>
      </c>
      <c r="E178" s="3">
        <v>0</v>
      </c>
      <c r="F178" s="3">
        <v>0</v>
      </c>
      <c r="G178" s="3">
        <v>0</v>
      </c>
      <c r="H178" s="3">
        <v>0</v>
      </c>
      <c r="I178" s="3">
        <v>0</v>
      </c>
    </row>
    <row r="179" spans="1:9" x14ac:dyDescent="0.25">
      <c r="A179" s="2" t="s">
        <v>152</v>
      </c>
      <c r="B179" s="3">
        <v>103</v>
      </c>
      <c r="C179" s="3">
        <v>109</v>
      </c>
      <c r="D179" s="3">
        <v>0</v>
      </c>
      <c r="E179" s="3">
        <v>0</v>
      </c>
      <c r="F179" s="3">
        <v>0</v>
      </c>
      <c r="G179" s="3">
        <v>0</v>
      </c>
      <c r="H179" s="3">
        <v>0</v>
      </c>
      <c r="I179" s="3">
        <v>0</v>
      </c>
    </row>
    <row r="180" spans="1:9" x14ac:dyDescent="0.25">
      <c r="A180" s="2" t="s">
        <v>107</v>
      </c>
      <c r="B180" s="3">
        <v>484</v>
      </c>
      <c r="C180" s="3">
        <v>511</v>
      </c>
      <c r="D180" s="3">
        <v>533</v>
      </c>
      <c r="E180" s="3">
        <v>597</v>
      </c>
      <c r="F180" s="3">
        <v>665</v>
      </c>
      <c r="G180" s="3">
        <v>830</v>
      </c>
      <c r="H180" s="3">
        <v>780</v>
      </c>
      <c r="I180" s="3">
        <v>789</v>
      </c>
    </row>
    <row r="181" spans="1:9" x14ac:dyDescent="0.25">
      <c r="A181" s="4" t="s">
        <v>119</v>
      </c>
      <c r="B181" s="5">
        <f t="shared" ref="B181:I181" si="34">+SUM(B172:B180)</f>
        <v>2176</v>
      </c>
      <c r="C181" s="5">
        <f t="shared" si="34"/>
        <v>2458</v>
      </c>
      <c r="D181" s="5">
        <f t="shared" si="34"/>
        <v>2626</v>
      </c>
      <c r="E181" s="5">
        <f t="shared" si="34"/>
        <v>2889</v>
      </c>
      <c r="F181" s="5">
        <f t="shared" si="34"/>
        <v>2971</v>
      </c>
      <c r="G181" s="5">
        <f t="shared" si="34"/>
        <v>2870</v>
      </c>
      <c r="H181" s="5">
        <f t="shared" si="34"/>
        <v>2971</v>
      </c>
      <c r="I181" s="5">
        <f t="shared" si="34"/>
        <v>2925</v>
      </c>
    </row>
    <row r="182" spans="1:9" x14ac:dyDescent="0.25">
      <c r="A182" s="2" t="s">
        <v>104</v>
      </c>
      <c r="B182" s="3">
        <v>122</v>
      </c>
      <c r="C182" s="3">
        <v>125</v>
      </c>
      <c r="D182" s="3">
        <v>125</v>
      </c>
      <c r="E182" s="3">
        <v>115</v>
      </c>
      <c r="F182" s="3">
        <v>100</v>
      </c>
      <c r="G182" s="3">
        <v>80</v>
      </c>
      <c r="H182" s="3">
        <v>63</v>
      </c>
      <c r="I182" s="3">
        <v>49</v>
      </c>
    </row>
    <row r="183" spans="1:9" x14ac:dyDescent="0.25">
      <c r="A183" s="2" t="s">
        <v>108</v>
      </c>
      <c r="B183" s="3">
        <v>713</v>
      </c>
      <c r="C183" s="3">
        <v>937</v>
      </c>
      <c r="D183" s="3">
        <v>1238</v>
      </c>
      <c r="E183" s="3">
        <v>1450</v>
      </c>
      <c r="F183" s="3">
        <v>1673</v>
      </c>
      <c r="G183" s="3">
        <v>1916</v>
      </c>
      <c r="H183" s="3">
        <v>1870</v>
      </c>
      <c r="I183" s="3">
        <v>1817</v>
      </c>
    </row>
    <row r="184" spans="1:9" ht="15.75" thickBot="1" x14ac:dyDescent="0.3">
      <c r="A184" s="6" t="s">
        <v>120</v>
      </c>
      <c r="B184" s="7">
        <f t="shared" ref="B184:H184" si="35">+SUM(B181:B183)</f>
        <v>3011</v>
      </c>
      <c r="C184" s="7">
        <f t="shared" si="35"/>
        <v>3520</v>
      </c>
      <c r="D184" s="7">
        <f t="shared" si="35"/>
        <v>3989</v>
      </c>
      <c r="E184" s="7">
        <f t="shared" si="35"/>
        <v>4454</v>
      </c>
      <c r="F184" s="7">
        <f t="shared" si="35"/>
        <v>4744</v>
      </c>
      <c r="G184" s="7">
        <f t="shared" si="35"/>
        <v>4866</v>
      </c>
      <c r="H184" s="7">
        <f t="shared" si="35"/>
        <v>4904</v>
      </c>
      <c r="I184" s="7">
        <f>+SUM(I181:I183)</f>
        <v>4791</v>
      </c>
    </row>
    <row r="185" spans="1:9" ht="15.75" thickTop="1" x14ac:dyDescent="0.25">
      <c r="A185" s="12" t="s">
        <v>111</v>
      </c>
      <c r="B185" s="13">
        <f t="shared" ref="B185:I185" si="36">+B184-B31</f>
        <v>0</v>
      </c>
      <c r="C185" s="13">
        <f t="shared" si="36"/>
        <v>0</v>
      </c>
      <c r="D185" s="13">
        <f t="shared" si="36"/>
        <v>0</v>
      </c>
      <c r="E185" s="13">
        <f t="shared" si="36"/>
        <v>0</v>
      </c>
      <c r="F185" s="13">
        <f t="shared" si="36"/>
        <v>0</v>
      </c>
      <c r="G185" s="13">
        <f t="shared" si="36"/>
        <v>0</v>
      </c>
      <c r="H185" s="13">
        <f t="shared" si="36"/>
        <v>0</v>
      </c>
      <c r="I185" s="13">
        <f t="shared" si="36"/>
        <v>0</v>
      </c>
    </row>
    <row r="186" spans="1:9" x14ac:dyDescent="0.25">
      <c r="A186" s="1" t="s">
        <v>122</v>
      </c>
    </row>
    <row r="187" spans="1:9" x14ac:dyDescent="0.25">
      <c r="A187" s="2" t="s">
        <v>100</v>
      </c>
      <c r="B187" s="3">
        <v>208</v>
      </c>
      <c r="C187" s="3">
        <v>242</v>
      </c>
      <c r="D187" s="3">
        <v>223</v>
      </c>
      <c r="E187" s="3">
        <v>196</v>
      </c>
      <c r="F187" s="3">
        <v>117</v>
      </c>
      <c r="G187" s="3">
        <v>110</v>
      </c>
      <c r="H187" s="3">
        <v>98</v>
      </c>
      <c r="I187" s="3">
        <v>146</v>
      </c>
    </row>
    <row r="188" spans="1:9" x14ac:dyDescent="0.25">
      <c r="A188" s="2" t="s">
        <v>101</v>
      </c>
      <c r="B188" s="3">
        <v>0</v>
      </c>
      <c r="C188" s="3">
        <v>234</v>
      </c>
      <c r="D188" s="3">
        <v>173</v>
      </c>
      <c r="E188" s="3">
        <v>240</v>
      </c>
      <c r="F188" s="3">
        <v>233</v>
      </c>
      <c r="G188" s="3">
        <v>139</v>
      </c>
      <c r="H188" s="3">
        <v>153</v>
      </c>
      <c r="I188" s="3">
        <v>197</v>
      </c>
    </row>
    <row r="189" spans="1:9" x14ac:dyDescent="0.25">
      <c r="A189" s="2" t="s">
        <v>102</v>
      </c>
      <c r="B189" s="3">
        <v>69</v>
      </c>
      <c r="C189" s="3">
        <v>44</v>
      </c>
      <c r="D189" s="3">
        <v>51</v>
      </c>
      <c r="E189" s="3">
        <v>76</v>
      </c>
      <c r="F189" s="3">
        <v>49</v>
      </c>
      <c r="G189" s="3">
        <v>28</v>
      </c>
      <c r="H189" s="3">
        <v>94</v>
      </c>
      <c r="I189" s="3">
        <v>78</v>
      </c>
    </row>
    <row r="190" spans="1:9" x14ac:dyDescent="0.25">
      <c r="A190" s="2" t="s">
        <v>118</v>
      </c>
      <c r="B190" s="3">
        <v>0</v>
      </c>
      <c r="C190" s="3">
        <v>62</v>
      </c>
      <c r="D190" s="3">
        <v>59</v>
      </c>
      <c r="E190" s="3">
        <v>49</v>
      </c>
      <c r="F190" s="3">
        <v>47</v>
      </c>
      <c r="G190" s="3">
        <v>41</v>
      </c>
      <c r="H190" s="3">
        <v>54</v>
      </c>
      <c r="I190" s="3">
        <v>56</v>
      </c>
    </row>
    <row r="191" spans="1:9" x14ac:dyDescent="0.25">
      <c r="A191" s="2" t="s">
        <v>149</v>
      </c>
      <c r="B191" s="3">
        <v>216</v>
      </c>
      <c r="C191" s="3">
        <v>0</v>
      </c>
      <c r="D191" s="3">
        <v>0</v>
      </c>
      <c r="E191" s="3">
        <v>0</v>
      </c>
      <c r="F191" s="3">
        <v>0</v>
      </c>
      <c r="G191" s="3">
        <v>0</v>
      </c>
      <c r="H191" s="3">
        <v>0</v>
      </c>
      <c r="I191" s="3">
        <v>0</v>
      </c>
    </row>
    <row r="192" spans="1:9" x14ac:dyDescent="0.25">
      <c r="A192" s="2" t="s">
        <v>150</v>
      </c>
      <c r="B192" s="3">
        <v>20</v>
      </c>
      <c r="C192" s="3">
        <v>0</v>
      </c>
      <c r="D192" s="3">
        <v>0</v>
      </c>
      <c r="E192" s="3">
        <v>0</v>
      </c>
      <c r="F192" s="3">
        <v>0</v>
      </c>
      <c r="G192" s="3">
        <v>0</v>
      </c>
      <c r="H192" s="3">
        <v>0</v>
      </c>
      <c r="I192" s="3">
        <v>0</v>
      </c>
    </row>
    <row r="193" spans="1:9" x14ac:dyDescent="0.25">
      <c r="A193" s="2" t="s">
        <v>151</v>
      </c>
      <c r="B193" s="3">
        <v>15</v>
      </c>
      <c r="C193" s="3">
        <v>0</v>
      </c>
      <c r="D193" s="3">
        <v>0</v>
      </c>
      <c r="E193" s="3">
        <v>0</v>
      </c>
      <c r="F193" s="3">
        <v>0</v>
      </c>
      <c r="G193" s="3">
        <v>0</v>
      </c>
      <c r="H193" s="3">
        <v>0</v>
      </c>
      <c r="I193" s="3">
        <v>0</v>
      </c>
    </row>
    <row r="194" spans="1:9" x14ac:dyDescent="0.25">
      <c r="A194" s="2" t="s">
        <v>152</v>
      </c>
      <c r="B194" s="3">
        <v>37</v>
      </c>
      <c r="C194" s="3">
        <v>0</v>
      </c>
      <c r="D194" s="3">
        <v>0</v>
      </c>
      <c r="E194" s="3">
        <v>0</v>
      </c>
      <c r="F194" s="3">
        <v>0</v>
      </c>
      <c r="G194" s="3">
        <v>0</v>
      </c>
      <c r="H194" s="3">
        <v>0</v>
      </c>
      <c r="I194" s="3">
        <v>0</v>
      </c>
    </row>
    <row r="195" spans="1:9" x14ac:dyDescent="0.25">
      <c r="A195" s="2" t="s">
        <v>107</v>
      </c>
      <c r="B195" s="3">
        <v>225</v>
      </c>
      <c r="C195" s="3">
        <v>258</v>
      </c>
      <c r="D195" s="3">
        <v>278</v>
      </c>
      <c r="E195" s="3">
        <v>286</v>
      </c>
      <c r="F195" s="3">
        <v>278</v>
      </c>
      <c r="G195" s="3">
        <v>438</v>
      </c>
      <c r="H195" s="3">
        <v>278</v>
      </c>
      <c r="I195" s="3">
        <v>222</v>
      </c>
    </row>
    <row r="196" spans="1:9" x14ac:dyDescent="0.25">
      <c r="A196" s="4" t="s">
        <v>119</v>
      </c>
      <c r="B196" s="5">
        <f t="shared" ref="B196:I196" si="37">+SUM(B187:B195)</f>
        <v>790</v>
      </c>
      <c r="C196" s="5">
        <f t="shared" si="37"/>
        <v>840</v>
      </c>
      <c r="D196" s="5">
        <f t="shared" si="37"/>
        <v>784</v>
      </c>
      <c r="E196" s="5">
        <f t="shared" si="37"/>
        <v>847</v>
      </c>
      <c r="F196" s="5">
        <f t="shared" si="37"/>
        <v>724</v>
      </c>
      <c r="G196" s="5">
        <f t="shared" si="37"/>
        <v>756</v>
      </c>
      <c r="H196" s="5">
        <f t="shared" si="37"/>
        <v>677</v>
      </c>
      <c r="I196" s="5">
        <f t="shared" si="37"/>
        <v>699</v>
      </c>
    </row>
    <row r="197" spans="1:9" x14ac:dyDescent="0.25">
      <c r="A197" s="2" t="s">
        <v>104</v>
      </c>
      <c r="B197" s="3">
        <v>69</v>
      </c>
      <c r="C197" s="3">
        <v>39</v>
      </c>
      <c r="D197" s="3">
        <v>30</v>
      </c>
      <c r="E197" s="3">
        <v>22</v>
      </c>
      <c r="F197" s="3">
        <v>18</v>
      </c>
      <c r="G197" s="3">
        <v>12</v>
      </c>
      <c r="H197" s="3">
        <v>7</v>
      </c>
      <c r="I197" s="3">
        <v>9</v>
      </c>
    </row>
    <row r="198" spans="1:9" x14ac:dyDescent="0.25">
      <c r="A198" s="2" t="s">
        <v>108</v>
      </c>
      <c r="B198" s="3">
        <f t="shared" ref="B198:I198" si="38">-(SUM(B196:B197)+B82)</f>
        <v>104</v>
      </c>
      <c r="C198" s="3">
        <f t="shared" si="38"/>
        <v>264</v>
      </c>
      <c r="D198" s="3">
        <f t="shared" si="38"/>
        <v>291</v>
      </c>
      <c r="E198" s="3">
        <f t="shared" si="38"/>
        <v>159</v>
      </c>
      <c r="F198" s="3">
        <f t="shared" si="38"/>
        <v>377</v>
      </c>
      <c r="G198" s="3">
        <f t="shared" si="38"/>
        <v>318</v>
      </c>
      <c r="H198" s="3">
        <f t="shared" si="38"/>
        <v>11</v>
      </c>
      <c r="I198" s="3">
        <f t="shared" si="38"/>
        <v>50</v>
      </c>
    </row>
    <row r="199" spans="1:9" ht="15.75" thickBot="1" x14ac:dyDescent="0.3">
      <c r="A199" s="6" t="s">
        <v>123</v>
      </c>
      <c r="B199" s="7">
        <f t="shared" ref="B199:H199" si="39">+SUM(B196:B198)</f>
        <v>963</v>
      </c>
      <c r="C199" s="7">
        <f t="shared" si="39"/>
        <v>1143</v>
      </c>
      <c r="D199" s="7">
        <f t="shared" si="39"/>
        <v>1105</v>
      </c>
      <c r="E199" s="7">
        <f t="shared" si="39"/>
        <v>1028</v>
      </c>
      <c r="F199" s="7">
        <f t="shared" si="39"/>
        <v>1119</v>
      </c>
      <c r="G199" s="7">
        <f t="shared" si="39"/>
        <v>1086</v>
      </c>
      <c r="H199" s="7">
        <f t="shared" si="39"/>
        <v>695</v>
      </c>
      <c r="I199" s="7">
        <f>+SUM(I196:I198)</f>
        <v>758</v>
      </c>
    </row>
    <row r="200" spans="1:9" ht="15.75" thickTop="1" x14ac:dyDescent="0.25">
      <c r="A200" s="12" t="s">
        <v>111</v>
      </c>
      <c r="B200" s="13">
        <f t="shared" ref="B200:I200" si="40">+B199+B82</f>
        <v>0</v>
      </c>
      <c r="C200" s="13">
        <f t="shared" si="40"/>
        <v>0</v>
      </c>
      <c r="D200" s="13">
        <f t="shared" si="40"/>
        <v>0</v>
      </c>
      <c r="E200" s="13">
        <f t="shared" si="40"/>
        <v>0</v>
      </c>
      <c r="F200" s="13">
        <f t="shared" si="40"/>
        <v>0</v>
      </c>
      <c r="G200" s="13">
        <f t="shared" si="40"/>
        <v>0</v>
      </c>
      <c r="H200" s="13">
        <f t="shared" si="40"/>
        <v>0</v>
      </c>
      <c r="I200" s="13">
        <f t="shared" si="40"/>
        <v>0</v>
      </c>
    </row>
    <row r="201" spans="1:9" x14ac:dyDescent="0.25">
      <c r="A201" s="1" t="s">
        <v>124</v>
      </c>
    </row>
    <row r="202" spans="1:9" x14ac:dyDescent="0.25">
      <c r="A202" s="2" t="s">
        <v>100</v>
      </c>
      <c r="B202" s="3">
        <v>121</v>
      </c>
      <c r="C202" s="3">
        <v>133</v>
      </c>
      <c r="D202" s="3">
        <v>140</v>
      </c>
      <c r="E202" s="3">
        <v>160</v>
      </c>
      <c r="F202" s="3">
        <v>149</v>
      </c>
      <c r="G202" s="3">
        <v>148</v>
      </c>
      <c r="H202" s="3">
        <v>130</v>
      </c>
      <c r="I202" s="3">
        <v>124</v>
      </c>
    </row>
    <row r="203" spans="1:9" x14ac:dyDescent="0.25">
      <c r="A203" s="2" t="s">
        <v>101</v>
      </c>
      <c r="B203" s="3"/>
      <c r="C203" s="3">
        <v>85</v>
      </c>
      <c r="D203" s="3">
        <v>106</v>
      </c>
      <c r="E203" s="3">
        <v>116</v>
      </c>
      <c r="F203" s="3">
        <v>111</v>
      </c>
      <c r="G203" s="3">
        <v>132</v>
      </c>
      <c r="H203" s="3">
        <v>136</v>
      </c>
      <c r="I203" s="3">
        <v>134</v>
      </c>
    </row>
    <row r="204" spans="1:9" x14ac:dyDescent="0.25">
      <c r="A204" s="2" t="s">
        <v>102</v>
      </c>
      <c r="B204" s="3">
        <v>46</v>
      </c>
      <c r="C204" s="3">
        <v>48</v>
      </c>
      <c r="D204" s="3">
        <v>54</v>
      </c>
      <c r="E204" s="3">
        <v>56</v>
      </c>
      <c r="F204" s="3">
        <v>50</v>
      </c>
      <c r="G204" s="3">
        <v>44</v>
      </c>
      <c r="H204" s="3">
        <v>46</v>
      </c>
      <c r="I204" s="3">
        <v>41</v>
      </c>
    </row>
    <row r="205" spans="1:9" x14ac:dyDescent="0.25">
      <c r="A205" s="2" t="s">
        <v>106</v>
      </c>
      <c r="B205" s="3"/>
      <c r="C205" s="3">
        <v>42</v>
      </c>
      <c r="D205" s="3">
        <v>54</v>
      </c>
      <c r="E205" s="3">
        <v>55</v>
      </c>
      <c r="F205" s="3">
        <v>53</v>
      </c>
      <c r="G205" s="3">
        <v>46</v>
      </c>
      <c r="H205" s="3">
        <v>43</v>
      </c>
      <c r="I205" s="3">
        <v>42</v>
      </c>
    </row>
    <row r="206" spans="1:9" x14ac:dyDescent="0.25">
      <c r="A206" s="2" t="s">
        <v>149</v>
      </c>
      <c r="B206" s="3">
        <v>75</v>
      </c>
      <c r="C206" s="3">
        <v>0</v>
      </c>
      <c r="D206" s="3">
        <v>0</v>
      </c>
      <c r="E206" s="3">
        <v>0</v>
      </c>
      <c r="F206" s="3">
        <v>0</v>
      </c>
      <c r="G206" s="3">
        <v>0</v>
      </c>
      <c r="H206" s="3">
        <v>0</v>
      </c>
      <c r="I206" s="3">
        <v>0</v>
      </c>
    </row>
    <row r="207" spans="1:9" x14ac:dyDescent="0.25">
      <c r="A207" s="2" t="s">
        <v>150</v>
      </c>
      <c r="B207" s="3">
        <v>12</v>
      </c>
      <c r="C207" s="3">
        <v>0</v>
      </c>
      <c r="D207" s="3">
        <v>0</v>
      </c>
      <c r="E207" s="3">
        <v>0</v>
      </c>
      <c r="F207" s="3">
        <v>0</v>
      </c>
      <c r="G207" s="3">
        <v>0</v>
      </c>
      <c r="H207" s="3">
        <v>0</v>
      </c>
      <c r="I207" s="3">
        <v>0</v>
      </c>
    </row>
    <row r="208" spans="1:9" x14ac:dyDescent="0.25">
      <c r="A208" s="2" t="s">
        <v>151</v>
      </c>
      <c r="B208" s="3">
        <v>22</v>
      </c>
      <c r="C208" s="3">
        <v>0</v>
      </c>
      <c r="D208" s="3">
        <v>0</v>
      </c>
      <c r="E208" s="3">
        <v>0</v>
      </c>
      <c r="F208" s="3">
        <v>0</v>
      </c>
      <c r="G208" s="3">
        <v>0</v>
      </c>
      <c r="H208" s="3">
        <v>0</v>
      </c>
      <c r="I208" s="3">
        <v>0</v>
      </c>
    </row>
    <row r="209" spans="1:9" x14ac:dyDescent="0.25">
      <c r="A209" s="2" t="s">
        <v>152</v>
      </c>
      <c r="B209" s="3">
        <v>27</v>
      </c>
      <c r="C209" s="3">
        <v>0</v>
      </c>
      <c r="D209" s="3">
        <v>0</v>
      </c>
      <c r="E209" s="3">
        <v>0</v>
      </c>
      <c r="F209" s="3">
        <v>0</v>
      </c>
      <c r="G209" s="3">
        <v>0</v>
      </c>
      <c r="H209" s="3">
        <v>0</v>
      </c>
      <c r="I209" s="3">
        <v>0</v>
      </c>
    </row>
    <row r="210" spans="1:9" x14ac:dyDescent="0.25">
      <c r="A210" s="2" t="s">
        <v>107</v>
      </c>
      <c r="B210" s="3">
        <v>210</v>
      </c>
      <c r="C210" s="3">
        <v>230</v>
      </c>
      <c r="D210" s="3">
        <v>233</v>
      </c>
      <c r="E210" s="3">
        <v>217</v>
      </c>
      <c r="F210" s="3">
        <v>195</v>
      </c>
      <c r="G210" s="3">
        <v>214</v>
      </c>
      <c r="H210" s="3">
        <v>222</v>
      </c>
      <c r="I210" s="3">
        <v>220</v>
      </c>
    </row>
    <row r="211" spans="1:9" x14ac:dyDescent="0.25">
      <c r="A211" s="4" t="s">
        <v>119</v>
      </c>
      <c r="B211" s="5">
        <f t="shared" ref="B211:I211" si="41">+SUM(B202:B210)</f>
        <v>513</v>
      </c>
      <c r="C211" s="5">
        <f t="shared" si="41"/>
        <v>538</v>
      </c>
      <c r="D211" s="5">
        <f t="shared" si="41"/>
        <v>587</v>
      </c>
      <c r="E211" s="5">
        <f t="shared" si="41"/>
        <v>604</v>
      </c>
      <c r="F211" s="5">
        <f t="shared" si="41"/>
        <v>558</v>
      </c>
      <c r="G211" s="5">
        <f t="shared" si="41"/>
        <v>584</v>
      </c>
      <c r="H211" s="5">
        <f t="shared" si="41"/>
        <v>577</v>
      </c>
      <c r="I211" s="5">
        <f t="shared" si="41"/>
        <v>561</v>
      </c>
    </row>
    <row r="212" spans="1:9" x14ac:dyDescent="0.25">
      <c r="A212" s="2" t="s">
        <v>104</v>
      </c>
      <c r="B212" s="3">
        <v>18</v>
      </c>
      <c r="C212" s="3">
        <v>27</v>
      </c>
      <c r="D212" s="3">
        <v>28</v>
      </c>
      <c r="E212" s="3">
        <v>33</v>
      </c>
      <c r="F212" s="3">
        <v>31</v>
      </c>
      <c r="G212" s="3">
        <v>25</v>
      </c>
      <c r="H212" s="3">
        <v>26</v>
      </c>
      <c r="I212" s="3">
        <v>22</v>
      </c>
    </row>
    <row r="213" spans="1:9" x14ac:dyDescent="0.25">
      <c r="A213" s="2" t="s">
        <v>108</v>
      </c>
      <c r="B213" s="3">
        <v>75</v>
      </c>
      <c r="C213" s="3">
        <v>84</v>
      </c>
      <c r="D213" s="3">
        <v>91</v>
      </c>
      <c r="E213" s="3">
        <v>110</v>
      </c>
      <c r="F213" s="3">
        <v>116</v>
      </c>
      <c r="G213" s="3">
        <v>112</v>
      </c>
      <c r="H213" s="3">
        <v>141</v>
      </c>
      <c r="I213" s="3">
        <v>134</v>
      </c>
    </row>
    <row r="214" spans="1:9" ht="15.75" thickBot="1" x14ac:dyDescent="0.3">
      <c r="A214" s="6" t="s">
        <v>125</v>
      </c>
      <c r="B214" s="7">
        <f t="shared" ref="B214:H214" si="42">+SUM(B211:B213)</f>
        <v>606</v>
      </c>
      <c r="C214" s="7">
        <f t="shared" si="42"/>
        <v>649</v>
      </c>
      <c r="D214" s="7">
        <f t="shared" si="42"/>
        <v>706</v>
      </c>
      <c r="E214" s="7">
        <f t="shared" si="42"/>
        <v>747</v>
      </c>
      <c r="F214" s="7">
        <f t="shared" si="42"/>
        <v>705</v>
      </c>
      <c r="G214" s="7">
        <f t="shared" si="42"/>
        <v>721</v>
      </c>
      <c r="H214" s="7">
        <f t="shared" si="42"/>
        <v>744</v>
      </c>
      <c r="I214" s="7">
        <f>+SUM(I211:I213)</f>
        <v>717</v>
      </c>
    </row>
    <row r="215" spans="1:9" ht="15.75" thickTop="1" x14ac:dyDescent="0.25">
      <c r="A215" s="12" t="s">
        <v>111</v>
      </c>
      <c r="B215" s="13">
        <f t="shared" ref="B215:I215" si="43">+B214-B66</f>
        <v>0</v>
      </c>
      <c r="C215" s="13">
        <f t="shared" si="43"/>
        <v>0</v>
      </c>
      <c r="D215" s="13">
        <f t="shared" si="43"/>
        <v>0</v>
      </c>
      <c r="E215" s="13">
        <f t="shared" si="43"/>
        <v>0</v>
      </c>
      <c r="F215" s="13">
        <f t="shared" si="43"/>
        <v>0</v>
      </c>
      <c r="G215" s="13">
        <f t="shared" si="43"/>
        <v>0</v>
      </c>
      <c r="H215" s="13">
        <f t="shared" si="43"/>
        <v>0</v>
      </c>
      <c r="I215" s="13">
        <f t="shared" si="43"/>
        <v>0</v>
      </c>
    </row>
    <row r="216" spans="1:9" x14ac:dyDescent="0.25">
      <c r="A216" s="14" t="s">
        <v>126</v>
      </c>
      <c r="B216" s="14"/>
      <c r="C216" s="14"/>
      <c r="D216" s="14"/>
      <c r="E216" s="14"/>
      <c r="F216" s="14"/>
      <c r="G216" s="14"/>
      <c r="H216" s="14"/>
      <c r="I216" s="14"/>
    </row>
    <row r="217" spans="1:9" x14ac:dyDescent="0.25">
      <c r="A217" s="27" t="s">
        <v>127</v>
      </c>
    </row>
    <row r="218" spans="1:9" x14ac:dyDescent="0.25">
      <c r="A218" s="32" t="s">
        <v>100</v>
      </c>
      <c r="B218" s="33">
        <v>0.12</v>
      </c>
      <c r="C218" s="33">
        <v>0.08</v>
      </c>
      <c r="D218" s="33">
        <v>0.03</v>
      </c>
      <c r="E218" s="33">
        <v>-0.02</v>
      </c>
      <c r="F218" s="33">
        <v>7.0000000000000007E-2</v>
      </c>
      <c r="G218" s="33">
        <v>-0.09</v>
      </c>
      <c r="H218" s="33">
        <v>0.19</v>
      </c>
      <c r="I218" s="33">
        <v>7.0000000000000007E-2</v>
      </c>
    </row>
    <row r="219" spans="1:9" x14ac:dyDescent="0.25">
      <c r="A219" s="30" t="s">
        <v>113</v>
      </c>
      <c r="B219" s="29">
        <v>0.14000000000000001</v>
      </c>
      <c r="C219" s="29">
        <v>0.1</v>
      </c>
      <c r="D219" s="29">
        <v>0.04</v>
      </c>
      <c r="E219" s="29">
        <v>-0.04</v>
      </c>
      <c r="F219" s="29">
        <v>0.08</v>
      </c>
      <c r="G219" s="29">
        <v>-7.0000000000000007E-2</v>
      </c>
      <c r="H219" s="29">
        <v>0.25</v>
      </c>
      <c r="I219" s="29">
        <v>0.05</v>
      </c>
    </row>
    <row r="220" spans="1:9" x14ac:dyDescent="0.25">
      <c r="A220" s="30" t="s">
        <v>114</v>
      </c>
      <c r="B220" s="29">
        <v>0.12</v>
      </c>
      <c r="C220" s="29">
        <v>0.08</v>
      </c>
      <c r="D220" s="29">
        <v>0.03</v>
      </c>
      <c r="E220" s="29">
        <v>0.01</v>
      </c>
      <c r="F220" s="29">
        <v>7.0000000000000007E-2</v>
      </c>
      <c r="G220" s="29">
        <v>-0.12</v>
      </c>
      <c r="H220" s="29">
        <v>0.08</v>
      </c>
      <c r="I220" s="29">
        <v>0.09</v>
      </c>
    </row>
    <row r="221" spans="1:9" x14ac:dyDescent="0.25">
      <c r="A221" s="30" t="s">
        <v>115</v>
      </c>
      <c r="B221" s="29">
        <v>-0.05</v>
      </c>
      <c r="C221" s="29">
        <v>-0.13</v>
      </c>
      <c r="D221" s="29">
        <v>-0.1</v>
      </c>
      <c r="E221" s="29">
        <v>-0.08</v>
      </c>
      <c r="F221" s="29">
        <v>0</v>
      </c>
      <c r="G221" s="29">
        <v>-0.14000000000000001</v>
      </c>
      <c r="H221" s="29">
        <v>-0.02</v>
      </c>
      <c r="I221" s="29">
        <v>0.25</v>
      </c>
    </row>
    <row r="222" spans="1:9" x14ac:dyDescent="0.25">
      <c r="A222" s="32" t="s">
        <v>101</v>
      </c>
      <c r="B222" s="33">
        <v>0.36</v>
      </c>
      <c r="C222" s="33">
        <v>0.31</v>
      </c>
      <c r="D222" s="33">
        <v>0.18</v>
      </c>
      <c r="E222" s="33">
        <v>0.09</v>
      </c>
      <c r="F222" s="33">
        <v>0.11</v>
      </c>
      <c r="G222" s="33">
        <v>-0.01</v>
      </c>
      <c r="H222" s="33">
        <v>0.17</v>
      </c>
      <c r="I222" s="33">
        <v>0.12</v>
      </c>
    </row>
    <row r="223" spans="1:9" x14ac:dyDescent="0.25">
      <c r="A223" s="30" t="s">
        <v>113</v>
      </c>
      <c r="B223" s="29">
        <v>0.47</v>
      </c>
      <c r="C223" s="29">
        <v>0.37</v>
      </c>
      <c r="D223" s="29">
        <v>0.16</v>
      </c>
      <c r="E223" s="29">
        <v>0.06</v>
      </c>
      <c r="F223" s="29">
        <v>0.12</v>
      </c>
      <c r="G223" s="29">
        <v>-0.03</v>
      </c>
      <c r="H223" s="29">
        <v>0.13</v>
      </c>
      <c r="I223" s="29">
        <v>0.09</v>
      </c>
    </row>
    <row r="224" spans="1:9" x14ac:dyDescent="0.25">
      <c r="A224" s="30" t="s">
        <v>114</v>
      </c>
      <c r="B224" s="29">
        <v>0.19</v>
      </c>
      <c r="C224" s="29">
        <v>0.25</v>
      </c>
      <c r="D224" s="29">
        <v>0.25</v>
      </c>
      <c r="E224" s="29">
        <v>0.16</v>
      </c>
      <c r="F224" s="29">
        <v>0.09</v>
      </c>
      <c r="G224" s="29">
        <v>0.02</v>
      </c>
      <c r="H224" s="29">
        <v>0.25</v>
      </c>
      <c r="I224" s="29">
        <v>0.16</v>
      </c>
    </row>
    <row r="225" spans="1:9" x14ac:dyDescent="0.25">
      <c r="A225" s="30" t="s">
        <v>115</v>
      </c>
      <c r="B225" s="29">
        <v>0.28999999999999998</v>
      </c>
      <c r="C225" s="29">
        <v>0.15</v>
      </c>
      <c r="D225" s="29">
        <v>0.13</v>
      </c>
      <c r="E225" s="29">
        <v>0.06</v>
      </c>
      <c r="F225" s="29">
        <v>0.05</v>
      </c>
      <c r="G225" s="29">
        <v>-0.03</v>
      </c>
      <c r="H225" s="29">
        <v>0.19</v>
      </c>
      <c r="I225" s="29">
        <v>0.17</v>
      </c>
    </row>
    <row r="226" spans="1:9" x14ac:dyDescent="0.25">
      <c r="A226" s="32" t="s">
        <v>102</v>
      </c>
      <c r="B226" s="33">
        <v>0.19</v>
      </c>
      <c r="C226" s="33">
        <v>0.27</v>
      </c>
      <c r="D226" s="33">
        <v>0.17</v>
      </c>
      <c r="E226" s="33">
        <v>0.18</v>
      </c>
      <c r="F226" s="33">
        <v>0.24</v>
      </c>
      <c r="G226" s="33">
        <v>0.11</v>
      </c>
      <c r="H226" s="33">
        <v>0.19</v>
      </c>
      <c r="I226" s="33">
        <v>-0.13</v>
      </c>
    </row>
    <row r="227" spans="1:9" x14ac:dyDescent="0.25">
      <c r="A227" s="30" t="s">
        <v>113</v>
      </c>
      <c r="B227" s="29">
        <v>0.28000000000000003</v>
      </c>
      <c r="C227" s="29">
        <v>0.33</v>
      </c>
      <c r="D227" s="29">
        <v>0.18</v>
      </c>
      <c r="E227" s="29">
        <v>0.16</v>
      </c>
      <c r="F227" s="29">
        <v>0.25</v>
      </c>
      <c r="G227" s="29">
        <v>0.12</v>
      </c>
      <c r="H227" s="29">
        <v>0.19</v>
      </c>
      <c r="I227" s="29">
        <v>-0.1</v>
      </c>
    </row>
    <row r="228" spans="1:9" x14ac:dyDescent="0.25">
      <c r="A228" s="30" t="s">
        <v>114</v>
      </c>
      <c r="B228" s="29">
        <v>7.0000000000000007E-2</v>
      </c>
      <c r="C228" s="29">
        <v>0.17</v>
      </c>
      <c r="D228" s="29">
        <v>0.18</v>
      </c>
      <c r="E228" s="29">
        <v>0.23</v>
      </c>
      <c r="F228" s="29">
        <v>0.23</v>
      </c>
      <c r="G228" s="29">
        <v>0.08</v>
      </c>
      <c r="H228" s="29">
        <v>0.19</v>
      </c>
      <c r="I228" s="29">
        <v>-0.21</v>
      </c>
    </row>
    <row r="229" spans="1:9" x14ac:dyDescent="0.25">
      <c r="A229" s="30" t="s">
        <v>115</v>
      </c>
      <c r="B229" s="29">
        <v>0.01</v>
      </c>
      <c r="C229" s="29">
        <v>7.0000000000000007E-2</v>
      </c>
      <c r="D229" s="29">
        <v>0.03</v>
      </c>
      <c r="E229" s="29">
        <v>-0.01</v>
      </c>
      <c r="F229" s="29">
        <v>0.08</v>
      </c>
      <c r="G229" s="29">
        <v>0.11</v>
      </c>
      <c r="H229" s="29">
        <v>0.26</v>
      </c>
      <c r="I229" s="29">
        <v>-0.06</v>
      </c>
    </row>
    <row r="230" spans="1:9" x14ac:dyDescent="0.25">
      <c r="A230" s="32" t="s">
        <v>106</v>
      </c>
      <c r="B230" s="33">
        <v>0.17</v>
      </c>
      <c r="C230" s="33">
        <v>0.35</v>
      </c>
      <c r="D230" s="33">
        <v>0.21</v>
      </c>
      <c r="E230" s="33">
        <v>0.1</v>
      </c>
      <c r="F230" s="33">
        <v>0.13</v>
      </c>
      <c r="G230" s="33">
        <v>0.01</v>
      </c>
      <c r="H230" s="33">
        <v>0.08</v>
      </c>
      <c r="I230" s="33">
        <v>0.16</v>
      </c>
    </row>
    <row r="231" spans="1:9" x14ac:dyDescent="0.25">
      <c r="A231" s="30" t="s">
        <v>113</v>
      </c>
      <c r="B231" s="29">
        <v>0.32</v>
      </c>
      <c r="C231" s="29">
        <v>0.48</v>
      </c>
      <c r="D231" s="29">
        <v>0.24</v>
      </c>
      <c r="E231" s="29">
        <v>0.09</v>
      </c>
      <c r="F231" s="29">
        <v>0.12</v>
      </c>
      <c r="G231" s="29">
        <v>0</v>
      </c>
      <c r="H231" s="29">
        <v>0.08</v>
      </c>
      <c r="I231" s="29">
        <v>0.17</v>
      </c>
    </row>
    <row r="232" spans="1:9" x14ac:dyDescent="0.25">
      <c r="A232" s="30" t="s">
        <v>114</v>
      </c>
      <c r="B232" s="29">
        <v>-0.03</v>
      </c>
      <c r="C232" s="29">
        <v>0.16</v>
      </c>
      <c r="D232" s="29">
        <v>0.18</v>
      </c>
      <c r="E232" s="29">
        <v>0.15</v>
      </c>
      <c r="F232" s="29">
        <v>0.15</v>
      </c>
      <c r="G232" s="29">
        <v>0.03</v>
      </c>
      <c r="H232" s="29">
        <v>0.1</v>
      </c>
      <c r="I232" s="29">
        <v>0.12</v>
      </c>
    </row>
    <row r="233" spans="1:9" x14ac:dyDescent="0.25">
      <c r="A233" s="30" t="s">
        <v>115</v>
      </c>
      <c r="B233" s="29">
        <v>-0.01</v>
      </c>
      <c r="C233" s="29">
        <v>0.14000000000000001</v>
      </c>
      <c r="D233" s="29">
        <v>-0.04</v>
      </c>
      <c r="E233" s="29">
        <v>-0.08</v>
      </c>
      <c r="F233" s="29">
        <v>0.08</v>
      </c>
      <c r="G233" s="29">
        <v>-0.04</v>
      </c>
      <c r="H233" s="29">
        <v>-0.09</v>
      </c>
      <c r="I233" s="29">
        <v>0.28000000000000003</v>
      </c>
    </row>
    <row r="234" spans="1:9" x14ac:dyDescent="0.25">
      <c r="A234" s="32" t="s">
        <v>107</v>
      </c>
      <c r="B234" s="33">
        <v>-0.02</v>
      </c>
      <c r="C234" s="33">
        <v>-0.3</v>
      </c>
      <c r="D234" s="33">
        <v>0.02</v>
      </c>
      <c r="E234" s="33">
        <v>0.12</v>
      </c>
      <c r="F234" s="33">
        <v>-0.53</v>
      </c>
      <c r="G234" s="33">
        <v>-0.26</v>
      </c>
      <c r="H234" s="33">
        <v>-0.17</v>
      </c>
      <c r="I234" s="33">
        <v>3.02</v>
      </c>
    </row>
    <row r="235" spans="1:9" x14ac:dyDescent="0.25">
      <c r="A235" s="34" t="s">
        <v>103</v>
      </c>
      <c r="B235" s="36">
        <v>0.14000000000000001</v>
      </c>
      <c r="C235" s="36">
        <v>0.13</v>
      </c>
      <c r="D235" s="36">
        <v>0.08</v>
      </c>
      <c r="E235" s="36">
        <v>0.05</v>
      </c>
      <c r="F235" s="36">
        <v>0.11</v>
      </c>
      <c r="G235" s="36">
        <v>-0.02</v>
      </c>
      <c r="H235" s="36">
        <v>0.17</v>
      </c>
      <c r="I235" s="36">
        <v>0.06</v>
      </c>
    </row>
    <row r="236" spans="1:9" x14ac:dyDescent="0.25">
      <c r="A236" s="32" t="s">
        <v>104</v>
      </c>
      <c r="B236" s="33">
        <v>0.21</v>
      </c>
      <c r="C236" s="33">
        <v>0.02</v>
      </c>
      <c r="D236" s="33">
        <v>0.06</v>
      </c>
      <c r="E236" s="33">
        <v>-0.11</v>
      </c>
      <c r="F236" s="33">
        <v>0.03</v>
      </c>
      <c r="G236" s="33">
        <v>-0.01</v>
      </c>
      <c r="H236" s="33">
        <v>0.16</v>
      </c>
      <c r="I236" s="33">
        <v>7.0000000000000007E-2</v>
      </c>
    </row>
    <row r="237" spans="1:9" x14ac:dyDescent="0.25">
      <c r="A237" s="30" t="s">
        <v>113</v>
      </c>
      <c r="B237" s="29">
        <v>0.17</v>
      </c>
      <c r="C237" s="29">
        <v>0.15</v>
      </c>
      <c r="D237" s="29">
        <v>0.08</v>
      </c>
      <c r="E237" s="29">
        <v>0.04</v>
      </c>
      <c r="F237" s="29">
        <v>0.12</v>
      </c>
      <c r="G237" s="29">
        <v>-0.02</v>
      </c>
      <c r="H237" s="29">
        <v>0.18</v>
      </c>
      <c r="I237" s="29">
        <v>0.06</v>
      </c>
    </row>
    <row r="238" spans="1:9" x14ac:dyDescent="0.25">
      <c r="A238" s="30" t="s">
        <v>114</v>
      </c>
      <c r="B238" s="29">
        <v>0.1</v>
      </c>
      <c r="C238" s="29">
        <v>0.11</v>
      </c>
      <c r="D238" s="29">
        <v>0.09</v>
      </c>
      <c r="E238" s="29">
        <v>0.09</v>
      </c>
      <c r="F238" s="29">
        <v>0.11</v>
      </c>
      <c r="G238" s="29">
        <v>-0.03</v>
      </c>
      <c r="H238" s="29">
        <v>0.15</v>
      </c>
      <c r="I238" s="29">
        <v>-0.03</v>
      </c>
    </row>
    <row r="239" spans="1:9" x14ac:dyDescent="0.25">
      <c r="A239" s="30" t="s">
        <v>115</v>
      </c>
      <c r="B239" s="29">
        <v>0.01</v>
      </c>
      <c r="C239" s="29">
        <v>-0.02</v>
      </c>
      <c r="D239" s="29">
        <v>-0.03</v>
      </c>
      <c r="E239" s="29">
        <v>-0.04</v>
      </c>
      <c r="F239" s="29">
        <v>0.04</v>
      </c>
      <c r="G239" s="29">
        <v>-0.06</v>
      </c>
      <c r="H239" s="29">
        <v>7.0000000000000007E-2</v>
      </c>
      <c r="I239" s="29">
        <v>-0.16</v>
      </c>
    </row>
    <row r="240" spans="1:9" x14ac:dyDescent="0.25">
      <c r="A240" s="30" t="s">
        <v>121</v>
      </c>
      <c r="B240" s="29">
        <v>-0.02</v>
      </c>
      <c r="C240" s="29">
        <v>-0.3</v>
      </c>
      <c r="D240" s="29">
        <v>0.02</v>
      </c>
      <c r="E240" s="29">
        <v>0.12</v>
      </c>
      <c r="F240" s="29">
        <v>-0.53</v>
      </c>
      <c r="G240" s="29">
        <v>-0.26</v>
      </c>
      <c r="H240" s="29">
        <v>-0.17</v>
      </c>
      <c r="I240" s="29">
        <v>0.42</v>
      </c>
    </row>
    <row r="241" spans="1:9" x14ac:dyDescent="0.25">
      <c r="A241" s="28" t="s">
        <v>108</v>
      </c>
      <c r="B241" s="29">
        <v>0</v>
      </c>
      <c r="C241" s="29">
        <v>0</v>
      </c>
      <c r="D241" s="29">
        <v>0</v>
      </c>
      <c r="E241" s="29">
        <v>0</v>
      </c>
      <c r="F241" s="29">
        <v>0</v>
      </c>
      <c r="G241" s="29">
        <v>0</v>
      </c>
      <c r="H241" s="29">
        <v>0</v>
      </c>
      <c r="I241" s="29">
        <v>0</v>
      </c>
    </row>
    <row r="242" spans="1:9" ht="15.75" thickBot="1" x14ac:dyDescent="0.3">
      <c r="A242" s="31" t="s">
        <v>105</v>
      </c>
      <c r="B242" s="35">
        <v>0.14000000000000001</v>
      </c>
      <c r="C242" s="35">
        <v>0.12</v>
      </c>
      <c r="D242" s="35">
        <v>0.08</v>
      </c>
      <c r="E242" s="35">
        <v>0.04</v>
      </c>
      <c r="F242" s="35">
        <v>0.11</v>
      </c>
      <c r="G242" s="35">
        <v>-0.02</v>
      </c>
      <c r="H242" s="35">
        <v>0.17</v>
      </c>
      <c r="I242" s="35">
        <v>0.06</v>
      </c>
    </row>
    <row r="243" spans="1:9" ht="15.75" thickTop="1" x14ac:dyDescent="0.25"/>
  </sheetData>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06"/>
  <sheetViews>
    <sheetView topLeftCell="A5" workbookViewId="0">
      <selection activeCell="J17" sqref="J17"/>
    </sheetView>
  </sheetViews>
  <sheetFormatPr defaultRowHeight="15" x14ac:dyDescent="0.25"/>
  <cols>
    <col min="1" max="1" width="15.140625" customWidth="1"/>
    <col min="2" max="14" width="11.7109375" customWidth="1"/>
  </cols>
  <sheetData>
    <row r="1" spans="1:15" ht="60" customHeight="1" x14ac:dyDescent="0.25">
      <c r="A1" s="15" t="s">
        <v>116</v>
      </c>
      <c r="B1" s="16">
        <f t="shared" ref="B1:G1" si="0">+C1-1</f>
        <v>2015</v>
      </c>
      <c r="C1" s="16">
        <f t="shared" si="0"/>
        <v>2016</v>
      </c>
      <c r="D1" s="16">
        <f t="shared" si="0"/>
        <v>2017</v>
      </c>
      <c r="E1" s="16">
        <f t="shared" si="0"/>
        <v>2018</v>
      </c>
      <c r="F1" s="16">
        <f t="shared" si="0"/>
        <v>2019</v>
      </c>
      <c r="G1" s="16">
        <f t="shared" si="0"/>
        <v>2020</v>
      </c>
      <c r="H1" s="16">
        <f>+I1-1</f>
        <v>2021</v>
      </c>
      <c r="I1" s="16">
        <v>2022</v>
      </c>
      <c r="J1" s="37">
        <f>+I1+1</f>
        <v>2023</v>
      </c>
      <c r="K1" s="37">
        <f t="shared" ref="K1:N1" si="1">+J1+1</f>
        <v>2024</v>
      </c>
      <c r="L1" s="37">
        <f t="shared" si="1"/>
        <v>2025</v>
      </c>
      <c r="M1" s="37">
        <f t="shared" si="1"/>
        <v>2026</v>
      </c>
      <c r="N1" s="37">
        <f t="shared" si="1"/>
        <v>2027</v>
      </c>
    </row>
    <row r="2" spans="1:15" x14ac:dyDescent="0.25">
      <c r="A2" s="38" t="s">
        <v>128</v>
      </c>
      <c r="B2" s="38"/>
      <c r="C2" s="38"/>
      <c r="D2" s="38"/>
      <c r="E2" s="38"/>
      <c r="F2" s="38"/>
      <c r="G2" s="38"/>
      <c r="H2" s="38"/>
      <c r="I2" s="38"/>
      <c r="J2" s="37"/>
      <c r="K2" s="37"/>
      <c r="L2" s="37"/>
      <c r="M2" s="37"/>
      <c r="N2" s="37"/>
    </row>
    <row r="3" spans="1:15" x14ac:dyDescent="0.25">
      <c r="A3" s="39" t="s">
        <v>139</v>
      </c>
      <c r="B3" s="3">
        <f>B21+B52+B83+B114+B145+B166+B187</f>
        <v>30601</v>
      </c>
      <c r="C3" s="3">
        <f t="shared" ref="C3:I3" si="2">C21+C52+C83+C114+C145+C166+C187</f>
        <v>32376</v>
      </c>
      <c r="D3" s="3">
        <f t="shared" si="2"/>
        <v>34350</v>
      </c>
      <c r="E3" s="3">
        <f t="shared" si="2"/>
        <v>36397</v>
      </c>
      <c r="F3" s="3">
        <f t="shared" si="2"/>
        <v>39117</v>
      </c>
      <c r="G3" s="3">
        <f t="shared" si="2"/>
        <v>37403</v>
      </c>
      <c r="H3" s="3">
        <f t="shared" si="2"/>
        <v>44538</v>
      </c>
      <c r="I3" s="3">
        <f t="shared" si="2"/>
        <v>46710</v>
      </c>
      <c r="J3" s="94">
        <f>J21+J52+J83+J114+J145+J166+J187</f>
        <v>50007.132000000005</v>
      </c>
      <c r="K3" s="94">
        <f t="shared" ref="K3:N3" si="3">K21+K52+K83+K114+K145+K166+K187</f>
        <v>54724.521624000001</v>
      </c>
      <c r="L3" s="94">
        <f t="shared" si="3"/>
        <v>60171.728270567997</v>
      </c>
      <c r="M3" s="94">
        <f t="shared" si="3"/>
        <v>66504.67196813038</v>
      </c>
      <c r="N3" s="94">
        <f t="shared" si="3"/>
        <v>73916.651711490224</v>
      </c>
    </row>
    <row r="4" spans="1:15" x14ac:dyDescent="0.25">
      <c r="A4" s="40" t="s">
        <v>129</v>
      </c>
      <c r="B4" s="45" t="str">
        <f t="shared" ref="B4:H4" si="4">+IFERROR(B3/A3-1,"nm")</f>
        <v>nm</v>
      </c>
      <c r="C4" s="45">
        <f t="shared" si="4"/>
        <v>5.8004640371229765E-2</v>
      </c>
      <c r="D4" s="45">
        <f t="shared" si="4"/>
        <v>6.0971089696071123E-2</v>
      </c>
      <c r="E4" s="45">
        <f t="shared" si="4"/>
        <v>5.95924308588065E-2</v>
      </c>
      <c r="F4" s="45">
        <f t="shared" si="4"/>
        <v>7.4731433909388079E-2</v>
      </c>
      <c r="G4" s="45">
        <f t="shared" si="4"/>
        <v>-4.3817266150267153E-2</v>
      </c>
      <c r="H4" s="45">
        <f t="shared" si="4"/>
        <v>0.19076009945726269</v>
      </c>
      <c r="I4" s="45">
        <f>+IFERROR(I3/H3-1,"nm")</f>
        <v>4.8767344739323759E-2</v>
      </c>
      <c r="J4" s="45">
        <f t="shared" ref="J4" si="5">+IFERROR(J3/I3-1,"nm")</f>
        <v>7.0587283236994258E-2</v>
      </c>
      <c r="K4" s="45">
        <f t="shared" ref="K4" si="6">+IFERROR(K3/J3-1,"nm")</f>
        <v>9.4334336630222948E-2</v>
      </c>
      <c r="L4" s="45">
        <f t="shared" ref="L4" si="7">+IFERROR(L3/K3-1,"nm")</f>
        <v>9.95386800088367E-2</v>
      </c>
      <c r="M4" s="45">
        <f t="shared" ref="M4" si="8">+IFERROR(M3/L3-1,"nm")</f>
        <v>0.10524782783512032</v>
      </c>
      <c r="N4" s="45">
        <f t="shared" ref="N4" si="9">+IFERROR(N3/M3-1,"nm")</f>
        <v>0.11145051203187251</v>
      </c>
      <c r="O4" t="s">
        <v>209</v>
      </c>
    </row>
    <row r="5" spans="1:15" x14ac:dyDescent="0.25">
      <c r="A5" s="39" t="s">
        <v>130</v>
      </c>
      <c r="B5" s="67">
        <f>B35+B66+B97+B128+B159+B180+B201</f>
        <v>4839</v>
      </c>
      <c r="C5" s="67">
        <f t="shared" ref="C5:N5" si="10">C35+C66+C97+C128+C159+C180+C201</f>
        <v>5291</v>
      </c>
      <c r="D5" s="67">
        <f t="shared" si="10"/>
        <v>5651</v>
      </c>
      <c r="E5" s="67">
        <f t="shared" si="10"/>
        <v>5126</v>
      </c>
      <c r="F5" s="67">
        <f t="shared" si="10"/>
        <v>5555</v>
      </c>
      <c r="G5" s="67">
        <f t="shared" si="10"/>
        <v>3697</v>
      </c>
      <c r="H5" s="67">
        <f t="shared" si="10"/>
        <v>7667</v>
      </c>
      <c r="I5" s="67">
        <f t="shared" si="10"/>
        <v>7573</v>
      </c>
      <c r="J5" s="95">
        <f t="shared" si="10"/>
        <v>7877.478000000001</v>
      </c>
      <c r="K5" s="95">
        <f t="shared" si="10"/>
        <v>9469.6203360000018</v>
      </c>
      <c r="L5" s="95">
        <f t="shared" si="10"/>
        <v>13157.079723852001</v>
      </c>
      <c r="M5" s="95">
        <f t="shared" si="10"/>
        <v>20327.448854616567</v>
      </c>
      <c r="N5" s="95">
        <f t="shared" si="10"/>
        <v>33352.299014556105</v>
      </c>
    </row>
    <row r="6" spans="1:15" x14ac:dyDescent="0.25">
      <c r="A6" s="40" t="s">
        <v>129</v>
      </c>
      <c r="B6" s="45" t="str">
        <f t="shared" ref="B6:H6" si="11">+IFERROR(B5/A5-1,"nm")</f>
        <v>nm</v>
      </c>
      <c r="C6" s="45">
        <f t="shared" si="11"/>
        <v>9.3407728869601137E-2</v>
      </c>
      <c r="D6" s="45">
        <f t="shared" si="11"/>
        <v>6.8040068040068125E-2</v>
      </c>
      <c r="E6" s="45">
        <f t="shared" si="11"/>
        <v>-9.2903910812245583E-2</v>
      </c>
      <c r="F6" s="45">
        <f t="shared" si="11"/>
        <v>8.3690987124463545E-2</v>
      </c>
      <c r="G6" s="45">
        <f t="shared" si="11"/>
        <v>-0.3344734473447345</v>
      </c>
      <c r="H6" s="45">
        <f t="shared" si="11"/>
        <v>1.0738436570192049</v>
      </c>
      <c r="I6" s="45">
        <f>+IFERROR(I5/H5-1,"nm")</f>
        <v>-1.2260336507108338E-2</v>
      </c>
      <c r="J6" s="45">
        <f t="shared" ref="J6:N6" si="12">+IFERROR(J5/I5-1,"nm")</f>
        <v>4.0205730886042623E-2</v>
      </c>
      <c r="K6" s="45">
        <f t="shared" si="12"/>
        <v>0.20211320628251839</v>
      </c>
      <c r="L6" s="45">
        <f t="shared" si="12"/>
        <v>0.38939886257463141</v>
      </c>
      <c r="M6" s="45">
        <f t="shared" si="12"/>
        <v>0.54498181064949081</v>
      </c>
      <c r="N6" s="45">
        <f t="shared" si="12"/>
        <v>0.6407518352693562</v>
      </c>
    </row>
    <row r="7" spans="1:15" x14ac:dyDescent="0.25">
      <c r="A7" s="40" t="s">
        <v>131</v>
      </c>
      <c r="B7" s="45">
        <f>+IFERROR(B5/B$3,"nm")</f>
        <v>0.15813208718669325</v>
      </c>
      <c r="C7" s="45">
        <f t="shared" ref="C7:I7" si="13">+IFERROR(C5/C$3,"nm")</f>
        <v>0.16342352359772672</v>
      </c>
      <c r="D7" s="45">
        <f t="shared" si="13"/>
        <v>0.16451237263464338</v>
      </c>
      <c r="E7" s="45">
        <f t="shared" si="13"/>
        <v>0.14083578316894249</v>
      </c>
      <c r="F7" s="45">
        <f t="shared" si="13"/>
        <v>0.14200986783240024</v>
      </c>
      <c r="G7" s="45">
        <f t="shared" si="13"/>
        <v>9.8842338849824879E-2</v>
      </c>
      <c r="H7" s="45">
        <f t="shared" si="13"/>
        <v>0.17214513449189456</v>
      </c>
      <c r="I7" s="45">
        <f t="shared" si="13"/>
        <v>0.16212802397773496</v>
      </c>
      <c r="J7" s="45">
        <f t="shared" ref="J7:N7" si="14">+IFERROR(J5/J$3,"nm")</f>
        <v>0.15752709033583451</v>
      </c>
      <c r="K7" s="45">
        <f t="shared" si="14"/>
        <v>0.17304162841410756</v>
      </c>
      <c r="L7" s="45">
        <f t="shared" si="14"/>
        <v>0.21865883035118949</v>
      </c>
      <c r="M7" s="45">
        <f t="shared" si="14"/>
        <v>0.30565444882365045</v>
      </c>
      <c r="N7" s="45">
        <f t="shared" si="14"/>
        <v>0.45121495958361363</v>
      </c>
    </row>
    <row r="8" spans="1:15" x14ac:dyDescent="0.25">
      <c r="A8" s="39" t="s">
        <v>132</v>
      </c>
      <c r="B8" s="67">
        <f>B38+B69+B100+B131+B155+B176+B197</f>
        <v>606</v>
      </c>
      <c r="C8" s="67">
        <f t="shared" ref="C8:N8" si="15">C38+C69+C100+C131+C155+C176+C197</f>
        <v>649</v>
      </c>
      <c r="D8" s="67">
        <f t="shared" si="15"/>
        <v>706</v>
      </c>
      <c r="E8" s="67">
        <f t="shared" si="15"/>
        <v>747</v>
      </c>
      <c r="F8" s="67">
        <f t="shared" si="15"/>
        <v>705</v>
      </c>
      <c r="G8" s="67">
        <f t="shared" si="15"/>
        <v>721</v>
      </c>
      <c r="H8" s="67">
        <f t="shared" si="15"/>
        <v>744</v>
      </c>
      <c r="I8" s="67">
        <f t="shared" si="15"/>
        <v>717</v>
      </c>
      <c r="J8" s="95">
        <f t="shared" si="15"/>
        <v>735.55200000000002</v>
      </c>
      <c r="K8" s="95">
        <f t="shared" si="15"/>
        <v>779.20182399999999</v>
      </c>
      <c r="L8" s="95">
        <f t="shared" si="15"/>
        <v>861.5888905679999</v>
      </c>
      <c r="M8" s="95">
        <f t="shared" si="15"/>
        <v>1006.2680912283759</v>
      </c>
      <c r="N8" s="95">
        <f t="shared" si="15"/>
        <v>1253.5914109302933</v>
      </c>
    </row>
    <row r="9" spans="1:15" x14ac:dyDescent="0.25">
      <c r="A9" s="40" t="s">
        <v>129</v>
      </c>
      <c r="B9" s="45" t="str">
        <f t="shared" ref="B9:H9" si="16">+IFERROR(B8/A8-1,"nm")</f>
        <v>nm</v>
      </c>
      <c r="C9" s="45">
        <f t="shared" si="16"/>
        <v>7.0957095709570872E-2</v>
      </c>
      <c r="D9" s="45">
        <f t="shared" si="16"/>
        <v>8.7827426810477727E-2</v>
      </c>
      <c r="E9" s="45">
        <f t="shared" si="16"/>
        <v>5.8073654390934815E-2</v>
      </c>
      <c r="F9" s="45">
        <f t="shared" si="16"/>
        <v>-5.6224899598393607E-2</v>
      </c>
      <c r="G9" s="45">
        <f t="shared" si="16"/>
        <v>2.2695035460992941E-2</v>
      </c>
      <c r="H9" s="45">
        <f t="shared" si="16"/>
        <v>3.1900138696255187E-2</v>
      </c>
      <c r="I9" s="45">
        <f>+IFERROR(I8/H8-1,"nm")</f>
        <v>-3.6290322580645129E-2</v>
      </c>
      <c r="J9" s="45">
        <f t="shared" ref="J9:N9" si="17">+IFERROR(J8/I8-1,"nm")</f>
        <v>2.5874476987447714E-2</v>
      </c>
      <c r="K9" s="45">
        <f t="shared" si="17"/>
        <v>5.9342947881318997E-2</v>
      </c>
      <c r="L9" s="45">
        <f t="shared" si="17"/>
        <v>0.10573264080038891</v>
      </c>
      <c r="M9" s="45">
        <f t="shared" si="17"/>
        <v>0.16792138599303041</v>
      </c>
      <c r="N9" s="45">
        <f t="shared" si="17"/>
        <v>0.24578273112089222</v>
      </c>
    </row>
    <row r="10" spans="1:15" x14ac:dyDescent="0.25">
      <c r="A10" s="40" t="s">
        <v>133</v>
      </c>
      <c r="B10" s="45">
        <f>+IFERROR(B8/B$3,"nm")</f>
        <v>1.9803274402797295E-2</v>
      </c>
      <c r="C10" s="45">
        <f t="shared" ref="C10:I10" si="18">+IFERROR(C8/C$3,"nm")</f>
        <v>2.0045712873733631E-2</v>
      </c>
      <c r="D10" s="45">
        <f t="shared" si="18"/>
        <v>2.0553129548762736E-2</v>
      </c>
      <c r="E10" s="45">
        <f t="shared" si="18"/>
        <v>2.0523669533203285E-2</v>
      </c>
      <c r="F10" s="45">
        <f t="shared" si="18"/>
        <v>1.8022854513382928E-2</v>
      </c>
      <c r="G10" s="45">
        <f t="shared" si="18"/>
        <v>1.9276528620698875E-2</v>
      </c>
      <c r="H10" s="45">
        <f t="shared" si="18"/>
        <v>1.6704836319547355E-2</v>
      </c>
      <c r="I10" s="45">
        <f t="shared" si="18"/>
        <v>1.5350032113037893E-2</v>
      </c>
      <c r="J10" s="45">
        <f t="shared" ref="J10:N10" si="19">+IFERROR(J8/J$3,"nm")</f>
        <v>1.4708941916525026E-2</v>
      </c>
      <c r="K10" s="45">
        <f t="shared" si="19"/>
        <v>1.4238622849071613E-2</v>
      </c>
      <c r="L10" s="45">
        <f t="shared" si="19"/>
        <v>1.4318832370806804E-2</v>
      </c>
      <c r="M10" s="45">
        <f t="shared" si="19"/>
        <v>1.5130787979987155E-2</v>
      </c>
      <c r="N10" s="45">
        <f t="shared" si="19"/>
        <v>1.6959526465339398E-2</v>
      </c>
    </row>
    <row r="11" spans="1:15" x14ac:dyDescent="0.25">
      <c r="A11" s="39" t="s">
        <v>134</v>
      </c>
      <c r="B11" s="67">
        <f>B5-B8</f>
        <v>4233</v>
      </c>
      <c r="C11" s="67">
        <f t="shared" ref="C11:N11" si="20">C5-C8</f>
        <v>4642</v>
      </c>
      <c r="D11" s="67">
        <f t="shared" si="20"/>
        <v>4945</v>
      </c>
      <c r="E11" s="67">
        <f t="shared" si="20"/>
        <v>4379</v>
      </c>
      <c r="F11" s="67">
        <f t="shared" si="20"/>
        <v>4850</v>
      </c>
      <c r="G11" s="67">
        <f t="shared" si="20"/>
        <v>2976</v>
      </c>
      <c r="H11" s="67">
        <f t="shared" si="20"/>
        <v>6923</v>
      </c>
      <c r="I11" s="67">
        <f t="shared" si="20"/>
        <v>6856</v>
      </c>
      <c r="J11" s="95">
        <f t="shared" si="20"/>
        <v>7141.9260000000013</v>
      </c>
      <c r="K11" s="95">
        <f t="shared" si="20"/>
        <v>8690.418512000002</v>
      </c>
      <c r="L11" s="95">
        <f t="shared" si="20"/>
        <v>12295.490833284</v>
      </c>
      <c r="M11" s="95">
        <f t="shared" si="20"/>
        <v>19321.180763388191</v>
      </c>
      <c r="N11" s="95">
        <f t="shared" si="20"/>
        <v>32098.707603625811</v>
      </c>
    </row>
    <row r="12" spans="1:15" x14ac:dyDescent="0.25">
      <c r="A12" s="40" t="s">
        <v>129</v>
      </c>
      <c r="B12" s="45" t="str">
        <f t="shared" ref="B12:H12" si="21">+IFERROR(B11/A11-1,"nm")</f>
        <v>nm</v>
      </c>
      <c r="C12" s="45">
        <f t="shared" si="21"/>
        <v>9.6621781242617555E-2</v>
      </c>
      <c r="D12" s="45">
        <f t="shared" si="21"/>
        <v>6.5273588970271357E-2</v>
      </c>
      <c r="E12" s="45">
        <f t="shared" si="21"/>
        <v>-0.11445904954499497</v>
      </c>
      <c r="F12" s="45">
        <f t="shared" si="21"/>
        <v>0.10755880337976698</v>
      </c>
      <c r="G12" s="45">
        <f t="shared" si="21"/>
        <v>-0.38639175257731961</v>
      </c>
      <c r="H12" s="45">
        <f t="shared" si="21"/>
        <v>1.32627688172043</v>
      </c>
      <c r="I12" s="45">
        <f>+IFERROR(I11/H11-1,"nm")</f>
        <v>-9.67788530983682E-3</v>
      </c>
      <c r="J12" s="45">
        <f t="shared" ref="J12:N12" si="22">+IFERROR(J11/I11-1,"nm")</f>
        <v>4.1704492415402861E-2</v>
      </c>
      <c r="K12" s="45">
        <f t="shared" si="22"/>
        <v>0.2168172159722741</v>
      </c>
      <c r="L12" s="45">
        <f t="shared" si="22"/>
        <v>0.41483299294573683</v>
      </c>
      <c r="M12" s="45">
        <f t="shared" si="22"/>
        <v>0.5714037792688671</v>
      </c>
      <c r="N12" s="45">
        <f t="shared" si="22"/>
        <v>0.66132225544154233</v>
      </c>
    </row>
    <row r="13" spans="1:15" x14ac:dyDescent="0.25">
      <c r="A13" s="40" t="s">
        <v>131</v>
      </c>
      <c r="B13" s="45">
        <f>+IFERROR(B11/B$3,"nm")</f>
        <v>0.13832881278389594</v>
      </c>
      <c r="C13" s="45">
        <f t="shared" ref="C13:I13" si="23">+IFERROR(C11/C$3,"nm")</f>
        <v>0.14337781072399308</v>
      </c>
      <c r="D13" s="45">
        <f t="shared" si="23"/>
        <v>0.14395924308588065</v>
      </c>
      <c r="E13" s="45">
        <f t="shared" si="23"/>
        <v>0.12031211363573921</v>
      </c>
      <c r="F13" s="45">
        <f t="shared" si="23"/>
        <v>0.12398701331901731</v>
      </c>
      <c r="G13" s="45">
        <f t="shared" si="23"/>
        <v>7.9565810229126011E-2</v>
      </c>
      <c r="H13" s="45">
        <f t="shared" si="23"/>
        <v>0.1554402981723472</v>
      </c>
      <c r="I13" s="45">
        <f t="shared" si="23"/>
        <v>0.14677799186469706</v>
      </c>
      <c r="J13" s="45">
        <f t="shared" ref="J13:N13" si="24">+IFERROR(J11/J$3,"nm")</f>
        <v>0.14281814841930948</v>
      </c>
      <c r="K13" s="45">
        <f t="shared" si="24"/>
        <v>0.15880300556503593</v>
      </c>
      <c r="L13" s="45">
        <f t="shared" si="24"/>
        <v>0.20433999798038269</v>
      </c>
      <c r="M13" s="45">
        <f t="shared" si="24"/>
        <v>0.29052366084366327</v>
      </c>
      <c r="N13" s="45">
        <f t="shared" si="24"/>
        <v>0.43425543311827419</v>
      </c>
    </row>
    <row r="14" spans="1:15" x14ac:dyDescent="0.25">
      <c r="A14" s="39" t="s">
        <v>135</v>
      </c>
      <c r="B14" s="67">
        <f>B45+B76+B107+B138+B152+B173+B194</f>
        <v>963</v>
      </c>
      <c r="C14" s="67">
        <f t="shared" ref="C14:N14" si="25">C45+C76+C107+C138+C152+C173+C194</f>
        <v>1143</v>
      </c>
      <c r="D14" s="67">
        <f t="shared" si="25"/>
        <v>1105</v>
      </c>
      <c r="E14" s="67">
        <f t="shared" si="25"/>
        <v>1028</v>
      </c>
      <c r="F14" s="67">
        <f t="shared" si="25"/>
        <v>1119</v>
      </c>
      <c r="G14" s="67">
        <f t="shared" si="25"/>
        <v>1086</v>
      </c>
      <c r="H14" s="67">
        <f t="shared" si="25"/>
        <v>695</v>
      </c>
      <c r="I14" s="67">
        <f t="shared" si="25"/>
        <v>758</v>
      </c>
      <c r="J14" s="95">
        <f t="shared" si="25"/>
        <v>804.17700000000002</v>
      </c>
      <c r="K14" s="95">
        <f t="shared" si="25"/>
        <v>870.49856899999997</v>
      </c>
      <c r="L14" s="95">
        <f t="shared" si="25"/>
        <v>945.44114223299994</v>
      </c>
      <c r="M14" s="95">
        <f t="shared" si="25"/>
        <v>1030.6827179282809</v>
      </c>
      <c r="N14" s="95">
        <f t="shared" si="25"/>
        <v>1128.2917464024729</v>
      </c>
    </row>
    <row r="15" spans="1:15" x14ac:dyDescent="0.25">
      <c r="A15" s="40" t="s">
        <v>129</v>
      </c>
      <c r="B15" s="45" t="str">
        <f t="shared" ref="B15:H15" si="26">+IFERROR(B14/A14-1,"nm")</f>
        <v>nm</v>
      </c>
      <c r="C15" s="45">
        <f t="shared" si="26"/>
        <v>0.18691588785046731</v>
      </c>
      <c r="D15" s="45">
        <f t="shared" si="26"/>
        <v>-3.3245844269466307E-2</v>
      </c>
      <c r="E15" s="45">
        <f t="shared" si="26"/>
        <v>-6.9683257918552011E-2</v>
      </c>
      <c r="F15" s="45">
        <f t="shared" si="26"/>
        <v>8.8521400778210024E-2</v>
      </c>
      <c r="G15" s="45">
        <f t="shared" si="26"/>
        <v>-2.9490616621983934E-2</v>
      </c>
      <c r="H15" s="45">
        <f t="shared" si="26"/>
        <v>-0.36003683241252304</v>
      </c>
      <c r="I15" s="45">
        <f>+IFERROR(I14/H14-1,"nm")</f>
        <v>9.0647482014388547E-2</v>
      </c>
      <c r="J15" s="45">
        <f t="shared" ref="J15:N15" si="27">+IFERROR(J14/I14-1,"nm")</f>
        <v>6.0919525065963098E-2</v>
      </c>
      <c r="K15" s="45">
        <f t="shared" si="27"/>
        <v>8.2471357673745915E-2</v>
      </c>
      <c r="L15" s="45">
        <f t="shared" si="27"/>
        <v>8.6091552475602073E-2</v>
      </c>
      <c r="M15" s="45">
        <f t="shared" si="27"/>
        <v>9.0160637069328642E-2</v>
      </c>
      <c r="N15" s="45">
        <f t="shared" si="27"/>
        <v>9.4703274612375932E-2</v>
      </c>
    </row>
    <row r="16" spans="1:15" x14ac:dyDescent="0.25">
      <c r="A16" s="40" t="s">
        <v>133</v>
      </c>
      <c r="B16" s="45">
        <f>+IFERROR(B14/B$3,"nm")</f>
        <v>3.146955981830659E-2</v>
      </c>
      <c r="C16" s="45">
        <f t="shared" ref="C16:I16" si="28">+IFERROR(C14/C$3,"nm")</f>
        <v>3.5303928836174947E-2</v>
      </c>
      <c r="D16" s="45">
        <f t="shared" si="28"/>
        <v>3.2168850072780204E-2</v>
      </c>
      <c r="E16" s="45">
        <f t="shared" si="28"/>
        <v>2.8244086051048164E-2</v>
      </c>
      <c r="F16" s="45">
        <f t="shared" si="28"/>
        <v>2.8606488227624818E-2</v>
      </c>
      <c r="G16" s="45">
        <f t="shared" si="28"/>
        <v>2.9035104136031869E-2</v>
      </c>
      <c r="H16" s="45">
        <f t="shared" si="28"/>
        <v>1.5604652207104046E-2</v>
      </c>
      <c r="I16" s="45">
        <f t="shared" si="28"/>
        <v>1.6227788482123744E-2</v>
      </c>
      <c r="J16" s="45">
        <f t="shared" ref="J16:N16" si="29">+IFERROR(J14/J$3,"nm")</f>
        <v>1.608124617104616E-2</v>
      </c>
      <c r="K16" s="45">
        <f t="shared" si="29"/>
        <v>1.5906919661737781E-2</v>
      </c>
      <c r="L16" s="45">
        <f t="shared" si="29"/>
        <v>1.5712381369232614E-2</v>
      </c>
      <c r="M16" s="45">
        <f t="shared" si="29"/>
        <v>1.5497899432120996E-2</v>
      </c>
      <c r="N16" s="45">
        <f t="shared" si="29"/>
        <v>1.5264378462466012E-2</v>
      </c>
    </row>
    <row r="17" spans="1:15" x14ac:dyDescent="0.25">
      <c r="A17" s="9" t="s">
        <v>141</v>
      </c>
      <c r="B17" s="67">
        <f>B48+B79+B110+B141+B162+B183+B204</f>
        <v>3011</v>
      </c>
      <c r="C17" s="67">
        <f t="shared" ref="C17:I17" si="30">C48+C79+C110+C141+C162+C183+C204</f>
        <v>3520</v>
      </c>
      <c r="D17" s="67">
        <f t="shared" si="30"/>
        <v>3989</v>
      </c>
      <c r="E17" s="67">
        <f t="shared" si="30"/>
        <v>4454</v>
      </c>
      <c r="F17" s="67">
        <f t="shared" si="30"/>
        <v>4744</v>
      </c>
      <c r="G17" s="67">
        <f t="shared" si="30"/>
        <v>4866</v>
      </c>
      <c r="H17" s="67">
        <f t="shared" si="30"/>
        <v>4904</v>
      </c>
      <c r="I17" s="67">
        <f t="shared" si="30"/>
        <v>4791</v>
      </c>
      <c r="J17" s="95">
        <f>J48+J79+J110+J141+J162+J183+J204</f>
        <v>5066.4750000000004</v>
      </c>
      <c r="K17" s="95">
        <f t="shared" ref="K17:N17" si="31">K48+K79+K110+K141+K162+K183+K204</f>
        <v>5436.4974949999996</v>
      </c>
      <c r="L17" s="95">
        <f t="shared" si="31"/>
        <v>5846.5406064149993</v>
      </c>
      <c r="M17" s="95">
        <f t="shared" si="31"/>
        <v>6303.5041803826534</v>
      </c>
      <c r="N17" s="95">
        <f t="shared" si="31"/>
        <v>6815.8272256430855</v>
      </c>
    </row>
    <row r="18" spans="1:15" x14ac:dyDescent="0.25">
      <c r="A18" s="40" t="s">
        <v>129</v>
      </c>
      <c r="B18" s="45" t="str">
        <f t="shared" ref="B18:H18" si="32">+IFERROR(B17/A17-1,"nm")</f>
        <v>nm</v>
      </c>
      <c r="C18" s="45">
        <f t="shared" si="32"/>
        <v>0.16904682829624718</v>
      </c>
      <c r="D18" s="45">
        <f t="shared" si="32"/>
        <v>0.13323863636363642</v>
      </c>
      <c r="E18" s="45">
        <f t="shared" si="32"/>
        <v>0.11657056906492858</v>
      </c>
      <c r="F18" s="45">
        <f t="shared" si="32"/>
        <v>6.5110013471037176E-2</v>
      </c>
      <c r="G18" s="45">
        <f t="shared" si="32"/>
        <v>2.5716694772343951E-2</v>
      </c>
      <c r="H18" s="45">
        <f t="shared" si="32"/>
        <v>7.8092889436909285E-3</v>
      </c>
      <c r="I18" s="45">
        <f>+IFERROR(I17/H17-1,"nm")</f>
        <v>-2.3042414355628038E-2</v>
      </c>
      <c r="J18" s="45">
        <f t="shared" ref="J18:N18" si="33">+IFERROR(J17/I17-1,"nm")</f>
        <v>5.7498434564809076E-2</v>
      </c>
      <c r="K18" s="45">
        <f t="shared" si="33"/>
        <v>7.3033518373227801E-2</v>
      </c>
      <c r="L18" s="45">
        <f t="shared" si="33"/>
        <v>7.542413323874797E-2</v>
      </c>
      <c r="M18" s="45">
        <f t="shared" si="33"/>
        <v>7.8159651104836358E-2</v>
      </c>
      <c r="N18" s="45">
        <f t="shared" si="33"/>
        <v>8.1275911080514573E-2</v>
      </c>
    </row>
    <row r="19" spans="1:15" x14ac:dyDescent="0.25">
      <c r="A19" s="40" t="s">
        <v>133</v>
      </c>
      <c r="B19" s="45">
        <f>+IFERROR(B17/B$3,"nm")</f>
        <v>9.8395477271984569E-2</v>
      </c>
      <c r="C19" s="45">
        <f t="shared" ref="C19:I19" si="34">+IFERROR(C17/C$3,"nm")</f>
        <v>0.10872251050160613</v>
      </c>
      <c r="D19" s="45">
        <f t="shared" si="34"/>
        <v>0.11612809315866085</v>
      </c>
      <c r="E19" s="45">
        <f t="shared" si="34"/>
        <v>0.12237272302662307</v>
      </c>
      <c r="F19" s="45">
        <f t="shared" si="34"/>
        <v>0.1212771940588491</v>
      </c>
      <c r="G19" s="45">
        <f t="shared" si="34"/>
        <v>0.13009651632222013</v>
      </c>
      <c r="H19" s="45">
        <f t="shared" si="34"/>
        <v>0.11010822219228523</v>
      </c>
      <c r="I19" s="45">
        <f t="shared" si="34"/>
        <v>0.10256904303147078</v>
      </c>
      <c r="J19" s="53">
        <f>I19</f>
        <v>0.10256904303147078</v>
      </c>
      <c r="K19" s="53">
        <f t="shared" ref="K19:N19" si="35">J19</f>
        <v>0.10256904303147078</v>
      </c>
      <c r="L19" s="53">
        <f t="shared" si="35"/>
        <v>0.10256904303147078</v>
      </c>
      <c r="M19" s="53">
        <f t="shared" si="35"/>
        <v>0.10256904303147078</v>
      </c>
      <c r="N19" s="53">
        <f t="shared" si="35"/>
        <v>0.10256904303147078</v>
      </c>
    </row>
    <row r="20" spans="1:15" x14ac:dyDescent="0.25">
      <c r="A20" s="41" t="str">
        <f>+Historicals!A114</f>
        <v>North America</v>
      </c>
      <c r="B20" s="41"/>
      <c r="C20" s="41"/>
      <c r="D20" s="41"/>
      <c r="E20" s="41"/>
      <c r="F20" s="41"/>
      <c r="G20" s="41"/>
      <c r="H20" s="41"/>
      <c r="I20" s="41"/>
      <c r="J20" s="37"/>
      <c r="K20" s="37"/>
      <c r="L20" s="37"/>
      <c r="M20" s="37"/>
      <c r="N20" s="37"/>
    </row>
    <row r="21" spans="1:15" x14ac:dyDescent="0.25">
      <c r="A21" s="9" t="s">
        <v>136</v>
      </c>
      <c r="B21" s="9">
        <f>+Historicals!B114</f>
        <v>13740</v>
      </c>
      <c r="C21" s="9">
        <f>+Historicals!C114</f>
        <v>14764</v>
      </c>
      <c r="D21" s="9">
        <f>+Historicals!D114</f>
        <v>15216</v>
      </c>
      <c r="E21" s="9">
        <f>+Historicals!E114</f>
        <v>14855</v>
      </c>
      <c r="F21" s="9">
        <f>+Historicals!F114</f>
        <v>15902</v>
      </c>
      <c r="G21" s="9">
        <f>+Historicals!G114</f>
        <v>14484</v>
      </c>
      <c r="H21" s="9">
        <f>+Historicals!H114</f>
        <v>17179</v>
      </c>
      <c r="I21" s="9">
        <f>+Historicals!I114</f>
        <v>18353</v>
      </c>
      <c r="J21" s="9">
        <f>+SUM(J23+J27+J31)</f>
        <v>19270.650000000001</v>
      </c>
      <c r="K21" s="9">
        <f t="shared" ref="K21:N21" si="36">+SUM(K23+K27+K31)</f>
        <v>20234.182500000003</v>
      </c>
      <c r="L21" s="9">
        <f t="shared" si="36"/>
        <v>21245.891625</v>
      </c>
      <c r="M21" s="9">
        <f t="shared" si="36"/>
        <v>22308.186206250004</v>
      </c>
      <c r="N21" s="9">
        <f t="shared" si="36"/>
        <v>23423.595516562506</v>
      </c>
    </row>
    <row r="22" spans="1:15" x14ac:dyDescent="0.25">
      <c r="A22" s="42" t="s">
        <v>129</v>
      </c>
      <c r="B22" s="45" t="str">
        <f t="shared" ref="B22:H22" si="37">+IFERROR(B21/A21-1,"nm")</f>
        <v>nm</v>
      </c>
      <c r="C22" s="45">
        <f t="shared" si="37"/>
        <v>7.4526928675400228E-2</v>
      </c>
      <c r="D22" s="45">
        <f t="shared" si="37"/>
        <v>3.0615009482525046E-2</v>
      </c>
      <c r="E22" s="45">
        <f t="shared" si="37"/>
        <v>-2.372502628811779E-2</v>
      </c>
      <c r="F22" s="45">
        <f t="shared" si="37"/>
        <v>7.0481319421070276E-2</v>
      </c>
      <c r="G22" s="45">
        <f t="shared" si="37"/>
        <v>-8.9171173437303519E-2</v>
      </c>
      <c r="H22" s="45">
        <f t="shared" si="37"/>
        <v>0.18606738470035911</v>
      </c>
      <c r="I22" s="45">
        <f>+IFERROR(I21/H21-1,"nm")</f>
        <v>6.8339251411607238E-2</v>
      </c>
      <c r="J22" s="45">
        <f t="shared" ref="J22:N22" si="38">+IFERROR(J21/I21-1,"nm")</f>
        <v>5.0000000000000044E-2</v>
      </c>
      <c r="K22" s="45">
        <f t="shared" si="38"/>
        <v>5.0000000000000044E-2</v>
      </c>
      <c r="L22" s="45">
        <f t="shared" si="38"/>
        <v>4.9999999999999822E-2</v>
      </c>
      <c r="M22" s="45">
        <f t="shared" si="38"/>
        <v>5.0000000000000266E-2</v>
      </c>
      <c r="N22" s="45">
        <f t="shared" si="38"/>
        <v>5.0000000000000044E-2</v>
      </c>
    </row>
    <row r="23" spans="1:15" x14ac:dyDescent="0.25">
      <c r="A23" s="43" t="s">
        <v>113</v>
      </c>
      <c r="B23" s="3">
        <f>+Historicals!B115</f>
        <v>8506</v>
      </c>
      <c r="C23" s="3">
        <f>+Historicals!C115</f>
        <v>9299</v>
      </c>
      <c r="D23" s="3">
        <f>+Historicals!D115</f>
        <v>9684</v>
      </c>
      <c r="E23" s="3">
        <f>+Historicals!E115</f>
        <v>9322</v>
      </c>
      <c r="F23" s="3">
        <f>+Historicals!F115</f>
        <v>10045</v>
      </c>
      <c r="G23" s="3">
        <f>+Historicals!G115</f>
        <v>9329</v>
      </c>
      <c r="H23" s="3">
        <f>+Historicals!H115</f>
        <v>11644</v>
      </c>
      <c r="I23" s="3">
        <f>+Historicals!I115</f>
        <v>12228</v>
      </c>
      <c r="J23" s="3">
        <f>+I23*(1+J24)</f>
        <v>12839.4</v>
      </c>
      <c r="K23" s="3">
        <f t="shared" ref="K23:N23" si="39">+J23*(1+K24)</f>
        <v>13481.37</v>
      </c>
      <c r="L23" s="3">
        <f t="shared" si="39"/>
        <v>14155.438500000002</v>
      </c>
      <c r="M23" s="3">
        <f t="shared" si="39"/>
        <v>14863.210425000003</v>
      </c>
      <c r="N23" s="3">
        <f t="shared" si="39"/>
        <v>15606.370946250005</v>
      </c>
    </row>
    <row r="24" spans="1:15" x14ac:dyDescent="0.25">
      <c r="A24" s="42" t="s">
        <v>129</v>
      </c>
      <c r="B24" s="45" t="str">
        <f t="shared" ref="B24" si="40">+IFERROR(B23/A23-1,"nm")</f>
        <v>nm</v>
      </c>
      <c r="C24" s="45">
        <f t="shared" ref="C24" si="41">+IFERROR(C23/B23-1,"nm")</f>
        <v>9.3228309428638578E-2</v>
      </c>
      <c r="D24" s="45">
        <f t="shared" ref="D24" si="42">+IFERROR(D23/C23-1,"nm")</f>
        <v>4.1402301322722934E-2</v>
      </c>
      <c r="E24" s="45">
        <f t="shared" ref="E24" si="43">+IFERROR(E23/D23-1,"nm")</f>
        <v>-3.7381247418422192E-2</v>
      </c>
      <c r="F24" s="45">
        <f t="shared" ref="F24" si="44">+IFERROR(F23/E23-1,"nm")</f>
        <v>7.755846384895948E-2</v>
      </c>
      <c r="G24" s="45">
        <f t="shared" ref="G24" si="45">+IFERROR(G23/F23-1,"nm")</f>
        <v>-7.1279243404678949E-2</v>
      </c>
      <c r="H24" s="45">
        <f t="shared" ref="H24" si="46">+IFERROR(H23/G23-1,"nm")</f>
        <v>0.24815092721620746</v>
      </c>
      <c r="I24" s="45">
        <f>+IFERROR(I23/H23-1,"nm")</f>
        <v>5.0154586052902683E-2</v>
      </c>
      <c r="J24" s="45">
        <f>+J25+J26</f>
        <v>0.05</v>
      </c>
      <c r="K24" s="45">
        <f t="shared" ref="K24:N24" si="47">+K25+K26</f>
        <v>0.05</v>
      </c>
      <c r="L24" s="45">
        <f t="shared" si="47"/>
        <v>0.05</v>
      </c>
      <c r="M24" s="45">
        <f t="shared" si="47"/>
        <v>0.05</v>
      </c>
      <c r="N24" s="45">
        <f t="shared" si="47"/>
        <v>0.05</v>
      </c>
    </row>
    <row r="25" spans="1:15" x14ac:dyDescent="0.25">
      <c r="A25" s="42" t="s">
        <v>137</v>
      </c>
      <c r="B25" s="45">
        <f>+Historicals!B219</f>
        <v>0.14000000000000001</v>
      </c>
      <c r="C25" s="45">
        <f>+Historicals!C219</f>
        <v>0.1</v>
      </c>
      <c r="D25" s="45">
        <f>+Historicals!D219</f>
        <v>0.04</v>
      </c>
      <c r="E25" s="45">
        <f>+Historicals!E219</f>
        <v>-0.04</v>
      </c>
      <c r="F25" s="45">
        <f>+Historicals!F219</f>
        <v>0.08</v>
      </c>
      <c r="G25" s="45">
        <f>+Historicals!G219</f>
        <v>-7.0000000000000007E-2</v>
      </c>
      <c r="H25" s="45">
        <f>+Historicals!H219</f>
        <v>0.25</v>
      </c>
      <c r="I25" s="45">
        <f>+Historicals!I219</f>
        <v>0.05</v>
      </c>
      <c r="J25" s="47">
        <v>0.05</v>
      </c>
      <c r="K25" s="47">
        <f t="shared" ref="K25:N26" si="48">+J25</f>
        <v>0.05</v>
      </c>
      <c r="L25" s="47">
        <f t="shared" si="48"/>
        <v>0.05</v>
      </c>
      <c r="M25" s="47">
        <f t="shared" si="48"/>
        <v>0.05</v>
      </c>
      <c r="N25" s="47">
        <f t="shared" si="48"/>
        <v>0.05</v>
      </c>
      <c r="O25" t="s">
        <v>210</v>
      </c>
    </row>
    <row r="26" spans="1:15" x14ac:dyDescent="0.25">
      <c r="A26" s="42" t="s">
        <v>138</v>
      </c>
      <c r="B26" s="45" t="str">
        <f t="shared" ref="B26:H26" si="49">+IFERROR(B24-B25,"nm")</f>
        <v>nm</v>
      </c>
      <c r="C26" s="45">
        <f t="shared" si="49"/>
        <v>-6.7716905713614273E-3</v>
      </c>
      <c r="D26" s="45">
        <f t="shared" si="49"/>
        <v>1.4023013227229333E-3</v>
      </c>
      <c r="E26" s="45">
        <f t="shared" si="49"/>
        <v>2.6187525815778087E-3</v>
      </c>
      <c r="F26" s="45">
        <f t="shared" si="49"/>
        <v>-2.4415361510405215E-3</v>
      </c>
      <c r="G26" s="45">
        <f t="shared" si="49"/>
        <v>-1.2792434046789425E-3</v>
      </c>
      <c r="H26" s="45">
        <f t="shared" si="49"/>
        <v>-1.849072783792538E-3</v>
      </c>
      <c r="I26" s="45">
        <f>+IFERROR(I24-I25,"nm")</f>
        <v>1.5458605290268046E-4</v>
      </c>
      <c r="J26" s="47">
        <v>0</v>
      </c>
      <c r="K26" s="47">
        <f t="shared" si="48"/>
        <v>0</v>
      </c>
      <c r="L26" s="47">
        <f t="shared" si="48"/>
        <v>0</v>
      </c>
      <c r="M26" s="47">
        <f t="shared" si="48"/>
        <v>0</v>
      </c>
      <c r="N26" s="47">
        <f t="shared" si="48"/>
        <v>0</v>
      </c>
    </row>
    <row r="27" spans="1:15" x14ac:dyDescent="0.25">
      <c r="A27" s="43" t="s">
        <v>114</v>
      </c>
      <c r="B27" s="3">
        <f>+Historicals!B116</f>
        <v>4410</v>
      </c>
      <c r="C27" s="3">
        <f>+Historicals!C116</f>
        <v>4746</v>
      </c>
      <c r="D27" s="3">
        <f>+Historicals!D116</f>
        <v>4886</v>
      </c>
      <c r="E27" s="3">
        <f>+Historicals!E116</f>
        <v>4938</v>
      </c>
      <c r="F27" s="3">
        <f>+Historicals!F116</f>
        <v>5260</v>
      </c>
      <c r="G27" s="3">
        <f>+Historicals!G116</f>
        <v>4639</v>
      </c>
      <c r="H27" s="3">
        <f>+Historicals!H116</f>
        <v>5028</v>
      </c>
      <c r="I27" s="3">
        <f>+Historicals!I116</f>
        <v>5492</v>
      </c>
      <c r="J27" s="3">
        <f>+I27*(1+J28)</f>
        <v>5766.6</v>
      </c>
      <c r="K27" s="3">
        <f t="shared" ref="K27" si="50">+J27*(1+K28)</f>
        <v>6054.93</v>
      </c>
      <c r="L27" s="3">
        <f t="shared" ref="L27" si="51">+K27*(1+L28)</f>
        <v>6357.6765000000005</v>
      </c>
      <c r="M27" s="3">
        <f t="shared" ref="M27" si="52">+L27*(1+M28)</f>
        <v>6675.5603250000004</v>
      </c>
      <c r="N27" s="3">
        <f t="shared" ref="N27" si="53">+M27*(1+N28)</f>
        <v>7009.3383412500007</v>
      </c>
    </row>
    <row r="28" spans="1:15" x14ac:dyDescent="0.25">
      <c r="A28" s="42" t="s">
        <v>129</v>
      </c>
      <c r="B28" s="45" t="str">
        <f t="shared" ref="B28" si="54">+IFERROR(B27/A27-1,"nm")</f>
        <v>nm</v>
      </c>
      <c r="C28" s="45">
        <f t="shared" ref="C28" si="55">+IFERROR(C27/B27-1,"nm")</f>
        <v>7.6190476190476142E-2</v>
      </c>
      <c r="D28" s="45">
        <f t="shared" ref="D28" si="56">+IFERROR(D27/C27-1,"nm")</f>
        <v>2.9498525073746285E-2</v>
      </c>
      <c r="E28" s="45">
        <f t="shared" ref="E28" si="57">+IFERROR(E27/D27-1,"nm")</f>
        <v>1.0642652476463343E-2</v>
      </c>
      <c r="F28" s="45">
        <f t="shared" ref="F28" si="58">+IFERROR(F27/E27-1,"nm")</f>
        <v>6.5208586472256025E-2</v>
      </c>
      <c r="G28" s="45">
        <f t="shared" ref="G28" si="59">+IFERROR(G27/F27-1,"nm")</f>
        <v>-0.11806083650190113</v>
      </c>
      <c r="H28" s="45">
        <f t="shared" ref="H28" si="60">+IFERROR(H27/G27-1,"nm")</f>
        <v>8.3854278939426541E-2</v>
      </c>
      <c r="I28" s="45">
        <f>+IFERROR(I27/H27-1,"nm")</f>
        <v>9.2283214001591007E-2</v>
      </c>
      <c r="J28" s="45">
        <f>+J29+J30</f>
        <v>0.05</v>
      </c>
      <c r="K28" s="45">
        <f t="shared" ref="K28" si="61">+K29+K30</f>
        <v>0.05</v>
      </c>
      <c r="L28" s="45">
        <f t="shared" ref="L28" si="62">+L29+L30</f>
        <v>0.05</v>
      </c>
      <c r="M28" s="45">
        <f t="shared" ref="M28" si="63">+M29+M30</f>
        <v>0.05</v>
      </c>
      <c r="N28" s="45">
        <f t="shared" ref="N28" si="64">+N29+N30</f>
        <v>0.05</v>
      </c>
    </row>
    <row r="29" spans="1:15" x14ac:dyDescent="0.25">
      <c r="A29" s="42" t="s">
        <v>137</v>
      </c>
      <c r="B29" s="45">
        <f>+Historicals!B223</f>
        <v>0.47</v>
      </c>
      <c r="C29" s="45">
        <f>+Historicals!C223</f>
        <v>0.37</v>
      </c>
      <c r="D29" s="45">
        <f>+Historicals!D223</f>
        <v>0.16</v>
      </c>
      <c r="E29" s="45">
        <f>+Historicals!E223</f>
        <v>0.06</v>
      </c>
      <c r="F29" s="45">
        <f>+Historicals!F223</f>
        <v>0.12</v>
      </c>
      <c r="G29" s="45">
        <f>+Historicals!G223</f>
        <v>-0.03</v>
      </c>
      <c r="H29" s="45">
        <f>+Historicals!H223</f>
        <v>0.13</v>
      </c>
      <c r="I29" s="45">
        <f>+Historicals!I223</f>
        <v>0.09</v>
      </c>
      <c r="J29" s="47">
        <v>0.05</v>
      </c>
      <c r="K29" s="47">
        <f t="shared" ref="K29:N29" si="65">+J29</f>
        <v>0.05</v>
      </c>
      <c r="L29" s="47">
        <f t="shared" si="65"/>
        <v>0.05</v>
      </c>
      <c r="M29" s="47">
        <f t="shared" si="65"/>
        <v>0.05</v>
      </c>
      <c r="N29" s="47">
        <f t="shared" si="65"/>
        <v>0.05</v>
      </c>
      <c r="O29" t="s">
        <v>210</v>
      </c>
    </row>
    <row r="30" spans="1:15" x14ac:dyDescent="0.25">
      <c r="A30" s="42" t="s">
        <v>138</v>
      </c>
      <c r="B30" s="45" t="str">
        <f t="shared" ref="B30" si="66">+IFERROR(B28-B29,"nm")</f>
        <v>nm</v>
      </c>
      <c r="C30" s="45">
        <f t="shared" ref="C30" si="67">+IFERROR(C28-C29,"nm")</f>
        <v>-0.29380952380952385</v>
      </c>
      <c r="D30" s="45">
        <f t="shared" ref="D30" si="68">+IFERROR(D28-D29,"nm")</f>
        <v>-0.13050147492625372</v>
      </c>
      <c r="E30" s="45">
        <f t="shared" ref="E30" si="69">+IFERROR(E28-E29,"nm")</f>
        <v>-4.9357347523536654E-2</v>
      </c>
      <c r="F30" s="45">
        <f t="shared" ref="F30" si="70">+IFERROR(F28-F29,"nm")</f>
        <v>-5.4791413527743971E-2</v>
      </c>
      <c r="G30" s="45">
        <f t="shared" ref="G30" si="71">+IFERROR(G28-G29,"nm")</f>
        <v>-8.8060836501901135E-2</v>
      </c>
      <c r="H30" s="45">
        <f t="shared" ref="H30" si="72">+IFERROR(H28-H29,"nm")</f>
        <v>-4.6145721060573464E-2</v>
      </c>
      <c r="I30" s="45">
        <f>+IFERROR(I28-I29,"nm")</f>
        <v>2.2832140015910107E-3</v>
      </c>
      <c r="J30" s="47">
        <v>0</v>
      </c>
      <c r="K30" s="47">
        <f t="shared" ref="K30:N30" si="73">+J30</f>
        <v>0</v>
      </c>
      <c r="L30" s="47">
        <f t="shared" si="73"/>
        <v>0</v>
      </c>
      <c r="M30" s="47">
        <f t="shared" si="73"/>
        <v>0</v>
      </c>
      <c r="N30" s="47">
        <f t="shared" si="73"/>
        <v>0</v>
      </c>
    </row>
    <row r="31" spans="1:15" x14ac:dyDescent="0.25">
      <c r="A31" s="43" t="s">
        <v>115</v>
      </c>
      <c r="B31" s="3">
        <f>+Historicals!B117</f>
        <v>824</v>
      </c>
      <c r="C31" s="3">
        <f>+Historicals!C117</f>
        <v>719</v>
      </c>
      <c r="D31" s="3">
        <f>+Historicals!D117</f>
        <v>646</v>
      </c>
      <c r="E31" s="3">
        <f>+Historicals!E117</f>
        <v>595</v>
      </c>
      <c r="F31" s="3">
        <f>+Historicals!F117</f>
        <v>597</v>
      </c>
      <c r="G31" s="3">
        <f>+Historicals!G117</f>
        <v>516</v>
      </c>
      <c r="H31" s="3">
        <f>+Historicals!H117</f>
        <v>507</v>
      </c>
      <c r="I31" s="3">
        <f>+Historicals!I117</f>
        <v>633</v>
      </c>
      <c r="J31" s="3">
        <f>+I31*(1+J32)</f>
        <v>664.65</v>
      </c>
      <c r="K31" s="3">
        <f t="shared" ref="K31" si="74">+J31*(1+K32)</f>
        <v>697.88250000000005</v>
      </c>
      <c r="L31" s="3">
        <f t="shared" ref="L31" si="75">+K31*(1+L32)</f>
        <v>732.77662500000008</v>
      </c>
      <c r="M31" s="3">
        <f t="shared" ref="M31" si="76">+L31*(1+M32)</f>
        <v>769.41545625000015</v>
      </c>
      <c r="N31" s="3">
        <f t="shared" ref="N31" si="77">+M31*(1+N32)</f>
        <v>807.88622906250021</v>
      </c>
    </row>
    <row r="32" spans="1:15" x14ac:dyDescent="0.25">
      <c r="A32" s="42" t="s">
        <v>129</v>
      </c>
      <c r="B32" s="45" t="str">
        <f t="shared" ref="B32" si="78">+IFERROR(B31/A31-1,"nm")</f>
        <v>nm</v>
      </c>
      <c r="C32" s="45">
        <f t="shared" ref="C32" si="79">+IFERROR(C31/B31-1,"nm")</f>
        <v>-0.12742718446601942</v>
      </c>
      <c r="D32" s="45">
        <f t="shared" ref="D32" si="80">+IFERROR(D31/C31-1,"nm")</f>
        <v>-0.10152990264255912</v>
      </c>
      <c r="E32" s="45">
        <f t="shared" ref="E32" si="81">+IFERROR(E31/D31-1,"nm")</f>
        <v>-7.8947368421052655E-2</v>
      </c>
      <c r="F32" s="45">
        <f t="shared" ref="F32" si="82">+IFERROR(F31/E31-1,"nm")</f>
        <v>3.3613445378151141E-3</v>
      </c>
      <c r="G32" s="45">
        <f t="shared" ref="G32" si="83">+IFERROR(G31/F31-1,"nm")</f>
        <v>-0.13567839195979903</v>
      </c>
      <c r="H32" s="45">
        <f t="shared" ref="H32" si="84">+IFERROR(H31/G31-1,"nm")</f>
        <v>-1.744186046511631E-2</v>
      </c>
      <c r="I32" s="45">
        <f>+IFERROR(I31/H31-1,"nm")</f>
        <v>0.24852071005917153</v>
      </c>
      <c r="J32" s="45">
        <f>+J33+J34</f>
        <v>0.05</v>
      </c>
      <c r="K32" s="45">
        <f t="shared" ref="K32" si="85">+K33+K34</f>
        <v>0.05</v>
      </c>
      <c r="L32" s="45">
        <f t="shared" ref="L32" si="86">+L33+L34</f>
        <v>0.05</v>
      </c>
      <c r="M32" s="45">
        <f t="shared" ref="M32" si="87">+M33+M34</f>
        <v>0.05</v>
      </c>
      <c r="N32" s="45">
        <f t="shared" ref="N32" si="88">+N33+N34</f>
        <v>0.05</v>
      </c>
    </row>
    <row r="33" spans="1:15" x14ac:dyDescent="0.25">
      <c r="A33" s="42" t="s">
        <v>137</v>
      </c>
      <c r="B33" s="45">
        <f>+Historicals!B221</f>
        <v>-0.05</v>
      </c>
      <c r="C33" s="45">
        <f>+Historicals!C221</f>
        <v>-0.13</v>
      </c>
      <c r="D33" s="45">
        <f>+Historicals!D221</f>
        <v>-0.1</v>
      </c>
      <c r="E33" s="45">
        <f>+Historicals!E221</f>
        <v>-0.08</v>
      </c>
      <c r="F33" s="45">
        <f>+Historicals!F221</f>
        <v>0</v>
      </c>
      <c r="G33" s="45">
        <f>+Historicals!G221</f>
        <v>-0.14000000000000001</v>
      </c>
      <c r="H33" s="45">
        <f>+Historicals!H221</f>
        <v>-0.02</v>
      </c>
      <c r="I33" s="45">
        <f>+Historicals!I221</f>
        <v>0.25</v>
      </c>
      <c r="J33" s="47">
        <v>0.05</v>
      </c>
      <c r="K33" s="47">
        <f t="shared" ref="K33:N33" si="89">+J33</f>
        <v>0.05</v>
      </c>
      <c r="L33" s="47">
        <f t="shared" si="89"/>
        <v>0.05</v>
      </c>
      <c r="M33" s="47">
        <f t="shared" si="89"/>
        <v>0.05</v>
      </c>
      <c r="N33" s="47">
        <f t="shared" si="89"/>
        <v>0.05</v>
      </c>
      <c r="O33" t="s">
        <v>210</v>
      </c>
    </row>
    <row r="34" spans="1:15" x14ac:dyDescent="0.25">
      <c r="A34" s="42" t="s">
        <v>138</v>
      </c>
      <c r="B34" s="45" t="str">
        <f t="shared" ref="B34" si="90">+IFERROR(B32-B33,"nm")</f>
        <v>nm</v>
      </c>
      <c r="C34" s="45">
        <f t="shared" ref="C34" si="91">+IFERROR(C32-C33,"nm")</f>
        <v>2.572815533980588E-3</v>
      </c>
      <c r="D34" s="45">
        <f t="shared" ref="D34" si="92">+IFERROR(D32-D33,"nm")</f>
        <v>-1.5299026425591167E-3</v>
      </c>
      <c r="E34" s="45">
        <f t="shared" ref="E34" si="93">+IFERROR(E32-E33,"nm")</f>
        <v>1.0526315789473467E-3</v>
      </c>
      <c r="F34" s="45">
        <f t="shared" ref="F34" si="94">+IFERROR(F32-F33,"nm")</f>
        <v>3.3613445378151141E-3</v>
      </c>
      <c r="G34" s="45">
        <f t="shared" ref="G34" si="95">+IFERROR(G32-G33,"nm")</f>
        <v>4.321608040200986E-3</v>
      </c>
      <c r="H34" s="45">
        <f t="shared" ref="H34" si="96">+IFERROR(H32-H33,"nm")</f>
        <v>2.5581395348836904E-3</v>
      </c>
      <c r="I34" s="45">
        <f>+IFERROR(I32-I33,"nm")</f>
        <v>-1.4792899408284654E-3</v>
      </c>
      <c r="J34" s="47">
        <v>0</v>
      </c>
      <c r="K34" s="47">
        <f t="shared" ref="K34:N34" si="97">+J34</f>
        <v>0</v>
      </c>
      <c r="L34" s="47">
        <f t="shared" si="97"/>
        <v>0</v>
      </c>
      <c r="M34" s="47">
        <f t="shared" si="97"/>
        <v>0</v>
      </c>
      <c r="N34" s="47">
        <f t="shared" si="97"/>
        <v>0</v>
      </c>
    </row>
    <row r="35" spans="1:15" x14ac:dyDescent="0.25">
      <c r="A35" s="9" t="s">
        <v>130</v>
      </c>
      <c r="B35" s="46">
        <f t="shared" ref="B35:H35" si="98">+B42+B38</f>
        <v>3766</v>
      </c>
      <c r="C35" s="46">
        <f t="shared" si="98"/>
        <v>3896</v>
      </c>
      <c r="D35" s="46">
        <f t="shared" si="98"/>
        <v>4015</v>
      </c>
      <c r="E35" s="46">
        <f t="shared" si="98"/>
        <v>3760</v>
      </c>
      <c r="F35" s="46">
        <f t="shared" si="98"/>
        <v>4074</v>
      </c>
      <c r="G35" s="46">
        <f t="shared" si="98"/>
        <v>3047</v>
      </c>
      <c r="H35" s="46">
        <f t="shared" si="98"/>
        <v>5219</v>
      </c>
      <c r="I35" s="46">
        <f>+I42+I38</f>
        <v>5238</v>
      </c>
      <c r="J35" s="46">
        <f>I35-(0.06*I35)</f>
        <v>4923.72</v>
      </c>
      <c r="K35" s="100">
        <f t="shared" ref="K35:N35" si="99">J35-(0.06*J35)</f>
        <v>4628.2968000000001</v>
      </c>
      <c r="L35" s="100">
        <f t="shared" si="99"/>
        <v>4350.5989920000002</v>
      </c>
      <c r="M35" s="100">
        <f t="shared" si="99"/>
        <v>4089.5630524800004</v>
      </c>
      <c r="N35" s="100">
        <f t="shared" si="99"/>
        <v>3844.1892693312002</v>
      </c>
    </row>
    <row r="36" spans="1:15" x14ac:dyDescent="0.25">
      <c r="A36" s="44" t="s">
        <v>129</v>
      </c>
      <c r="B36" s="45" t="str">
        <f t="shared" ref="B36" si="100">+IFERROR(B35/A35-1,"nm")</f>
        <v>nm</v>
      </c>
      <c r="C36" s="45">
        <f t="shared" ref="C36" si="101">+IFERROR(C35/B35-1,"nm")</f>
        <v>3.4519383961763239E-2</v>
      </c>
      <c r="D36" s="45">
        <f t="shared" ref="D36" si="102">+IFERROR(D35/C35-1,"nm")</f>
        <v>3.0544147843942548E-2</v>
      </c>
      <c r="E36" s="45">
        <f t="shared" ref="E36" si="103">+IFERROR(E35/D35-1,"nm")</f>
        <v>-6.3511830635118338E-2</v>
      </c>
      <c r="F36" s="45">
        <f t="shared" ref="F36" si="104">+IFERROR(F35/E35-1,"nm")</f>
        <v>8.3510638297872308E-2</v>
      </c>
      <c r="G36" s="45">
        <f t="shared" ref="G36" si="105">+IFERROR(G35/F35-1,"nm")</f>
        <v>-0.25208640157093765</v>
      </c>
      <c r="H36" s="45">
        <f t="shared" ref="H36" si="106">+IFERROR(H35/G35-1,"nm")</f>
        <v>0.71283229405973092</v>
      </c>
      <c r="I36" s="45">
        <f>+IFERROR(I35/H35-1,"nm")</f>
        <v>3.6405441655489312E-3</v>
      </c>
      <c r="J36" s="45">
        <f t="shared" ref="J36:N36" si="107">+IFERROR(J35/I35-1,"nm")</f>
        <v>-5.9999999999999942E-2</v>
      </c>
      <c r="K36" s="45">
        <f t="shared" si="107"/>
        <v>-6.0000000000000053E-2</v>
      </c>
      <c r="L36" s="45">
        <f t="shared" si="107"/>
        <v>-5.9999999999999942E-2</v>
      </c>
      <c r="M36" s="45">
        <f t="shared" si="107"/>
        <v>-5.9999999999999942E-2</v>
      </c>
      <c r="N36" s="45">
        <f t="shared" si="107"/>
        <v>-6.0000000000000053E-2</v>
      </c>
    </row>
    <row r="37" spans="1:15" s="54" customFormat="1" x14ac:dyDescent="0.25">
      <c r="A37" s="52" t="s">
        <v>131</v>
      </c>
      <c r="B37" s="53">
        <f t="shared" ref="B37:H37" si="108">+IFERROR(B35/B$21,"nm")</f>
        <v>0.27409024745269289</v>
      </c>
      <c r="C37" s="53">
        <f t="shared" si="108"/>
        <v>0.26388512598211866</v>
      </c>
      <c r="D37" s="53">
        <f t="shared" si="108"/>
        <v>0.26386698212407994</v>
      </c>
      <c r="E37" s="53">
        <f t="shared" si="108"/>
        <v>0.25311342982160889</v>
      </c>
      <c r="F37" s="53">
        <f t="shared" si="108"/>
        <v>0.25619418941013711</v>
      </c>
      <c r="G37" s="53">
        <f t="shared" si="108"/>
        <v>0.2103700635183651</v>
      </c>
      <c r="H37" s="53">
        <f t="shared" si="108"/>
        <v>0.30380115256999823</v>
      </c>
      <c r="I37" s="53">
        <f>+IFERROR(I35/I$21,"nm")</f>
        <v>0.28540293140086087</v>
      </c>
      <c r="J37" s="123">
        <v>0.28000000000000003</v>
      </c>
      <c r="K37" s="123">
        <f t="shared" ref="K37:N37" si="109">+J37</f>
        <v>0.28000000000000003</v>
      </c>
      <c r="L37" s="123">
        <f t="shared" si="109"/>
        <v>0.28000000000000003</v>
      </c>
      <c r="M37" s="123">
        <f t="shared" si="109"/>
        <v>0.28000000000000003</v>
      </c>
      <c r="N37" s="123">
        <f t="shared" si="109"/>
        <v>0.28000000000000003</v>
      </c>
    </row>
    <row r="38" spans="1:15" x14ac:dyDescent="0.25">
      <c r="A38" s="9" t="s">
        <v>132</v>
      </c>
      <c r="B38" s="9">
        <f>+Historicals!B202</f>
        <v>121</v>
      </c>
      <c r="C38" s="9">
        <f>+Historicals!C202</f>
        <v>133</v>
      </c>
      <c r="D38" s="9">
        <f>+Historicals!D202</f>
        <v>140</v>
      </c>
      <c r="E38" s="9">
        <f>+Historicals!E202</f>
        <v>160</v>
      </c>
      <c r="F38" s="9">
        <f>+Historicals!F202</f>
        <v>149</v>
      </c>
      <c r="G38" s="9">
        <f>+Historicals!G202</f>
        <v>148</v>
      </c>
      <c r="H38" s="9">
        <f>+Historicals!H202</f>
        <v>130</v>
      </c>
      <c r="I38" s="9">
        <f>+Historicals!I202</f>
        <v>124</v>
      </c>
      <c r="J38" s="46">
        <f>I38-(0.06*I38)</f>
        <v>116.56</v>
      </c>
      <c r="K38" s="100">
        <f t="shared" ref="K38:N38" si="110">J38-(0.06*J38)</f>
        <v>109.5664</v>
      </c>
      <c r="L38" s="100">
        <f t="shared" si="110"/>
        <v>102.99241600000001</v>
      </c>
      <c r="M38" s="100">
        <f t="shared" si="110"/>
        <v>96.812871040000005</v>
      </c>
      <c r="N38" s="100">
        <f t="shared" si="110"/>
        <v>91.004098777600007</v>
      </c>
    </row>
    <row r="39" spans="1:15" x14ac:dyDescent="0.25">
      <c r="A39" s="44" t="s">
        <v>129</v>
      </c>
      <c r="B39" s="45" t="str">
        <f t="shared" ref="B39" si="111">+IFERROR(B38/A38-1,"nm")</f>
        <v>nm</v>
      </c>
      <c r="C39" s="45">
        <f t="shared" ref="C39" si="112">+IFERROR(C38/B38-1,"nm")</f>
        <v>9.9173553719008156E-2</v>
      </c>
      <c r="D39" s="45">
        <f t="shared" ref="D39" si="113">+IFERROR(D38/C38-1,"nm")</f>
        <v>5.2631578947368363E-2</v>
      </c>
      <c r="E39" s="45">
        <f t="shared" ref="E39" si="114">+IFERROR(E38/D38-1,"nm")</f>
        <v>0.14285714285714279</v>
      </c>
      <c r="F39" s="45">
        <f t="shared" ref="F39" si="115">+IFERROR(F38/E38-1,"nm")</f>
        <v>-6.8749999999999978E-2</v>
      </c>
      <c r="G39" s="45">
        <f t="shared" ref="G39" si="116">+IFERROR(G38/F38-1,"nm")</f>
        <v>-6.7114093959731447E-3</v>
      </c>
      <c r="H39" s="45">
        <f t="shared" ref="H39" si="117">+IFERROR(H38/G38-1,"nm")</f>
        <v>-0.1216216216216216</v>
      </c>
      <c r="I39" s="45">
        <f>+IFERROR(I38/H38-1,"nm")</f>
        <v>-4.6153846153846101E-2</v>
      </c>
      <c r="J39" s="45">
        <f t="shared" ref="J39" si="118">+IFERROR(J38/I38-1,"nm")</f>
        <v>-5.9999999999999942E-2</v>
      </c>
      <c r="K39" s="45">
        <f t="shared" ref="K39" si="119">+IFERROR(K38/J38-1,"nm")</f>
        <v>-6.0000000000000053E-2</v>
      </c>
      <c r="L39" s="45">
        <f t="shared" ref="L39" si="120">+IFERROR(L38/K38-1,"nm")</f>
        <v>-5.9999999999999942E-2</v>
      </c>
      <c r="M39" s="45">
        <f t="shared" ref="M39" si="121">+IFERROR(M38/L38-1,"nm")</f>
        <v>-6.0000000000000053E-2</v>
      </c>
      <c r="N39" s="45">
        <f t="shared" ref="N39" si="122">+IFERROR(N38/M38-1,"nm")</f>
        <v>-5.9999999999999942E-2</v>
      </c>
    </row>
    <row r="40" spans="1:15" x14ac:dyDescent="0.25">
      <c r="A40" s="44" t="s">
        <v>133</v>
      </c>
      <c r="B40" s="45">
        <f t="shared" ref="B40:H40" si="123">+IFERROR(B38/B$21,"nm")</f>
        <v>8.8064046579330417E-3</v>
      </c>
      <c r="C40" s="45">
        <f t="shared" si="123"/>
        <v>9.0083988079111346E-3</v>
      </c>
      <c r="D40" s="45">
        <f t="shared" si="123"/>
        <v>9.2008412197686646E-3</v>
      </c>
      <c r="E40" s="45">
        <f t="shared" si="123"/>
        <v>1.0770784247728038E-2</v>
      </c>
      <c r="F40" s="45">
        <f t="shared" si="123"/>
        <v>9.3698905798012821E-3</v>
      </c>
      <c r="G40" s="45">
        <f t="shared" si="123"/>
        <v>1.0218171775752554E-2</v>
      </c>
      <c r="H40" s="45">
        <f t="shared" si="123"/>
        <v>7.5673787764130628E-3</v>
      </c>
      <c r="I40" s="45">
        <f>+IFERROR(I38/I$21,"nm")</f>
        <v>6.7563886013185855E-3</v>
      </c>
      <c r="J40" s="45">
        <f t="shared" ref="J40:N40" si="124">+IFERROR(J38/J$21,"nm")</f>
        <v>6.0485764621328285E-3</v>
      </c>
      <c r="K40" s="45">
        <f t="shared" si="124"/>
        <v>5.4149160708617701E-3</v>
      </c>
      <c r="L40" s="45">
        <f t="shared" si="124"/>
        <v>4.8476391491524429E-3</v>
      </c>
      <c r="M40" s="45">
        <f t="shared" si="124"/>
        <v>4.3397912382888522E-3</v>
      </c>
      <c r="N40" s="45">
        <f t="shared" si="124"/>
        <v>3.8851464418966871E-3</v>
      </c>
    </row>
    <row r="41" spans="1:15" x14ac:dyDescent="0.25">
      <c r="A41" s="44" t="s">
        <v>140</v>
      </c>
      <c r="B41" s="45">
        <f t="shared" ref="B41:H41" si="125">+IFERROR(B38/B48,"nm")</f>
        <v>0.19145569620253164</v>
      </c>
      <c r="C41" s="45">
        <f t="shared" si="125"/>
        <v>0.17924528301886791</v>
      </c>
      <c r="D41" s="45">
        <f t="shared" si="125"/>
        <v>0.17094017094017094</v>
      </c>
      <c r="E41" s="45">
        <f t="shared" si="125"/>
        <v>0.18867924528301888</v>
      </c>
      <c r="F41" s="45">
        <f t="shared" si="125"/>
        <v>0.18304668304668303</v>
      </c>
      <c r="G41" s="45">
        <f t="shared" si="125"/>
        <v>0.22945736434108527</v>
      </c>
      <c r="H41" s="45">
        <f t="shared" si="125"/>
        <v>0.21069692058346839</v>
      </c>
      <c r="I41" s="45">
        <f>+IFERROR(I38/I48,"nm")</f>
        <v>0.19405320813771518</v>
      </c>
      <c r="J41" s="47">
        <f>+I41</f>
        <v>0.19405320813771518</v>
      </c>
      <c r="K41" s="47">
        <f t="shared" ref="K41:N41" si="126">+J41</f>
        <v>0.19405320813771518</v>
      </c>
      <c r="L41" s="47">
        <f t="shared" si="126"/>
        <v>0.19405320813771518</v>
      </c>
      <c r="M41" s="47">
        <f t="shared" si="126"/>
        <v>0.19405320813771518</v>
      </c>
      <c r="N41" s="47">
        <f t="shared" si="126"/>
        <v>0.19405320813771518</v>
      </c>
    </row>
    <row r="42" spans="1:15" x14ac:dyDescent="0.25">
      <c r="A42" s="9" t="s">
        <v>134</v>
      </c>
      <c r="B42" s="9">
        <f>+Historicals!B157</f>
        <v>3645</v>
      </c>
      <c r="C42" s="9">
        <f>+Historicals!C157</f>
        <v>3763</v>
      </c>
      <c r="D42" s="9">
        <f>+Historicals!D157</f>
        <v>3875</v>
      </c>
      <c r="E42" s="9">
        <f>+Historicals!E157</f>
        <v>3600</v>
      </c>
      <c r="F42" s="9">
        <f>+Historicals!F157</f>
        <v>3925</v>
      </c>
      <c r="G42" s="9">
        <f>+Historicals!G157</f>
        <v>2899</v>
      </c>
      <c r="H42" s="9">
        <f>+Historicals!H157</f>
        <v>5089</v>
      </c>
      <c r="I42" s="9">
        <f>+Historicals!I157</f>
        <v>5114</v>
      </c>
      <c r="J42" s="9">
        <f>J35-J38</f>
        <v>4807.16</v>
      </c>
      <c r="K42" s="99">
        <f t="shared" ref="K42:N42" si="127">K35-K38</f>
        <v>4518.7304000000004</v>
      </c>
      <c r="L42" s="99">
        <f t="shared" si="127"/>
        <v>4247.6065760000001</v>
      </c>
      <c r="M42" s="99">
        <f t="shared" si="127"/>
        <v>3992.7501814400002</v>
      </c>
      <c r="N42" s="99">
        <f t="shared" si="127"/>
        <v>3753.1851705536001</v>
      </c>
    </row>
    <row r="43" spans="1:15" s="54" customFormat="1" x14ac:dyDescent="0.25">
      <c r="A43" s="52" t="s">
        <v>129</v>
      </c>
      <c r="B43" s="53" t="str">
        <f t="shared" ref="B43" si="128">+IFERROR(B42/A42-1,"nm")</f>
        <v>nm</v>
      </c>
      <c r="C43" s="53">
        <f t="shared" ref="C43" si="129">+IFERROR(C42/B42-1,"nm")</f>
        <v>3.2373113854595292E-2</v>
      </c>
      <c r="D43" s="53">
        <f t="shared" ref="D43" si="130">+IFERROR(D42/C42-1,"nm")</f>
        <v>2.9763486579856391E-2</v>
      </c>
      <c r="E43" s="53">
        <f t="shared" ref="E43" si="131">+IFERROR(E42/D42-1,"nm")</f>
        <v>-7.096774193548383E-2</v>
      </c>
      <c r="F43" s="53">
        <f t="shared" ref="F43" si="132">+IFERROR(F42/E42-1,"nm")</f>
        <v>9.0277777777777679E-2</v>
      </c>
      <c r="G43" s="53">
        <f t="shared" ref="G43" si="133">+IFERROR(G42/F42-1,"nm")</f>
        <v>-0.26140127388535028</v>
      </c>
      <c r="H43" s="53">
        <f t="shared" ref="H43" si="134">+IFERROR(H42/G42-1,"nm")</f>
        <v>0.75543290789927564</v>
      </c>
      <c r="I43" s="53">
        <f>+IFERROR(I42/H42-1,"nm")</f>
        <v>4.9125564943997002E-3</v>
      </c>
      <c r="J43" s="53">
        <f t="shared" ref="J43:N43" si="135">+IFERROR(J42/I42-1,"nm")</f>
        <v>-6.0000000000000053E-2</v>
      </c>
      <c r="K43" s="53">
        <f t="shared" si="135"/>
        <v>-5.9999999999999942E-2</v>
      </c>
      <c r="L43" s="53">
        <f t="shared" si="135"/>
        <v>-6.0000000000000053E-2</v>
      </c>
      <c r="M43" s="53">
        <f t="shared" si="135"/>
        <v>-5.9999999999999942E-2</v>
      </c>
      <c r="N43" s="53">
        <f t="shared" si="135"/>
        <v>-6.0000000000000053E-2</v>
      </c>
      <c r="O43" s="54" t="s">
        <v>205</v>
      </c>
    </row>
    <row r="44" spans="1:15" x14ac:dyDescent="0.25">
      <c r="A44" s="44" t="s">
        <v>131</v>
      </c>
      <c r="B44" s="45">
        <f t="shared" ref="B44:H44" si="136">+IFERROR(B42/B$21,"nm")</f>
        <v>0.26528384279475981</v>
      </c>
      <c r="C44" s="45">
        <f t="shared" si="136"/>
        <v>0.25487672717420751</v>
      </c>
      <c r="D44" s="45">
        <f t="shared" si="136"/>
        <v>0.25466614090431128</v>
      </c>
      <c r="E44" s="45">
        <f t="shared" si="136"/>
        <v>0.24234264557388085</v>
      </c>
      <c r="F44" s="45">
        <f t="shared" si="136"/>
        <v>0.2468242988303358</v>
      </c>
      <c r="G44" s="45">
        <f t="shared" si="136"/>
        <v>0.20015189174261253</v>
      </c>
      <c r="H44" s="45">
        <f t="shared" si="136"/>
        <v>0.29623377379358518</v>
      </c>
      <c r="I44" s="45">
        <f>+IFERROR(I42/I$21,"nm")</f>
        <v>0.27864654279954232</v>
      </c>
      <c r="J44" s="45">
        <f t="shared" ref="J44:N44" si="137">+IFERROR(J42/J$21,"nm")</f>
        <v>0.24945500022054262</v>
      </c>
      <c r="K44" s="45">
        <f t="shared" si="137"/>
        <v>0.2233216192450572</v>
      </c>
      <c r="L44" s="45">
        <f t="shared" si="137"/>
        <v>0.19992602103843218</v>
      </c>
      <c r="M44" s="45">
        <f t="shared" si="137"/>
        <v>0.17898139026297735</v>
      </c>
      <c r="N44" s="45">
        <f t="shared" si="137"/>
        <v>0.16023095890209399</v>
      </c>
    </row>
    <row r="45" spans="1:15" x14ac:dyDescent="0.25">
      <c r="A45" s="9" t="s">
        <v>135</v>
      </c>
      <c r="B45" s="9">
        <f>+Historicals!B187</f>
        <v>208</v>
      </c>
      <c r="C45" s="9">
        <f>+Historicals!C187</f>
        <v>242</v>
      </c>
      <c r="D45" s="9">
        <f>+Historicals!D187</f>
        <v>223</v>
      </c>
      <c r="E45" s="9">
        <f>+Historicals!E187</f>
        <v>196</v>
      </c>
      <c r="F45" s="9">
        <f>+Historicals!F187</f>
        <v>117</v>
      </c>
      <c r="G45" s="9">
        <f>+Historicals!G187</f>
        <v>110</v>
      </c>
      <c r="H45" s="9">
        <f>+Historicals!H187</f>
        <v>98</v>
      </c>
      <c r="I45" s="9">
        <f>+Historicals!I187</f>
        <v>146</v>
      </c>
      <c r="J45" s="46">
        <f>+J21*J47</f>
        <v>153.30000000000004</v>
      </c>
      <c r="K45" s="46">
        <f t="shared" ref="K45:N45" si="138">+K21*K47</f>
        <v>160.96500000000003</v>
      </c>
      <c r="L45" s="46">
        <f t="shared" si="138"/>
        <v>169.01325000000003</v>
      </c>
      <c r="M45" s="46">
        <f t="shared" si="138"/>
        <v>177.46391250000005</v>
      </c>
      <c r="N45" s="46">
        <f t="shared" si="138"/>
        <v>186.33710812500007</v>
      </c>
    </row>
    <row r="46" spans="1:15" x14ac:dyDescent="0.25">
      <c r="A46" s="44" t="s">
        <v>129</v>
      </c>
      <c r="B46" s="45" t="str">
        <f t="shared" ref="B46" si="139">+IFERROR(B45/A45-1,"nm")</f>
        <v>nm</v>
      </c>
      <c r="C46" s="45">
        <f t="shared" ref="C46" si="140">+IFERROR(C45/B45-1,"nm")</f>
        <v>0.16346153846153855</v>
      </c>
      <c r="D46" s="45">
        <f t="shared" ref="D46" si="141">+IFERROR(D45/C45-1,"nm")</f>
        <v>-7.8512396694214837E-2</v>
      </c>
      <c r="E46" s="45">
        <f t="shared" ref="E46" si="142">+IFERROR(E45/D45-1,"nm")</f>
        <v>-0.12107623318385652</v>
      </c>
      <c r="F46" s="45">
        <f t="shared" ref="F46" si="143">+IFERROR(F45/E45-1,"nm")</f>
        <v>-0.40306122448979587</v>
      </c>
      <c r="G46" s="45">
        <f t="shared" ref="G46" si="144">+IFERROR(G45/F45-1,"nm")</f>
        <v>-5.9829059829059839E-2</v>
      </c>
      <c r="H46" s="45">
        <f t="shared" ref="H46" si="145">+IFERROR(H45/G45-1,"nm")</f>
        <v>-0.10909090909090913</v>
      </c>
      <c r="I46" s="45">
        <f>+IFERROR(I45/H45-1,"nm")</f>
        <v>0.48979591836734704</v>
      </c>
      <c r="J46" s="45">
        <f t="shared" ref="J46" si="146">+IFERROR(J45/I45-1,"nm")</f>
        <v>5.0000000000000266E-2</v>
      </c>
      <c r="K46" s="45">
        <f t="shared" ref="K46" si="147">+IFERROR(K45/J45-1,"nm")</f>
        <v>5.0000000000000044E-2</v>
      </c>
      <c r="L46" s="45">
        <f t="shared" ref="L46" si="148">+IFERROR(L45/K45-1,"nm")</f>
        <v>5.0000000000000044E-2</v>
      </c>
      <c r="M46" s="45">
        <f t="shared" ref="M46" si="149">+IFERROR(M45/L45-1,"nm")</f>
        <v>5.0000000000000044E-2</v>
      </c>
      <c r="N46" s="45">
        <f t="shared" ref="N46" si="150">+IFERROR(N45/M45-1,"nm")</f>
        <v>5.0000000000000044E-2</v>
      </c>
    </row>
    <row r="47" spans="1:15" x14ac:dyDescent="0.25">
      <c r="A47" s="44" t="s">
        <v>133</v>
      </c>
      <c r="B47" s="45">
        <f t="shared" ref="B47:H47" si="151">+IFERROR(B45/B$21,"nm")</f>
        <v>1.5138282387190683E-2</v>
      </c>
      <c r="C47" s="45">
        <f t="shared" si="151"/>
        <v>1.6391221891086428E-2</v>
      </c>
      <c r="D47" s="45">
        <f t="shared" si="151"/>
        <v>1.4655625657202945E-2</v>
      </c>
      <c r="E47" s="45">
        <f t="shared" si="151"/>
        <v>1.3194210703466847E-2</v>
      </c>
      <c r="F47" s="45">
        <f t="shared" si="151"/>
        <v>7.3575650861526856E-3</v>
      </c>
      <c r="G47" s="45">
        <f t="shared" si="151"/>
        <v>7.5945871306268989E-3</v>
      </c>
      <c r="H47" s="45">
        <f t="shared" si="151"/>
        <v>5.7046393852960009E-3</v>
      </c>
      <c r="I47" s="45">
        <f>+IFERROR(I45/I$21,"nm")</f>
        <v>7.9551027080041418E-3</v>
      </c>
      <c r="J47" s="47">
        <f>+I47</f>
        <v>7.9551027080041418E-3</v>
      </c>
      <c r="K47" s="47">
        <f t="shared" ref="K47:N47" si="152">+J47</f>
        <v>7.9551027080041418E-3</v>
      </c>
      <c r="L47" s="47">
        <f t="shared" si="152"/>
        <v>7.9551027080041418E-3</v>
      </c>
      <c r="M47" s="47">
        <f t="shared" si="152"/>
        <v>7.9551027080041418E-3</v>
      </c>
      <c r="N47" s="47">
        <f t="shared" si="152"/>
        <v>7.9551027080041418E-3</v>
      </c>
    </row>
    <row r="48" spans="1:15" x14ac:dyDescent="0.25">
      <c r="A48" s="9" t="s">
        <v>141</v>
      </c>
      <c r="B48" s="9">
        <f>+Historicals!B172</f>
        <v>632</v>
      </c>
      <c r="C48" s="9">
        <f>+Historicals!C172</f>
        <v>742</v>
      </c>
      <c r="D48" s="9">
        <f>+Historicals!D172</f>
        <v>819</v>
      </c>
      <c r="E48" s="9">
        <f>+Historicals!E172</f>
        <v>848</v>
      </c>
      <c r="F48" s="9">
        <f>+Historicals!F172</f>
        <v>814</v>
      </c>
      <c r="G48" s="9">
        <f>+Historicals!G172</f>
        <v>645</v>
      </c>
      <c r="H48" s="9">
        <f>+Historicals!H172</f>
        <v>617</v>
      </c>
      <c r="I48" s="9">
        <f>+Historicals!I172</f>
        <v>639</v>
      </c>
      <c r="J48" s="46">
        <f>+J21*J50</f>
        <v>670.95000000000016</v>
      </c>
      <c r="K48" s="46">
        <f t="shared" ref="K48:N48" si="153">+K21*K50</f>
        <v>704.49750000000017</v>
      </c>
      <c r="L48" s="46">
        <f t="shared" si="153"/>
        <v>739.72237500000006</v>
      </c>
      <c r="M48" s="46">
        <f t="shared" si="153"/>
        <v>776.70849375000023</v>
      </c>
      <c r="N48" s="46">
        <f t="shared" si="153"/>
        <v>815.54391843750022</v>
      </c>
    </row>
    <row r="49" spans="1:15" x14ac:dyDescent="0.25">
      <c r="A49" s="44" t="s">
        <v>129</v>
      </c>
      <c r="B49" s="45" t="str">
        <f t="shared" ref="B49" si="154">+IFERROR(B48/A48-1,"nm")</f>
        <v>nm</v>
      </c>
      <c r="C49" s="45">
        <f t="shared" ref="C49" si="155">+IFERROR(C48/B48-1,"nm")</f>
        <v>0.17405063291139244</v>
      </c>
      <c r="D49" s="45">
        <f t="shared" ref="D49" si="156">+IFERROR(D48/C48-1,"nm")</f>
        <v>0.10377358490566047</v>
      </c>
      <c r="E49" s="45">
        <f t="shared" ref="E49" si="157">+IFERROR(E48/D48-1,"nm")</f>
        <v>3.5409035409035505E-2</v>
      </c>
      <c r="F49" s="45">
        <f t="shared" ref="F49" si="158">+IFERROR(F48/E48-1,"nm")</f>
        <v>-4.0094339622641528E-2</v>
      </c>
      <c r="G49" s="45">
        <f t="shared" ref="G49" si="159">+IFERROR(G48/F48-1,"nm")</f>
        <v>-0.20761670761670759</v>
      </c>
      <c r="H49" s="45">
        <f t="shared" ref="H49" si="160">+IFERROR(H48/G48-1,"nm")</f>
        <v>-4.3410852713178349E-2</v>
      </c>
      <c r="I49" s="45">
        <f>+IFERROR(I48/H48-1,"nm")</f>
        <v>3.5656401944894611E-2</v>
      </c>
      <c r="J49" s="45">
        <f>+J50+J165</f>
        <v>3.4817196098730456E-2</v>
      </c>
      <c r="K49" s="45">
        <f t="shared" ref="K49" si="161">+K50+K165</f>
        <v>3.4817196098730456E-2</v>
      </c>
      <c r="L49" s="45">
        <f t="shared" ref="L49" si="162">+L50+L165</f>
        <v>3.4817196098730456E-2</v>
      </c>
      <c r="M49" s="45">
        <f t="shared" ref="M49" si="163">+M50+M165</f>
        <v>3.4817196098730456E-2</v>
      </c>
      <c r="N49" s="45">
        <f t="shared" ref="N49" si="164">+N50+N165</f>
        <v>3.4817196098730456E-2</v>
      </c>
    </row>
    <row r="50" spans="1:15" x14ac:dyDescent="0.25">
      <c r="A50" s="44" t="s">
        <v>133</v>
      </c>
      <c r="B50" s="45">
        <f t="shared" ref="B50:H50" si="165">+IFERROR(B48/B$21,"nm")</f>
        <v>4.599708879184862E-2</v>
      </c>
      <c r="C50" s="45">
        <f t="shared" si="165"/>
        <v>5.0257382823083174E-2</v>
      </c>
      <c r="D50" s="45">
        <f t="shared" si="165"/>
        <v>5.3824921135646686E-2</v>
      </c>
      <c r="E50" s="45">
        <f t="shared" si="165"/>
        <v>5.7085156512958597E-2</v>
      </c>
      <c r="F50" s="45">
        <f t="shared" si="165"/>
        <v>5.1188529744686205E-2</v>
      </c>
      <c r="G50" s="45">
        <f t="shared" si="165"/>
        <v>4.4531897265948632E-2</v>
      </c>
      <c r="H50" s="45">
        <f t="shared" si="165"/>
        <v>3.5915943884975841E-2</v>
      </c>
      <c r="I50" s="45">
        <f>+IFERROR(I48/I$21,"nm")</f>
        <v>3.4817196098730456E-2</v>
      </c>
      <c r="J50" s="47">
        <f>+I50</f>
        <v>3.4817196098730456E-2</v>
      </c>
      <c r="K50" s="47">
        <f t="shared" ref="K50:N50" si="166">+J50</f>
        <v>3.4817196098730456E-2</v>
      </c>
      <c r="L50" s="47">
        <f t="shared" si="166"/>
        <v>3.4817196098730456E-2</v>
      </c>
      <c r="M50" s="47">
        <f t="shared" si="166"/>
        <v>3.4817196098730456E-2</v>
      </c>
      <c r="N50" s="47">
        <f t="shared" si="166"/>
        <v>3.4817196098730456E-2</v>
      </c>
    </row>
    <row r="51" spans="1:15" x14ac:dyDescent="0.25">
      <c r="A51" s="41" t="s">
        <v>153</v>
      </c>
      <c r="B51" s="41"/>
      <c r="C51" s="41"/>
      <c r="D51" s="41"/>
      <c r="E51" s="41"/>
      <c r="F51" s="41"/>
      <c r="G51" s="41"/>
      <c r="H51" s="41"/>
      <c r="I51" s="41"/>
      <c r="J51" s="37"/>
      <c r="K51" s="37"/>
      <c r="L51" s="37"/>
      <c r="M51" s="37"/>
      <c r="N51" s="37"/>
    </row>
    <row r="52" spans="1:15" x14ac:dyDescent="0.25">
      <c r="A52" s="9" t="s">
        <v>136</v>
      </c>
      <c r="B52" s="9">
        <f>Historicals!B130+Historicals!B134</f>
        <v>7126</v>
      </c>
      <c r="C52" s="9">
        <f>Historicals!C130+Historicals!C134</f>
        <v>7315</v>
      </c>
      <c r="D52" s="9">
        <f>Historicals!D118</f>
        <v>7970</v>
      </c>
      <c r="E52" s="9">
        <f>Historicals!E118</f>
        <v>9242</v>
      </c>
      <c r="F52" s="9">
        <f>Historicals!F118</f>
        <v>9812</v>
      </c>
      <c r="G52" s="9">
        <f>Historicals!G118</f>
        <v>9347</v>
      </c>
      <c r="H52" s="9">
        <f>Historicals!H118</f>
        <v>11456</v>
      </c>
      <c r="I52" s="9">
        <f>Historicals!I118</f>
        <v>12479</v>
      </c>
      <c r="J52" s="46">
        <f>+SUM(I54+I58+I62)</f>
        <v>12479</v>
      </c>
      <c r="K52" s="46">
        <f t="shared" ref="K52:N52" si="167">+SUM(J54+J58+J62)</f>
        <v>13352.53</v>
      </c>
      <c r="L52" s="46">
        <f t="shared" si="167"/>
        <v>14287.207100000001</v>
      </c>
      <c r="M52" s="46">
        <f t="shared" si="167"/>
        <v>15287.311597000004</v>
      </c>
      <c r="N52" s="46">
        <f t="shared" si="167"/>
        <v>16357.423408790004</v>
      </c>
    </row>
    <row r="53" spans="1:15" x14ac:dyDescent="0.25">
      <c r="A53" s="42" t="s">
        <v>129</v>
      </c>
      <c r="B53" s="45" t="str">
        <f t="shared" ref="B53:H53" si="168">+IFERROR(B52/A52-1,"nm")</f>
        <v>nm</v>
      </c>
      <c r="C53" s="45">
        <f t="shared" si="168"/>
        <v>2.6522593320235766E-2</v>
      </c>
      <c r="D53" s="45">
        <f t="shared" si="168"/>
        <v>8.9542036910458034E-2</v>
      </c>
      <c r="E53" s="45">
        <f t="shared" si="168"/>
        <v>0.15959849435382689</v>
      </c>
      <c r="F53" s="45">
        <f t="shared" si="168"/>
        <v>6.1674962129409261E-2</v>
      </c>
      <c r="G53" s="45">
        <f t="shared" si="168"/>
        <v>-4.7390949857317621E-2</v>
      </c>
      <c r="H53" s="45">
        <f t="shared" si="168"/>
        <v>0.22563389322777372</v>
      </c>
      <c r="I53" s="45">
        <f>+IFERROR(I52/H52-1,"nm")</f>
        <v>8.9298184357541999E-2</v>
      </c>
      <c r="J53" s="45">
        <f t="shared" ref="J53:N53" si="169">+IFERROR(J52/I52-1,"nm")</f>
        <v>0</v>
      </c>
      <c r="K53" s="45">
        <f t="shared" si="169"/>
        <v>7.0000000000000062E-2</v>
      </c>
      <c r="L53" s="45">
        <f t="shared" si="169"/>
        <v>7.0000000000000062E-2</v>
      </c>
      <c r="M53" s="45">
        <f t="shared" si="169"/>
        <v>7.0000000000000062E-2</v>
      </c>
      <c r="N53" s="45">
        <f t="shared" si="169"/>
        <v>7.0000000000000062E-2</v>
      </c>
    </row>
    <row r="54" spans="1:15" x14ac:dyDescent="0.25">
      <c r="A54" s="43" t="s">
        <v>113</v>
      </c>
      <c r="B54" s="3">
        <f>Historicals!B131+Historicals!B135</f>
        <v>4703</v>
      </c>
      <c r="C54" s="3">
        <f>Historicals!C131+Historicals!C135</f>
        <v>4867</v>
      </c>
      <c r="D54" s="3">
        <f>Historicals!D119</f>
        <v>5192</v>
      </c>
      <c r="E54" s="3">
        <f>Historicals!E119</f>
        <v>5875</v>
      </c>
      <c r="F54" s="3">
        <f>Historicals!F119</f>
        <v>6293</v>
      </c>
      <c r="G54" s="3">
        <f>Historicals!G119</f>
        <v>5892</v>
      </c>
      <c r="H54" s="3">
        <f>Historicals!H119</f>
        <v>6970</v>
      </c>
      <c r="I54" s="3">
        <f>Historicals!I119</f>
        <v>7388</v>
      </c>
      <c r="J54" s="117">
        <f>I54*(1+J55)</f>
        <v>7905.1600000000008</v>
      </c>
      <c r="K54" s="117">
        <f t="shared" ref="K54:N54" si="170">J54*(1+K55)</f>
        <v>8458.521200000001</v>
      </c>
      <c r="L54" s="117">
        <f t="shared" si="170"/>
        <v>9050.6176840000007</v>
      </c>
      <c r="M54" s="117">
        <f t="shared" si="170"/>
        <v>9684.1609218800022</v>
      </c>
      <c r="N54" s="117">
        <f t="shared" si="170"/>
        <v>10362.052186411604</v>
      </c>
    </row>
    <row r="55" spans="1:15" x14ac:dyDescent="0.25">
      <c r="A55" s="42" t="s">
        <v>129</v>
      </c>
      <c r="B55" s="45" t="str">
        <f t="shared" ref="B55:H55" si="171">+IFERROR(B54/A54-1,"nm")</f>
        <v>nm</v>
      </c>
      <c r="C55" s="45">
        <f t="shared" si="171"/>
        <v>3.4871358707208255E-2</v>
      </c>
      <c r="D55" s="45">
        <f t="shared" si="171"/>
        <v>6.6776248202177868E-2</v>
      </c>
      <c r="E55" s="45">
        <f t="shared" si="171"/>
        <v>0.1315485362095532</v>
      </c>
      <c r="F55" s="45">
        <f t="shared" si="171"/>
        <v>7.1148936170212673E-2</v>
      </c>
      <c r="G55" s="45">
        <f t="shared" si="171"/>
        <v>-6.3721595423486432E-2</v>
      </c>
      <c r="H55" s="45">
        <f t="shared" si="171"/>
        <v>0.18295994568907004</v>
      </c>
      <c r="I55" s="45">
        <f>+IFERROR(I54/H54-1,"nm")</f>
        <v>5.9971305595408975E-2</v>
      </c>
      <c r="J55" s="77">
        <f>J57+J56</f>
        <v>7.0000000000000007E-2</v>
      </c>
      <c r="K55" s="77">
        <f t="shared" ref="K55:N55" si="172">K57+K56</f>
        <v>7.0000000000000007E-2</v>
      </c>
      <c r="L55" s="77">
        <f t="shared" si="172"/>
        <v>7.0000000000000007E-2</v>
      </c>
      <c r="M55" s="77">
        <f t="shared" si="172"/>
        <v>7.0000000000000007E-2</v>
      </c>
      <c r="N55" s="77">
        <f t="shared" si="172"/>
        <v>7.0000000000000007E-2</v>
      </c>
    </row>
    <row r="56" spans="1:15" x14ac:dyDescent="0.25">
      <c r="A56" s="42" t="s">
        <v>137</v>
      </c>
      <c r="B56" s="45">
        <f>Historicals!B223</f>
        <v>0.47</v>
      </c>
      <c r="C56" s="45">
        <f>Historicals!C223</f>
        <v>0.37</v>
      </c>
      <c r="D56" s="45">
        <f>Historicals!D223</f>
        <v>0.16</v>
      </c>
      <c r="E56" s="45">
        <f>Historicals!E223</f>
        <v>0.06</v>
      </c>
      <c r="F56" s="45">
        <f>Historicals!F223</f>
        <v>0.12</v>
      </c>
      <c r="G56" s="45">
        <f>Historicals!G223</f>
        <v>-0.03</v>
      </c>
      <c r="H56" s="45">
        <f>Historicals!H223</f>
        <v>0.13</v>
      </c>
      <c r="I56" s="45">
        <f>Historicals!I223</f>
        <v>0.09</v>
      </c>
      <c r="J56" s="29">
        <v>7.0000000000000007E-2</v>
      </c>
      <c r="K56" s="29">
        <v>7.0000000000000007E-2</v>
      </c>
      <c r="L56" s="29">
        <v>7.0000000000000007E-2</v>
      </c>
      <c r="M56" s="29">
        <v>7.0000000000000007E-2</v>
      </c>
      <c r="N56" s="29">
        <v>7.0000000000000007E-2</v>
      </c>
      <c r="O56" t="s">
        <v>211</v>
      </c>
    </row>
    <row r="57" spans="1:15" x14ac:dyDescent="0.25">
      <c r="A57" s="42" t="s">
        <v>138</v>
      </c>
      <c r="B57" s="45" t="str">
        <f t="shared" ref="B57:H57" si="173">+IFERROR(B55-B56,"nm")</f>
        <v>nm</v>
      </c>
      <c r="C57" s="45">
        <f t="shared" si="173"/>
        <v>-0.33512864129279174</v>
      </c>
      <c r="D57" s="45">
        <f t="shared" si="173"/>
        <v>-9.3223751797822135E-2</v>
      </c>
      <c r="E57" s="45">
        <f t="shared" si="173"/>
        <v>7.1548536209553204E-2</v>
      </c>
      <c r="F57" s="45">
        <f t="shared" si="173"/>
        <v>-4.8851063829787322E-2</v>
      </c>
      <c r="G57" s="45">
        <f t="shared" si="173"/>
        <v>-3.3721595423486433E-2</v>
      </c>
      <c r="H57" s="45">
        <f t="shared" si="173"/>
        <v>5.2959945689070032E-2</v>
      </c>
      <c r="I57" s="45">
        <f>+IFERROR(I55-I56,"nm")</f>
        <v>-3.0028694404591022E-2</v>
      </c>
      <c r="J57" s="29">
        <v>0</v>
      </c>
      <c r="K57" s="29">
        <v>0</v>
      </c>
      <c r="L57" s="29">
        <v>0</v>
      </c>
      <c r="M57" s="29">
        <v>0</v>
      </c>
      <c r="N57" s="29">
        <v>0</v>
      </c>
    </row>
    <row r="58" spans="1:15" x14ac:dyDescent="0.25">
      <c r="A58" s="43" t="s">
        <v>114</v>
      </c>
      <c r="B58" s="3">
        <f>Historicals!B132+Historicals!B136</f>
        <v>2051</v>
      </c>
      <c r="C58" s="3">
        <f>Historicals!C132+Historicals!C136</f>
        <v>2091</v>
      </c>
      <c r="D58" s="3">
        <f>Historicals!D120</f>
        <v>2395</v>
      </c>
      <c r="E58" s="3">
        <f>Historicals!E120</f>
        <v>2940</v>
      </c>
      <c r="F58" s="3">
        <f>Historicals!F120</f>
        <v>3087</v>
      </c>
      <c r="G58" s="3">
        <f>Historicals!G120</f>
        <v>3053</v>
      </c>
      <c r="H58" s="3">
        <f>Historicals!H120</f>
        <v>3996</v>
      </c>
      <c r="I58" s="3">
        <f>Historicals!I120</f>
        <v>4527</v>
      </c>
      <c r="J58" s="117">
        <f>I58*(1+J59)</f>
        <v>4843.8900000000003</v>
      </c>
      <c r="K58" s="117">
        <f t="shared" ref="K58:N58" si="174">J58*(1+K59)</f>
        <v>5182.9623000000011</v>
      </c>
      <c r="L58" s="117">
        <f t="shared" si="174"/>
        <v>5545.7696610000012</v>
      </c>
      <c r="M58" s="117">
        <f t="shared" si="174"/>
        <v>5933.9735372700015</v>
      </c>
      <c r="N58" s="117">
        <f t="shared" si="174"/>
        <v>6349.3516848789022</v>
      </c>
    </row>
    <row r="59" spans="1:15" x14ac:dyDescent="0.25">
      <c r="A59" s="42" t="s">
        <v>129</v>
      </c>
      <c r="B59" s="45" t="str">
        <f t="shared" ref="B59:H59" si="175">+IFERROR(B58/A58-1,"nm")</f>
        <v>nm</v>
      </c>
      <c r="C59" s="45">
        <f t="shared" si="175"/>
        <v>1.9502681618722484E-2</v>
      </c>
      <c r="D59" s="45">
        <f t="shared" si="175"/>
        <v>0.14538498326159721</v>
      </c>
      <c r="E59" s="45">
        <f t="shared" si="175"/>
        <v>0.22755741127348639</v>
      </c>
      <c r="F59" s="45">
        <f t="shared" si="175"/>
        <v>5.0000000000000044E-2</v>
      </c>
      <c r="G59" s="45">
        <f t="shared" si="175"/>
        <v>-1.1013929381276322E-2</v>
      </c>
      <c r="H59" s="45">
        <f t="shared" si="175"/>
        <v>0.30887651490337364</v>
      </c>
      <c r="I59" s="45">
        <f>+IFERROR(I58/H58-1,"nm")</f>
        <v>0.13288288288288297</v>
      </c>
      <c r="J59" s="77">
        <f>J60+J61</f>
        <v>7.0000000000000007E-2</v>
      </c>
      <c r="K59" s="77">
        <f t="shared" ref="K59:N59" si="176">K60+K61</f>
        <v>7.0000000000000007E-2</v>
      </c>
      <c r="L59" s="77">
        <f t="shared" si="176"/>
        <v>7.0000000000000007E-2</v>
      </c>
      <c r="M59" s="77">
        <f t="shared" si="176"/>
        <v>7.0000000000000007E-2</v>
      </c>
      <c r="N59" s="77">
        <f t="shared" si="176"/>
        <v>7.0000000000000007E-2</v>
      </c>
    </row>
    <row r="60" spans="1:15" x14ac:dyDescent="0.25">
      <c r="A60" s="42" t="s">
        <v>137</v>
      </c>
      <c r="B60" s="45">
        <f>Historicals!B224</f>
        <v>0.19</v>
      </c>
      <c r="C60" s="45">
        <f>Historicals!C224</f>
        <v>0.25</v>
      </c>
      <c r="D60" s="45">
        <f>Historicals!D224</f>
        <v>0.25</v>
      </c>
      <c r="E60" s="45">
        <f>Historicals!E224</f>
        <v>0.16</v>
      </c>
      <c r="F60" s="45">
        <f>Historicals!F224</f>
        <v>0.09</v>
      </c>
      <c r="G60" s="45">
        <f>Historicals!G224</f>
        <v>0.02</v>
      </c>
      <c r="H60" s="45">
        <f>Historicals!H224</f>
        <v>0.25</v>
      </c>
      <c r="I60" s="45">
        <f>Historicals!I224</f>
        <v>0.16</v>
      </c>
      <c r="J60" s="29">
        <v>7.0000000000000007E-2</v>
      </c>
      <c r="K60" s="29">
        <v>7.0000000000000007E-2</v>
      </c>
      <c r="L60" s="29">
        <v>7.0000000000000007E-2</v>
      </c>
      <c r="M60" s="29">
        <v>7.0000000000000007E-2</v>
      </c>
      <c r="N60" s="29">
        <v>7.0000000000000007E-2</v>
      </c>
      <c r="O60" t="s">
        <v>211</v>
      </c>
    </row>
    <row r="61" spans="1:15" x14ac:dyDescent="0.25">
      <c r="A61" s="42" t="s">
        <v>138</v>
      </c>
      <c r="B61" s="45" t="str">
        <f t="shared" ref="B61:H61" si="177">+IFERROR(B59-B60,"nm")</f>
        <v>nm</v>
      </c>
      <c r="C61" s="45">
        <f t="shared" si="177"/>
        <v>-0.23049731838127752</v>
      </c>
      <c r="D61" s="45">
        <f t="shared" si="177"/>
        <v>-0.10461501673840279</v>
      </c>
      <c r="E61" s="45">
        <f t="shared" si="177"/>
        <v>6.7557411273486384E-2</v>
      </c>
      <c r="F61" s="45">
        <f t="shared" si="177"/>
        <v>-3.9999999999999952E-2</v>
      </c>
      <c r="G61" s="45">
        <f t="shared" si="177"/>
        <v>-3.1013929381276322E-2</v>
      </c>
      <c r="H61" s="45">
        <f t="shared" si="177"/>
        <v>5.8876514903373645E-2</v>
      </c>
      <c r="I61" s="45">
        <f>+IFERROR(I59-I60,"nm")</f>
        <v>-2.7117117117117034E-2</v>
      </c>
      <c r="J61" s="29">
        <v>0</v>
      </c>
      <c r="K61" s="29">
        <v>0</v>
      </c>
      <c r="L61" s="29">
        <v>0</v>
      </c>
      <c r="M61" s="29">
        <v>0</v>
      </c>
      <c r="N61" s="29">
        <v>0</v>
      </c>
    </row>
    <row r="62" spans="1:15" x14ac:dyDescent="0.25">
      <c r="A62" s="43" t="s">
        <v>115</v>
      </c>
      <c r="B62" s="3">
        <f>Historicals!B133+Historicals!B137</f>
        <v>372</v>
      </c>
      <c r="C62" s="3">
        <f>Historicals!C133+Historicals!C137</f>
        <v>357</v>
      </c>
      <c r="D62" s="3">
        <f>Historicals!D121</f>
        <v>383</v>
      </c>
      <c r="E62" s="3">
        <f>Historicals!E121</f>
        <v>427</v>
      </c>
      <c r="F62" s="3">
        <f>Historicals!F121</f>
        <v>432</v>
      </c>
      <c r="G62" s="3">
        <f>Historicals!G121</f>
        <v>402</v>
      </c>
      <c r="H62" s="3">
        <f>Historicals!H121</f>
        <v>490</v>
      </c>
      <c r="I62" s="3">
        <f>Historicals!I121</f>
        <v>564</v>
      </c>
      <c r="J62" s="117">
        <f>I62*(1+J63)</f>
        <v>603.48</v>
      </c>
      <c r="K62" s="117">
        <f t="shared" ref="K62:N62" si="178">J62*(1+K63)</f>
        <v>645.72360000000003</v>
      </c>
      <c r="L62" s="117">
        <f t="shared" si="178"/>
        <v>690.92425200000002</v>
      </c>
      <c r="M62" s="117">
        <f t="shared" si="178"/>
        <v>739.28894964000006</v>
      </c>
      <c r="N62" s="117">
        <f t="shared" si="178"/>
        <v>791.03917611480006</v>
      </c>
    </row>
    <row r="63" spans="1:15" x14ac:dyDescent="0.25">
      <c r="A63" s="42" t="s">
        <v>129</v>
      </c>
      <c r="B63" s="45" t="str">
        <f t="shared" ref="B63:H63" si="179">+IFERROR(B62/A62-1,"nm")</f>
        <v>nm</v>
      </c>
      <c r="C63" s="45">
        <f t="shared" si="179"/>
        <v>-4.0322580645161255E-2</v>
      </c>
      <c r="D63" s="45">
        <f t="shared" si="179"/>
        <v>7.2829131652661028E-2</v>
      </c>
      <c r="E63" s="45">
        <f t="shared" si="179"/>
        <v>0.11488250652741505</v>
      </c>
      <c r="F63" s="45">
        <f t="shared" si="179"/>
        <v>1.1709601873536313E-2</v>
      </c>
      <c r="G63" s="45">
        <f t="shared" si="179"/>
        <v>-6.944444444444442E-2</v>
      </c>
      <c r="H63" s="45">
        <f t="shared" si="179"/>
        <v>0.21890547263681581</v>
      </c>
      <c r="I63" s="45">
        <f>+IFERROR(I62/H62-1,"nm")</f>
        <v>0.15102040816326534</v>
      </c>
      <c r="J63" s="77">
        <f>J64+J65</f>
        <v>7.0000000000000007E-2</v>
      </c>
      <c r="K63" s="77">
        <f t="shared" ref="K63:N63" si="180">K64+K65</f>
        <v>7.0000000000000007E-2</v>
      </c>
      <c r="L63" s="77">
        <f t="shared" si="180"/>
        <v>7.0000000000000007E-2</v>
      </c>
      <c r="M63" s="77">
        <f t="shared" si="180"/>
        <v>7.0000000000000007E-2</v>
      </c>
      <c r="N63" s="77">
        <f t="shared" si="180"/>
        <v>7.0000000000000007E-2</v>
      </c>
    </row>
    <row r="64" spans="1:15" x14ac:dyDescent="0.25">
      <c r="A64" s="42" t="s">
        <v>137</v>
      </c>
      <c r="B64" s="45">
        <f>Historicals!B225</f>
        <v>0.28999999999999998</v>
      </c>
      <c r="C64" s="45">
        <f>Historicals!C225</f>
        <v>0.15</v>
      </c>
      <c r="D64" s="45">
        <f>Historicals!D225</f>
        <v>0.13</v>
      </c>
      <c r="E64" s="45">
        <f>Historicals!E225</f>
        <v>0.06</v>
      </c>
      <c r="F64" s="45">
        <f>Historicals!F225</f>
        <v>0.05</v>
      </c>
      <c r="G64" s="45">
        <f>Historicals!G225</f>
        <v>-0.03</v>
      </c>
      <c r="H64" s="45">
        <f>Historicals!H225</f>
        <v>0.19</v>
      </c>
      <c r="I64" s="45">
        <f>Historicals!I225</f>
        <v>0.17</v>
      </c>
      <c r="J64" s="29">
        <v>7.0000000000000007E-2</v>
      </c>
      <c r="K64" s="29">
        <v>7.0000000000000007E-2</v>
      </c>
      <c r="L64" s="29">
        <v>7.0000000000000007E-2</v>
      </c>
      <c r="M64" s="29">
        <v>7.0000000000000007E-2</v>
      </c>
      <c r="N64" s="29">
        <v>7.0000000000000007E-2</v>
      </c>
      <c r="O64" t="s">
        <v>211</v>
      </c>
    </row>
    <row r="65" spans="1:15" x14ac:dyDescent="0.25">
      <c r="A65" s="42" t="s">
        <v>138</v>
      </c>
      <c r="B65" s="45" t="str">
        <f t="shared" ref="B65:H65" si="181">+IFERROR(B63-B64,"nm")</f>
        <v>nm</v>
      </c>
      <c r="C65" s="45">
        <f t="shared" si="181"/>
        <v>-0.19032258064516125</v>
      </c>
      <c r="D65" s="45">
        <f t="shared" si="181"/>
        <v>-5.7170868347338977E-2</v>
      </c>
      <c r="E65" s="45">
        <f t="shared" si="181"/>
        <v>5.4882506527415054E-2</v>
      </c>
      <c r="F65" s="45">
        <f t="shared" si="181"/>
        <v>-3.829039812646369E-2</v>
      </c>
      <c r="G65" s="45">
        <f t="shared" si="181"/>
        <v>-3.9444444444444421E-2</v>
      </c>
      <c r="H65" s="45">
        <f t="shared" si="181"/>
        <v>2.890547263681581E-2</v>
      </c>
      <c r="I65" s="45">
        <f>+IFERROR(I63-I64,"nm")</f>
        <v>-1.8979591836734672E-2</v>
      </c>
      <c r="J65" s="29">
        <v>0</v>
      </c>
      <c r="K65" s="29">
        <v>0</v>
      </c>
      <c r="L65" s="29">
        <v>0</v>
      </c>
      <c r="M65" s="29">
        <v>0</v>
      </c>
      <c r="N65" s="29">
        <v>0</v>
      </c>
    </row>
    <row r="66" spans="1:15" x14ac:dyDescent="0.25">
      <c r="A66" s="9" t="s">
        <v>130</v>
      </c>
      <c r="B66" s="46">
        <f t="shared" ref="B66:H66" si="182">+B73+B69</f>
        <v>1611</v>
      </c>
      <c r="C66" s="46">
        <f t="shared" si="182"/>
        <v>1872</v>
      </c>
      <c r="D66" s="46">
        <f t="shared" si="182"/>
        <v>1613</v>
      </c>
      <c r="E66" s="46">
        <f t="shared" si="182"/>
        <v>1703</v>
      </c>
      <c r="F66" s="46">
        <f t="shared" si="182"/>
        <v>2106</v>
      </c>
      <c r="G66" s="46">
        <f t="shared" si="182"/>
        <v>1673</v>
      </c>
      <c r="H66" s="46">
        <f t="shared" si="182"/>
        <v>2571</v>
      </c>
      <c r="I66" s="46">
        <f>+I73+I69</f>
        <v>3427</v>
      </c>
      <c r="J66" s="78">
        <f>I66-(0.13*I66)</f>
        <v>2981.49</v>
      </c>
      <c r="K66" s="78">
        <f t="shared" ref="K66:N66" si="183">J66-(0.13*J66)</f>
        <v>2593.8962999999999</v>
      </c>
      <c r="L66" s="78">
        <f t="shared" si="183"/>
        <v>2256.689781</v>
      </c>
      <c r="M66" s="78">
        <f t="shared" si="183"/>
        <v>1963.32010947</v>
      </c>
      <c r="N66" s="78">
        <f t="shared" si="183"/>
        <v>1708.0884952389001</v>
      </c>
    </row>
    <row r="67" spans="1:15" x14ac:dyDescent="0.25">
      <c r="A67" s="44" t="s">
        <v>129</v>
      </c>
      <c r="B67" s="45" t="str">
        <f t="shared" ref="B67:H67" si="184">+IFERROR(B66/A66-1,"nm")</f>
        <v>nm</v>
      </c>
      <c r="C67" s="45">
        <f t="shared" si="184"/>
        <v>0.16201117318435765</v>
      </c>
      <c r="D67" s="45">
        <f t="shared" si="184"/>
        <v>-0.13835470085470081</v>
      </c>
      <c r="E67" s="45">
        <f t="shared" si="184"/>
        <v>5.5796652200867936E-2</v>
      </c>
      <c r="F67" s="45">
        <f t="shared" si="184"/>
        <v>0.23664122137404586</v>
      </c>
      <c r="G67" s="45">
        <f t="shared" si="184"/>
        <v>-0.20560303893637222</v>
      </c>
      <c r="H67" s="45">
        <f t="shared" si="184"/>
        <v>0.53676031081888831</v>
      </c>
      <c r="I67" s="45">
        <f>+IFERROR(I66/H66-1,"nm")</f>
        <v>0.33294437961882539</v>
      </c>
      <c r="J67" s="45">
        <f t="shared" ref="J67:N67" si="185">+IFERROR(J66/I66-1,"nm")</f>
        <v>-0.13000000000000012</v>
      </c>
      <c r="K67" s="45">
        <f t="shared" si="185"/>
        <v>-0.13</v>
      </c>
      <c r="L67" s="45">
        <f t="shared" si="185"/>
        <v>-0.12999999999999989</v>
      </c>
      <c r="M67" s="45">
        <f t="shared" si="185"/>
        <v>-0.13</v>
      </c>
      <c r="N67" s="45">
        <f t="shared" si="185"/>
        <v>-0.13</v>
      </c>
    </row>
    <row r="68" spans="1:15" x14ac:dyDescent="0.25">
      <c r="A68" s="44" t="s">
        <v>131</v>
      </c>
      <c r="B68" s="45">
        <f>+IFERROR(B66/B$52,"nm")</f>
        <v>0.22607353353915241</v>
      </c>
      <c r="C68" s="45">
        <f t="shared" ref="C68:I68" si="186">+IFERROR(C66/C$52,"nm")</f>
        <v>0.25591250854408748</v>
      </c>
      <c r="D68" s="45">
        <f t="shared" si="186"/>
        <v>0.20238393977415309</v>
      </c>
      <c r="E68" s="45">
        <f t="shared" si="186"/>
        <v>0.18426747457260334</v>
      </c>
      <c r="F68" s="45">
        <f t="shared" si="186"/>
        <v>0.21463514064410924</v>
      </c>
      <c r="G68" s="45">
        <f t="shared" si="186"/>
        <v>0.17898791055953783</v>
      </c>
      <c r="H68" s="45">
        <f t="shared" si="186"/>
        <v>0.22442388268156424</v>
      </c>
      <c r="I68" s="45">
        <f t="shared" si="186"/>
        <v>0.27462136389133746</v>
      </c>
      <c r="J68" s="77">
        <f>I68</f>
        <v>0.27462136389133746</v>
      </c>
      <c r="K68" s="77">
        <f t="shared" ref="K68:N68" si="187">J68</f>
        <v>0.27462136389133746</v>
      </c>
      <c r="L68" s="77">
        <f t="shared" si="187"/>
        <v>0.27462136389133746</v>
      </c>
      <c r="M68" s="77">
        <f t="shared" si="187"/>
        <v>0.27462136389133746</v>
      </c>
      <c r="N68" s="77">
        <f t="shared" si="187"/>
        <v>0.27462136389133746</v>
      </c>
    </row>
    <row r="69" spans="1:15" x14ac:dyDescent="0.25">
      <c r="A69" s="9" t="s">
        <v>132</v>
      </c>
      <c r="B69" s="9">
        <f>Historicals!B206+Historicals!B207</f>
        <v>87</v>
      </c>
      <c r="C69" s="9">
        <f>Historicals!C203</f>
        <v>85</v>
      </c>
      <c r="D69" s="9">
        <f>Historicals!D203</f>
        <v>106</v>
      </c>
      <c r="E69" s="9">
        <f>Historicals!E203</f>
        <v>116</v>
      </c>
      <c r="F69" s="9">
        <f>Historicals!F203</f>
        <v>111</v>
      </c>
      <c r="G69" s="9">
        <f>Historicals!G203</f>
        <v>132</v>
      </c>
      <c r="H69" s="9">
        <f>Historicals!H203</f>
        <v>136</v>
      </c>
      <c r="I69" s="9">
        <f>Historicals!I203</f>
        <v>134</v>
      </c>
      <c r="J69" s="124">
        <f>I69-(0.13*I69)</f>
        <v>116.58</v>
      </c>
      <c r="K69" s="124">
        <f t="shared" ref="K69:N69" si="188">J69-(0.13*J69)</f>
        <v>101.4246</v>
      </c>
      <c r="L69" s="124">
        <f t="shared" si="188"/>
        <v>88.239401999999998</v>
      </c>
      <c r="M69" s="124">
        <f t="shared" si="188"/>
        <v>76.768279739999997</v>
      </c>
      <c r="N69" s="124">
        <f t="shared" si="188"/>
        <v>66.788403373799994</v>
      </c>
    </row>
    <row r="70" spans="1:15" x14ac:dyDescent="0.25">
      <c r="A70" s="44" t="s">
        <v>129</v>
      </c>
      <c r="B70" s="45" t="str">
        <f t="shared" ref="B70:H70" si="189">+IFERROR(B69/A69-1,"nm")</f>
        <v>nm</v>
      </c>
      <c r="C70" s="45">
        <f t="shared" si="189"/>
        <v>-2.2988505747126409E-2</v>
      </c>
      <c r="D70" s="45">
        <f t="shared" si="189"/>
        <v>0.24705882352941178</v>
      </c>
      <c r="E70" s="45">
        <f t="shared" si="189"/>
        <v>9.4339622641509413E-2</v>
      </c>
      <c r="F70" s="45">
        <f t="shared" si="189"/>
        <v>-4.31034482758621E-2</v>
      </c>
      <c r="G70" s="45">
        <f t="shared" si="189"/>
        <v>0.18918918918918926</v>
      </c>
      <c r="H70" s="45">
        <f t="shared" si="189"/>
        <v>3.0303030303030276E-2</v>
      </c>
      <c r="I70" s="45">
        <f>+IFERROR(I69/H69-1,"nm")</f>
        <v>-1.4705882352941124E-2</v>
      </c>
      <c r="J70" s="45">
        <f t="shared" ref="J70:N70" si="190">+IFERROR(J69/I69-1,"nm")</f>
        <v>-0.13</v>
      </c>
      <c r="K70" s="45">
        <f t="shared" si="190"/>
        <v>-0.13</v>
      </c>
      <c r="L70" s="45">
        <f t="shared" si="190"/>
        <v>-0.13</v>
      </c>
      <c r="M70" s="45">
        <f t="shared" si="190"/>
        <v>-0.13</v>
      </c>
      <c r="N70" s="45">
        <f t="shared" si="190"/>
        <v>-0.13</v>
      </c>
    </row>
    <row r="71" spans="1:15" x14ac:dyDescent="0.25">
      <c r="A71" s="44" t="s">
        <v>133</v>
      </c>
      <c r="B71" s="45">
        <f>+IFERROR(B69/B$45,"nm")</f>
        <v>0.41826923076923078</v>
      </c>
      <c r="C71" s="45">
        <f t="shared" ref="C71:I71" si="191">+IFERROR(C69/C$45,"nm")</f>
        <v>0.3512396694214876</v>
      </c>
      <c r="D71" s="45">
        <f t="shared" si="191"/>
        <v>0.47533632286995514</v>
      </c>
      <c r="E71" s="45">
        <f t="shared" si="191"/>
        <v>0.59183673469387754</v>
      </c>
      <c r="F71" s="45">
        <f t="shared" si="191"/>
        <v>0.94871794871794868</v>
      </c>
      <c r="G71" s="45">
        <f t="shared" si="191"/>
        <v>1.2</v>
      </c>
      <c r="H71" s="45">
        <f t="shared" si="191"/>
        <v>1.3877551020408163</v>
      </c>
      <c r="I71" s="45">
        <f t="shared" si="191"/>
        <v>0.9178082191780822</v>
      </c>
      <c r="J71" s="77">
        <f>I71</f>
        <v>0.9178082191780822</v>
      </c>
      <c r="K71" s="77">
        <f t="shared" ref="K71:N71" si="192">J71</f>
        <v>0.9178082191780822</v>
      </c>
      <c r="L71" s="77">
        <f t="shared" si="192"/>
        <v>0.9178082191780822</v>
      </c>
      <c r="M71" s="77">
        <f t="shared" si="192"/>
        <v>0.9178082191780822</v>
      </c>
      <c r="N71" s="77">
        <f t="shared" si="192"/>
        <v>0.9178082191780822</v>
      </c>
    </row>
    <row r="72" spans="1:15" x14ac:dyDescent="0.25">
      <c r="A72" s="44" t="s">
        <v>140</v>
      </c>
      <c r="B72" s="45">
        <f>IFERROR(B69/B79,"nm")</f>
        <v>0.1746987951807229</v>
      </c>
      <c r="C72" s="45">
        <f t="shared" ref="C72:I72" si="193">IFERROR(C69/C79,"nm")</f>
        <v>0.13302034428794993</v>
      </c>
      <c r="D72" s="45">
        <f t="shared" si="193"/>
        <v>0.14950634696755993</v>
      </c>
      <c r="E72" s="45">
        <f t="shared" si="193"/>
        <v>0.13663133097762073</v>
      </c>
      <c r="F72" s="45">
        <f t="shared" si="193"/>
        <v>0.11948331539289558</v>
      </c>
      <c r="G72" s="45">
        <f t="shared" si="193"/>
        <v>0.14915254237288136</v>
      </c>
      <c r="H72" s="45">
        <f t="shared" si="193"/>
        <v>0.1384928716904277</v>
      </c>
      <c r="I72" s="45">
        <f t="shared" si="193"/>
        <v>0.14565217391304347</v>
      </c>
      <c r="J72" s="77">
        <f>I72</f>
        <v>0.14565217391304347</v>
      </c>
      <c r="K72" s="77">
        <f t="shared" ref="K72:N72" si="194">J72</f>
        <v>0.14565217391304347</v>
      </c>
      <c r="L72" s="77">
        <f t="shared" si="194"/>
        <v>0.14565217391304347</v>
      </c>
      <c r="M72" s="77">
        <f t="shared" si="194"/>
        <v>0.14565217391304347</v>
      </c>
      <c r="N72" s="77">
        <f t="shared" si="194"/>
        <v>0.14565217391304347</v>
      </c>
    </row>
    <row r="73" spans="1:15" s="54" customFormat="1" x14ac:dyDescent="0.25">
      <c r="A73" s="104" t="s">
        <v>134</v>
      </c>
      <c r="B73" s="104">
        <f>Historicals!B161+Historicals!B164</f>
        <v>1524</v>
      </c>
      <c r="C73" s="104">
        <f>Historicals!C158</f>
        <v>1787</v>
      </c>
      <c r="D73" s="104">
        <f>Historicals!D158</f>
        <v>1507</v>
      </c>
      <c r="E73" s="104">
        <f>Historicals!E158</f>
        <v>1587</v>
      </c>
      <c r="F73" s="104">
        <f>Historicals!F158</f>
        <v>1995</v>
      </c>
      <c r="G73" s="104">
        <f>Historicals!G158</f>
        <v>1541</v>
      </c>
      <c r="H73" s="104">
        <f>Historicals!H158</f>
        <v>2435</v>
      </c>
      <c r="I73" s="104">
        <f>Historicals!I158</f>
        <v>3293</v>
      </c>
      <c r="J73" s="122">
        <f>J66-J69</f>
        <v>2864.91</v>
      </c>
      <c r="K73" s="122">
        <f t="shared" ref="K73:N73" si="195">K66-K69</f>
        <v>2492.4717000000001</v>
      </c>
      <c r="L73" s="122">
        <f t="shared" si="195"/>
        <v>2168.4503789999999</v>
      </c>
      <c r="M73" s="122">
        <f t="shared" si="195"/>
        <v>1886.55182973</v>
      </c>
      <c r="N73" s="122">
        <f t="shared" si="195"/>
        <v>1641.3000918651001</v>
      </c>
      <c r="O73" s="54" t="s">
        <v>206</v>
      </c>
    </row>
    <row r="74" spans="1:15" x14ac:dyDescent="0.25">
      <c r="A74" s="44" t="s">
        <v>129</v>
      </c>
      <c r="B74" s="45" t="str">
        <f t="shared" ref="B74:H74" si="196">+IFERROR(B73/A73-1,"nm")</f>
        <v>nm</v>
      </c>
      <c r="C74" s="45">
        <f t="shared" si="196"/>
        <v>0.17257217847769035</v>
      </c>
      <c r="D74" s="45">
        <f t="shared" si="196"/>
        <v>-0.15668718522663683</v>
      </c>
      <c r="E74" s="45">
        <f t="shared" si="196"/>
        <v>5.3085600530855981E-2</v>
      </c>
      <c r="F74" s="45">
        <f t="shared" si="196"/>
        <v>0.25708884688090738</v>
      </c>
      <c r="G74" s="45">
        <f t="shared" si="196"/>
        <v>-0.22756892230576442</v>
      </c>
      <c r="H74" s="45">
        <f t="shared" si="196"/>
        <v>0.58014276443867629</v>
      </c>
      <c r="I74" s="45">
        <f>+IFERROR(I73/H73-1,"nm")</f>
        <v>0.3523613963039014</v>
      </c>
      <c r="J74" s="45">
        <f t="shared" ref="J74:N74" si="197">+IFERROR(J73/I73-1,"nm")</f>
        <v>-0.13</v>
      </c>
      <c r="K74" s="45">
        <f t="shared" si="197"/>
        <v>-0.12999999999999989</v>
      </c>
      <c r="L74" s="45">
        <f t="shared" si="197"/>
        <v>-0.13000000000000012</v>
      </c>
      <c r="M74" s="45">
        <f t="shared" si="197"/>
        <v>-0.13</v>
      </c>
      <c r="N74" s="45">
        <f t="shared" si="197"/>
        <v>-0.13</v>
      </c>
    </row>
    <row r="75" spans="1:15" x14ac:dyDescent="0.25">
      <c r="A75" s="44" t="s">
        <v>131</v>
      </c>
      <c r="B75" s="45">
        <f>+IFERROR(B73/B$52,"nm")</f>
        <v>0.21386472074094864</v>
      </c>
      <c r="C75" s="45">
        <f t="shared" ref="C75:N75" si="198">+IFERROR(C73/C$52,"nm")</f>
        <v>0.24429254955570745</v>
      </c>
      <c r="D75" s="45">
        <f t="shared" si="198"/>
        <v>0.1890840652446675</v>
      </c>
      <c r="E75" s="45">
        <f t="shared" si="198"/>
        <v>0.17171607877082881</v>
      </c>
      <c r="F75" s="45">
        <f t="shared" si="198"/>
        <v>0.20332246229107215</v>
      </c>
      <c r="G75" s="45">
        <f t="shared" si="198"/>
        <v>0.16486573232053064</v>
      </c>
      <c r="H75" s="45">
        <f t="shared" si="198"/>
        <v>0.21255237430167598</v>
      </c>
      <c r="I75" s="45">
        <f t="shared" si="198"/>
        <v>0.26388332398429359</v>
      </c>
      <c r="J75" s="45">
        <f t="shared" si="198"/>
        <v>0.22957849186633544</v>
      </c>
      <c r="K75" s="45">
        <f t="shared" si="198"/>
        <v>0.18666662422776806</v>
      </c>
      <c r="L75" s="45">
        <f t="shared" si="198"/>
        <v>0.15177566642818524</v>
      </c>
      <c r="M75" s="45">
        <f t="shared" si="198"/>
        <v>0.12340638298366462</v>
      </c>
      <c r="N75" s="45">
        <f t="shared" si="198"/>
        <v>0.10033976934185815</v>
      </c>
    </row>
    <row r="76" spans="1:15" x14ac:dyDescent="0.25">
      <c r="A76" s="9" t="s">
        <v>135</v>
      </c>
      <c r="B76" s="9">
        <f>Historicals!B191+Historicals!B192</f>
        <v>236</v>
      </c>
      <c r="C76" s="9">
        <f>Historicals!C188</f>
        <v>234</v>
      </c>
      <c r="D76" s="9">
        <f>Historicals!D188</f>
        <v>173</v>
      </c>
      <c r="E76" s="9">
        <f>Historicals!E188</f>
        <v>240</v>
      </c>
      <c r="F76" s="9">
        <f>Historicals!F188</f>
        <v>233</v>
      </c>
      <c r="G76" s="9">
        <f>Historicals!G188</f>
        <v>139</v>
      </c>
      <c r="H76" s="9">
        <f>Historicals!H188</f>
        <v>153</v>
      </c>
      <c r="I76" s="9">
        <f>Historicals!I188</f>
        <v>197</v>
      </c>
      <c r="J76" s="79">
        <f>J52*J78</f>
        <v>196.99999999999997</v>
      </c>
      <c r="K76" s="79">
        <f t="shared" ref="K76:N76" si="199">K52*K78</f>
        <v>210.79</v>
      </c>
      <c r="L76" s="79">
        <f t="shared" si="199"/>
        <v>225.5453</v>
      </c>
      <c r="M76" s="79">
        <f t="shared" si="199"/>
        <v>241.33347100000003</v>
      </c>
      <c r="N76" s="79">
        <f t="shared" si="199"/>
        <v>258.22681397000002</v>
      </c>
    </row>
    <row r="77" spans="1:15" x14ac:dyDescent="0.25">
      <c r="A77" s="44" t="s">
        <v>129</v>
      </c>
      <c r="B77" s="45" t="str">
        <f t="shared" ref="B77:H77" si="200">+IFERROR(B76/A76-1,"nm")</f>
        <v>nm</v>
      </c>
      <c r="C77" s="45">
        <f t="shared" si="200"/>
        <v>-8.4745762711864181E-3</v>
      </c>
      <c r="D77" s="45">
        <f t="shared" si="200"/>
        <v>-0.26068376068376065</v>
      </c>
      <c r="E77" s="45">
        <f t="shared" si="200"/>
        <v>0.38728323699421963</v>
      </c>
      <c r="F77" s="45">
        <f t="shared" si="200"/>
        <v>-2.9166666666666674E-2</v>
      </c>
      <c r="G77" s="45">
        <f t="shared" si="200"/>
        <v>-0.40343347639484983</v>
      </c>
      <c r="H77" s="45">
        <f t="shared" si="200"/>
        <v>0.10071942446043169</v>
      </c>
      <c r="I77" s="45">
        <f>+IFERROR(I76/H76-1,"nm")</f>
        <v>0.28758169934640532</v>
      </c>
      <c r="J77" s="45">
        <f t="shared" ref="J77:N77" si="201">+IFERROR(J76/I76-1,"nm")</f>
        <v>-1.1102230246251565E-16</v>
      </c>
      <c r="K77" s="45">
        <f t="shared" si="201"/>
        <v>7.0000000000000062E-2</v>
      </c>
      <c r="L77" s="45">
        <f t="shared" si="201"/>
        <v>7.0000000000000062E-2</v>
      </c>
      <c r="M77" s="45">
        <f t="shared" si="201"/>
        <v>7.0000000000000062E-2</v>
      </c>
      <c r="N77" s="45">
        <f t="shared" si="201"/>
        <v>7.0000000000000062E-2</v>
      </c>
    </row>
    <row r="78" spans="1:15" x14ac:dyDescent="0.25">
      <c r="A78" s="44" t="s">
        <v>133</v>
      </c>
      <c r="B78" s="45">
        <f>+IFERROR(B76/B$52,"nm")</f>
        <v>3.3118158854897557E-2</v>
      </c>
      <c r="C78" s="45">
        <f t="shared" ref="C78:I78" si="202">+IFERROR(C76/C$52,"nm")</f>
        <v>3.1989063568010935E-2</v>
      </c>
      <c r="D78" s="45">
        <f t="shared" si="202"/>
        <v>2.1706398996235884E-2</v>
      </c>
      <c r="E78" s="45">
        <f t="shared" si="202"/>
        <v>2.5968405107119671E-2</v>
      </c>
      <c r="F78" s="45">
        <f t="shared" si="202"/>
        <v>2.3746432939258051E-2</v>
      </c>
      <c r="G78" s="45">
        <f t="shared" si="202"/>
        <v>1.4871081630469669E-2</v>
      </c>
      <c r="H78" s="45">
        <f t="shared" si="202"/>
        <v>1.3355446927374302E-2</v>
      </c>
      <c r="I78" s="45">
        <f t="shared" si="202"/>
        <v>1.5786521355877874E-2</v>
      </c>
      <c r="J78" s="77">
        <f>I78</f>
        <v>1.5786521355877874E-2</v>
      </c>
      <c r="K78" s="77">
        <f t="shared" ref="K78:N78" si="203">J78</f>
        <v>1.5786521355877874E-2</v>
      </c>
      <c r="L78" s="77">
        <f t="shared" si="203"/>
        <v>1.5786521355877874E-2</v>
      </c>
      <c r="M78" s="77">
        <f t="shared" si="203"/>
        <v>1.5786521355877874E-2</v>
      </c>
      <c r="N78" s="77">
        <f t="shared" si="203"/>
        <v>1.5786521355877874E-2</v>
      </c>
    </row>
    <row r="79" spans="1:15" x14ac:dyDescent="0.25">
      <c r="A79" s="55" t="s">
        <v>141</v>
      </c>
      <c r="B79" s="60">
        <f>Historicals!B176+Historicals!B177</f>
        <v>498</v>
      </c>
      <c r="C79" s="60">
        <f>Historicals!C176+Historicals!C177</f>
        <v>639</v>
      </c>
      <c r="D79" s="60">
        <f>Historicals!D173</f>
        <v>709</v>
      </c>
      <c r="E79" s="60">
        <f>Historicals!E173</f>
        <v>849</v>
      </c>
      <c r="F79" s="60">
        <f>Historicals!F173</f>
        <v>929</v>
      </c>
      <c r="G79" s="60">
        <f>Historicals!G173</f>
        <v>885</v>
      </c>
      <c r="H79" s="60">
        <f>Historicals!H173</f>
        <v>982</v>
      </c>
      <c r="I79" s="60">
        <f>Historicals!I173</f>
        <v>920</v>
      </c>
      <c r="J79" s="79">
        <f>J52*J81</f>
        <v>920.00000000000011</v>
      </c>
      <c r="K79" s="79">
        <f t="shared" ref="K79:N79" si="204">K52*K81</f>
        <v>984.40000000000009</v>
      </c>
      <c r="L79" s="79">
        <f t="shared" si="204"/>
        <v>1053.3080000000002</v>
      </c>
      <c r="M79" s="79">
        <f t="shared" si="204"/>
        <v>1127.0395600000004</v>
      </c>
      <c r="N79" s="79">
        <f t="shared" si="204"/>
        <v>1205.9323292000004</v>
      </c>
    </row>
    <row r="80" spans="1:15" x14ac:dyDescent="0.25">
      <c r="A80" s="44" t="s">
        <v>129</v>
      </c>
      <c r="B80" s="69" t="str">
        <f>IFERROR(B79/A79-1,"nm")</f>
        <v>nm</v>
      </c>
      <c r="C80" s="69">
        <f t="shared" ref="C80:I80" si="205">IFERROR(C79/B79-1,"nm")</f>
        <v>0.2831325301204819</v>
      </c>
      <c r="D80" s="69">
        <f t="shared" si="205"/>
        <v>0.10954616588419408</v>
      </c>
      <c r="E80" s="69">
        <f t="shared" si="205"/>
        <v>0.19746121297602248</v>
      </c>
      <c r="F80" s="69">
        <f t="shared" si="205"/>
        <v>9.4228504122497059E-2</v>
      </c>
      <c r="G80" s="69">
        <f t="shared" si="205"/>
        <v>-4.7362755651237931E-2</v>
      </c>
      <c r="H80" s="69">
        <f t="shared" si="205"/>
        <v>0.1096045197740112</v>
      </c>
      <c r="I80" s="69">
        <f t="shared" si="205"/>
        <v>-6.313645621181263E-2</v>
      </c>
      <c r="J80" s="69">
        <f t="shared" ref="J80" si="206">IFERROR(J79/I79-1,"nm")</f>
        <v>2.2204460492503131E-16</v>
      </c>
      <c r="K80" s="69">
        <f t="shared" ref="K80" si="207">IFERROR(K79/J79-1,"nm")</f>
        <v>7.0000000000000062E-2</v>
      </c>
      <c r="L80" s="69">
        <f t="shared" ref="L80" si="208">IFERROR(L79/K79-1,"nm")</f>
        <v>7.0000000000000062E-2</v>
      </c>
      <c r="M80" s="69">
        <f t="shared" ref="M80" si="209">IFERROR(M79/L79-1,"nm")</f>
        <v>7.0000000000000062E-2</v>
      </c>
      <c r="N80" s="69">
        <f t="shared" ref="N80" si="210">IFERROR(N79/M79-1,"nm")</f>
        <v>7.0000000000000062E-2</v>
      </c>
    </row>
    <row r="81" spans="1:15" x14ac:dyDescent="0.25">
      <c r="A81" s="44" t="s">
        <v>155</v>
      </c>
      <c r="B81" s="69">
        <f>IFERROR(B79/B$52,"nm")</f>
        <v>6.9884928431097393E-2</v>
      </c>
      <c r="C81" s="69">
        <f t="shared" ref="C81:I81" si="211">IFERROR(C79/C$52,"nm")</f>
        <v>8.7354750512645254E-2</v>
      </c>
      <c r="D81" s="69">
        <f t="shared" si="211"/>
        <v>8.8958594730238399E-2</v>
      </c>
      <c r="E81" s="69">
        <f t="shared" si="211"/>
        <v>9.1863233066435832E-2</v>
      </c>
      <c r="F81" s="69">
        <f t="shared" si="211"/>
        <v>9.4679983693436609E-2</v>
      </c>
      <c r="G81" s="69">
        <f t="shared" si="211"/>
        <v>9.4682785920616241E-2</v>
      </c>
      <c r="H81" s="69">
        <f t="shared" si="211"/>
        <v>8.5719273743016758E-2</v>
      </c>
      <c r="I81" s="69">
        <f t="shared" si="211"/>
        <v>7.37238560782114E-2</v>
      </c>
      <c r="J81" s="77">
        <f>I81</f>
        <v>7.37238560782114E-2</v>
      </c>
      <c r="K81" s="77">
        <f t="shared" ref="K81:N81" si="212">J81</f>
        <v>7.37238560782114E-2</v>
      </c>
      <c r="L81" s="77">
        <f t="shared" si="212"/>
        <v>7.37238560782114E-2</v>
      </c>
      <c r="M81" s="77">
        <f t="shared" si="212"/>
        <v>7.37238560782114E-2</v>
      </c>
      <c r="N81" s="77">
        <f t="shared" si="212"/>
        <v>7.37238560782114E-2</v>
      </c>
    </row>
    <row r="82" spans="1:15" x14ac:dyDescent="0.25">
      <c r="A82" s="41" t="s">
        <v>102</v>
      </c>
      <c r="B82" s="41"/>
      <c r="C82" s="41"/>
      <c r="D82" s="41"/>
      <c r="E82" s="41"/>
      <c r="F82" s="41"/>
      <c r="G82" s="41"/>
      <c r="H82" s="41"/>
      <c r="I82" s="41"/>
      <c r="J82" s="37"/>
      <c r="K82" s="37"/>
      <c r="L82" s="37"/>
      <c r="M82" s="37"/>
      <c r="N82" s="37"/>
    </row>
    <row r="83" spans="1:15" x14ac:dyDescent="0.25">
      <c r="A83" s="9" t="s">
        <v>136</v>
      </c>
      <c r="B83" s="9">
        <f>Historicals!B122</f>
        <v>3067</v>
      </c>
      <c r="C83" s="9">
        <f>Historicals!C122</f>
        <v>3785</v>
      </c>
      <c r="D83" s="9">
        <f>Historicals!D122</f>
        <v>4237</v>
      </c>
      <c r="E83" s="9">
        <f>Historicals!E122</f>
        <v>5134</v>
      </c>
      <c r="F83" s="9">
        <f>Historicals!F122</f>
        <v>6208</v>
      </c>
      <c r="G83" s="9">
        <f>Historicals!G122</f>
        <v>6679</v>
      </c>
      <c r="H83" s="9">
        <f>Historicals!H122</f>
        <v>8290</v>
      </c>
      <c r="I83" s="9">
        <f>Historicals!I122</f>
        <v>7547</v>
      </c>
      <c r="J83" s="9">
        <f>J85+J89+J93</f>
        <v>9433.75</v>
      </c>
      <c r="K83" s="9">
        <f t="shared" ref="K83:N83" si="213">K85+K89+K93</f>
        <v>11792.1875</v>
      </c>
      <c r="L83" s="9">
        <f t="shared" si="213"/>
        <v>14740.234375</v>
      </c>
      <c r="M83" s="9">
        <f t="shared" si="213"/>
        <v>18425.29296875</v>
      </c>
      <c r="N83" s="9">
        <f t="shared" si="213"/>
        <v>23031.6162109375</v>
      </c>
    </row>
    <row r="84" spans="1:15" x14ac:dyDescent="0.25">
      <c r="A84" s="42" t="s">
        <v>129</v>
      </c>
      <c r="B84" s="45" t="str">
        <f t="shared" ref="B84:H84" si="214">+IFERROR(B83/A83-1,"nm")</f>
        <v>nm</v>
      </c>
      <c r="C84" s="45">
        <f t="shared" si="214"/>
        <v>0.23410498858819695</v>
      </c>
      <c r="D84" s="45">
        <f t="shared" si="214"/>
        <v>0.11941875825627468</v>
      </c>
      <c r="E84" s="45">
        <f t="shared" si="214"/>
        <v>0.21170639603493036</v>
      </c>
      <c r="F84" s="45">
        <f t="shared" si="214"/>
        <v>0.20919361121932223</v>
      </c>
      <c r="G84" s="45">
        <f t="shared" si="214"/>
        <v>7.5869845360824639E-2</v>
      </c>
      <c r="H84" s="45">
        <f t="shared" si="214"/>
        <v>0.24120377301991325</v>
      </c>
      <c r="I84" s="45">
        <f>+IFERROR(I83/H83-1,"nm")</f>
        <v>-8.9626055488540413E-2</v>
      </c>
      <c r="J84" s="45">
        <f t="shared" ref="J84:N84" si="215">+IFERROR(J83/I83-1,"nm")</f>
        <v>0.25</v>
      </c>
      <c r="K84" s="45">
        <f t="shared" si="215"/>
        <v>0.25</v>
      </c>
      <c r="L84" s="45">
        <f t="shared" si="215"/>
        <v>0.25</v>
      </c>
      <c r="M84" s="45">
        <f t="shared" si="215"/>
        <v>0.25</v>
      </c>
      <c r="N84" s="45">
        <f t="shared" si="215"/>
        <v>0.25</v>
      </c>
      <c r="O84" t="s">
        <v>212</v>
      </c>
    </row>
    <row r="85" spans="1:15" x14ac:dyDescent="0.25">
      <c r="A85" s="43" t="s">
        <v>113</v>
      </c>
      <c r="B85" s="3">
        <f>Historicals!B123</f>
        <v>2016</v>
      </c>
      <c r="C85" s="3">
        <f>Historicals!C123</f>
        <v>2599</v>
      </c>
      <c r="D85" s="3">
        <f>Historicals!D123</f>
        <v>2920</v>
      </c>
      <c r="E85" s="3">
        <f>Historicals!E123</f>
        <v>3496</v>
      </c>
      <c r="F85" s="3">
        <f>Historicals!F123</f>
        <v>4262</v>
      </c>
      <c r="G85" s="3">
        <f>Historicals!G123</f>
        <v>4635</v>
      </c>
      <c r="H85" s="3">
        <f>Historicals!H123</f>
        <v>5748</v>
      </c>
      <c r="I85" s="3">
        <f>Historicals!I123</f>
        <v>5416</v>
      </c>
      <c r="J85" s="117">
        <f>I85*(1+J86)</f>
        <v>6770</v>
      </c>
      <c r="K85" s="117">
        <f t="shared" ref="K85:N85" si="216">J85*(1+K86)</f>
        <v>8462.5</v>
      </c>
      <c r="L85" s="117">
        <f t="shared" si="216"/>
        <v>10578.125</v>
      </c>
      <c r="M85" s="117">
        <f t="shared" si="216"/>
        <v>13222.65625</v>
      </c>
      <c r="N85" s="117">
        <f t="shared" si="216"/>
        <v>16528.3203125</v>
      </c>
    </row>
    <row r="86" spans="1:15" x14ac:dyDescent="0.25">
      <c r="A86" s="42" t="s">
        <v>129</v>
      </c>
      <c r="B86" s="45" t="str">
        <f t="shared" ref="B86:H86" si="217">+IFERROR(B85/A85-1,"nm")</f>
        <v>nm</v>
      </c>
      <c r="C86" s="45">
        <f t="shared" si="217"/>
        <v>0.28918650793650791</v>
      </c>
      <c r="D86" s="45">
        <f t="shared" si="217"/>
        <v>0.12350904193920731</v>
      </c>
      <c r="E86" s="45">
        <f t="shared" si="217"/>
        <v>0.19726027397260282</v>
      </c>
      <c r="F86" s="45">
        <f t="shared" si="217"/>
        <v>0.21910755148741412</v>
      </c>
      <c r="G86" s="45">
        <f t="shared" si="217"/>
        <v>8.7517597372125833E-2</v>
      </c>
      <c r="H86" s="45">
        <f t="shared" si="217"/>
        <v>0.24012944983818763</v>
      </c>
      <c r="I86" s="45">
        <f>+IFERROR(I85/H85-1,"nm")</f>
        <v>-5.7759220598469052E-2</v>
      </c>
      <c r="J86" s="76">
        <f>J87+J88</f>
        <v>0.25</v>
      </c>
      <c r="K86" s="76">
        <f t="shared" ref="K86:N86" si="218">K87+K88</f>
        <v>0.25</v>
      </c>
      <c r="L86" s="76">
        <f t="shared" si="218"/>
        <v>0.25</v>
      </c>
      <c r="M86" s="76">
        <f t="shared" si="218"/>
        <v>0.25</v>
      </c>
      <c r="N86" s="76">
        <f t="shared" si="218"/>
        <v>0.25</v>
      </c>
    </row>
    <row r="87" spans="1:15" x14ac:dyDescent="0.25">
      <c r="A87" s="42" t="s">
        <v>137</v>
      </c>
      <c r="B87" s="45">
        <f>Historicals!B227</f>
        <v>0.28000000000000003</v>
      </c>
      <c r="C87" s="45">
        <f>Historicals!C227</f>
        <v>0.33</v>
      </c>
      <c r="D87" s="45">
        <f>Historicals!D227</f>
        <v>0.18</v>
      </c>
      <c r="E87" s="45">
        <f>Historicals!E227</f>
        <v>0.16</v>
      </c>
      <c r="F87" s="45">
        <f>Historicals!F227</f>
        <v>0.25</v>
      </c>
      <c r="G87" s="45">
        <f>Historicals!G227</f>
        <v>0.12</v>
      </c>
      <c r="H87" s="45">
        <f>Historicals!H227</f>
        <v>0.19</v>
      </c>
      <c r="I87" s="45">
        <f>Historicals!I227</f>
        <v>-0.1</v>
      </c>
      <c r="J87" s="29">
        <v>0.25</v>
      </c>
      <c r="K87" s="29">
        <v>0.25</v>
      </c>
      <c r="L87" s="29">
        <v>0.25</v>
      </c>
      <c r="M87" s="29">
        <v>0.25</v>
      </c>
      <c r="N87" s="29">
        <v>0.25</v>
      </c>
      <c r="O87" t="s">
        <v>212</v>
      </c>
    </row>
    <row r="88" spans="1:15" x14ac:dyDescent="0.25">
      <c r="A88" s="42" t="s">
        <v>138</v>
      </c>
      <c r="B88" s="45" t="str">
        <f t="shared" ref="B88:H88" si="219">+IFERROR(B86-B87,"nm")</f>
        <v>nm</v>
      </c>
      <c r="C88" s="45">
        <f t="shared" si="219"/>
        <v>-4.0813492063492107E-2</v>
      </c>
      <c r="D88" s="45">
        <f t="shared" si="219"/>
        <v>-5.6490958060792684E-2</v>
      </c>
      <c r="E88" s="45">
        <f t="shared" si="219"/>
        <v>3.7260273972602814E-2</v>
      </c>
      <c r="F88" s="45">
        <f t="shared" si="219"/>
        <v>-3.0892448512585879E-2</v>
      </c>
      <c r="G88" s="45">
        <f t="shared" si="219"/>
        <v>-3.2482402627874163E-2</v>
      </c>
      <c r="H88" s="45">
        <f t="shared" si="219"/>
        <v>5.0129449838187623E-2</v>
      </c>
      <c r="I88" s="45">
        <f>+IFERROR(I86-I87,"nm")</f>
        <v>4.2240779401530953E-2</v>
      </c>
      <c r="J88" s="29">
        <v>0</v>
      </c>
      <c r="K88" s="29">
        <v>0</v>
      </c>
      <c r="L88" s="29">
        <v>0</v>
      </c>
      <c r="M88" s="29">
        <v>0</v>
      </c>
      <c r="N88" s="29">
        <v>0</v>
      </c>
    </row>
    <row r="89" spans="1:15" x14ac:dyDescent="0.25">
      <c r="A89" s="43" t="s">
        <v>114</v>
      </c>
      <c r="B89" s="3">
        <f>Historicals!B124</f>
        <v>925</v>
      </c>
      <c r="C89" s="3">
        <f>Historicals!C124</f>
        <v>1055</v>
      </c>
      <c r="D89" s="3">
        <f>Historicals!D124</f>
        <v>1188</v>
      </c>
      <c r="E89" s="3">
        <f>Historicals!E124</f>
        <v>1508</v>
      </c>
      <c r="F89" s="3">
        <f>Historicals!F124</f>
        <v>1808</v>
      </c>
      <c r="G89" s="3">
        <f>Historicals!G124</f>
        <v>1896</v>
      </c>
      <c r="H89" s="3">
        <f>Historicals!H124</f>
        <v>2347</v>
      </c>
      <c r="I89" s="3">
        <f>Historicals!I124</f>
        <v>1938</v>
      </c>
      <c r="J89" s="117">
        <f>I89*(1+J90)</f>
        <v>2422.5</v>
      </c>
      <c r="K89" s="117">
        <f t="shared" ref="K89:N89" si="220">J89*(1+K90)</f>
        <v>3028.125</v>
      </c>
      <c r="L89" s="117">
        <f t="shared" si="220"/>
        <v>3785.15625</v>
      </c>
      <c r="M89" s="117">
        <f t="shared" si="220"/>
        <v>4731.4453125</v>
      </c>
      <c r="N89" s="117">
        <f t="shared" si="220"/>
        <v>5914.306640625</v>
      </c>
    </row>
    <row r="90" spans="1:15" x14ac:dyDescent="0.25">
      <c r="A90" s="42" t="s">
        <v>129</v>
      </c>
      <c r="B90" s="45" t="str">
        <f t="shared" ref="B90:H90" si="221">+IFERROR(B89/A89-1,"nm")</f>
        <v>nm</v>
      </c>
      <c r="C90" s="45">
        <f t="shared" si="221"/>
        <v>0.14054054054054044</v>
      </c>
      <c r="D90" s="45">
        <f t="shared" si="221"/>
        <v>0.12606635071090055</v>
      </c>
      <c r="E90" s="45">
        <f t="shared" si="221"/>
        <v>0.26936026936026947</v>
      </c>
      <c r="F90" s="45">
        <f t="shared" si="221"/>
        <v>0.19893899204244025</v>
      </c>
      <c r="G90" s="45">
        <f t="shared" si="221"/>
        <v>4.8672566371681381E-2</v>
      </c>
      <c r="H90" s="45">
        <f t="shared" si="221"/>
        <v>0.2378691983122363</v>
      </c>
      <c r="I90" s="45">
        <f>+IFERROR(I89/H89-1,"nm")</f>
        <v>-0.17426501917341286</v>
      </c>
      <c r="J90" s="77">
        <f>J91+J92</f>
        <v>0.25</v>
      </c>
      <c r="K90" s="77">
        <f t="shared" ref="K90:N90" si="222">K91+K92</f>
        <v>0.25</v>
      </c>
      <c r="L90" s="77">
        <f t="shared" si="222"/>
        <v>0.25</v>
      </c>
      <c r="M90" s="77">
        <f t="shared" si="222"/>
        <v>0.25</v>
      </c>
      <c r="N90" s="77">
        <f t="shared" si="222"/>
        <v>0.25</v>
      </c>
    </row>
    <row r="91" spans="1:15" x14ac:dyDescent="0.25">
      <c r="A91" s="42" t="s">
        <v>137</v>
      </c>
      <c r="B91" s="45">
        <f>Historicals!B228</f>
        <v>7.0000000000000007E-2</v>
      </c>
      <c r="C91" s="45">
        <f>Historicals!C228</f>
        <v>0.17</v>
      </c>
      <c r="D91" s="45">
        <f>Historicals!D228</f>
        <v>0.18</v>
      </c>
      <c r="E91" s="45">
        <f>Historicals!E228</f>
        <v>0.23</v>
      </c>
      <c r="F91" s="45">
        <f>Historicals!F228</f>
        <v>0.23</v>
      </c>
      <c r="G91" s="45">
        <f>Historicals!G228</f>
        <v>0.08</v>
      </c>
      <c r="H91" s="45">
        <f>Historicals!H228</f>
        <v>0.19</v>
      </c>
      <c r="I91" s="45">
        <f>Historicals!I228</f>
        <v>-0.21</v>
      </c>
      <c r="J91" s="29">
        <v>0.25</v>
      </c>
      <c r="K91" s="29">
        <v>0.25</v>
      </c>
      <c r="L91" s="29">
        <v>0.25</v>
      </c>
      <c r="M91" s="29">
        <v>0.25</v>
      </c>
      <c r="N91" s="29">
        <v>0.25</v>
      </c>
      <c r="O91" t="s">
        <v>212</v>
      </c>
    </row>
    <row r="92" spans="1:15" x14ac:dyDescent="0.25">
      <c r="A92" s="42" t="s">
        <v>138</v>
      </c>
      <c r="B92" s="45" t="str">
        <f t="shared" ref="B92:H92" si="223">+IFERROR(B90-B91,"nm")</f>
        <v>nm</v>
      </c>
      <c r="C92" s="45">
        <f t="shared" si="223"/>
        <v>-2.9459459459459575E-2</v>
      </c>
      <c r="D92" s="45">
        <f t="shared" si="223"/>
        <v>-5.3933649289099439E-2</v>
      </c>
      <c r="E92" s="45">
        <f t="shared" si="223"/>
        <v>3.9360269360269456E-2</v>
      </c>
      <c r="F92" s="45">
        <f t="shared" si="223"/>
        <v>-3.1061007957559755E-2</v>
      </c>
      <c r="G92" s="45">
        <f t="shared" si="223"/>
        <v>-3.1327433628318621E-2</v>
      </c>
      <c r="H92" s="45">
        <f t="shared" si="223"/>
        <v>4.7869198312236294E-2</v>
      </c>
      <c r="I92" s="45">
        <f>+IFERROR(I90-I91,"nm")</f>
        <v>3.5734980826587132E-2</v>
      </c>
      <c r="J92" s="29">
        <v>0</v>
      </c>
      <c r="K92" s="29">
        <v>0</v>
      </c>
      <c r="L92" s="29">
        <v>0</v>
      </c>
      <c r="M92" s="29">
        <v>0</v>
      </c>
      <c r="N92" s="29">
        <v>0</v>
      </c>
    </row>
    <row r="93" spans="1:15" x14ac:dyDescent="0.25">
      <c r="A93" s="43" t="s">
        <v>115</v>
      </c>
      <c r="B93" s="3">
        <f>Historicals!B125</f>
        <v>126</v>
      </c>
      <c r="C93" s="3">
        <f>Historicals!C125</f>
        <v>131</v>
      </c>
      <c r="D93" s="3">
        <f>Historicals!D125</f>
        <v>129</v>
      </c>
      <c r="E93" s="3">
        <f>Historicals!E125</f>
        <v>130</v>
      </c>
      <c r="F93" s="3">
        <f>Historicals!F125</f>
        <v>138</v>
      </c>
      <c r="G93" s="3">
        <f>Historicals!G125</f>
        <v>148</v>
      </c>
      <c r="H93" s="3">
        <f>Historicals!H125</f>
        <v>195</v>
      </c>
      <c r="I93" s="3">
        <f>Historicals!I125</f>
        <v>193</v>
      </c>
      <c r="J93" s="117">
        <f>I93*(1+J94)</f>
        <v>241.25</v>
      </c>
      <c r="K93" s="117">
        <f t="shared" ref="K93:N93" si="224">J93*(1+K94)</f>
        <v>301.5625</v>
      </c>
      <c r="L93" s="117">
        <f t="shared" si="224"/>
        <v>376.953125</v>
      </c>
      <c r="M93" s="117">
        <f t="shared" si="224"/>
        <v>471.19140625</v>
      </c>
      <c r="N93" s="117">
        <f t="shared" si="224"/>
        <v>588.9892578125</v>
      </c>
    </row>
    <row r="94" spans="1:15" x14ac:dyDescent="0.25">
      <c r="A94" s="42" t="s">
        <v>129</v>
      </c>
      <c r="B94" s="45" t="str">
        <f t="shared" ref="B94:H94" si="225">+IFERROR(B93/A93-1,"nm")</f>
        <v>nm</v>
      </c>
      <c r="C94" s="45">
        <f t="shared" si="225"/>
        <v>3.9682539682539764E-2</v>
      </c>
      <c r="D94" s="45">
        <f t="shared" si="225"/>
        <v>-1.5267175572519109E-2</v>
      </c>
      <c r="E94" s="45">
        <f t="shared" si="225"/>
        <v>7.7519379844961378E-3</v>
      </c>
      <c r="F94" s="45">
        <f t="shared" si="225"/>
        <v>6.1538461538461542E-2</v>
      </c>
      <c r="G94" s="45">
        <f t="shared" si="225"/>
        <v>7.2463768115942129E-2</v>
      </c>
      <c r="H94" s="45">
        <f t="shared" si="225"/>
        <v>0.31756756756756754</v>
      </c>
      <c r="I94" s="45">
        <f>+IFERROR(I93/H93-1,"nm")</f>
        <v>-1.025641025641022E-2</v>
      </c>
      <c r="J94" s="77">
        <f>J95+J96</f>
        <v>0.25</v>
      </c>
      <c r="K94" s="77">
        <f t="shared" ref="K94:N94" si="226">K95+K96</f>
        <v>0.25</v>
      </c>
      <c r="L94" s="77">
        <f t="shared" si="226"/>
        <v>0.25</v>
      </c>
      <c r="M94" s="77">
        <f t="shared" si="226"/>
        <v>0.25</v>
      </c>
      <c r="N94" s="77">
        <f t="shared" si="226"/>
        <v>0.25</v>
      </c>
    </row>
    <row r="95" spans="1:15" x14ac:dyDescent="0.25">
      <c r="A95" s="42" t="s">
        <v>137</v>
      </c>
      <c r="B95" s="45">
        <f>Historicals!B229</f>
        <v>0.01</v>
      </c>
      <c r="C95" s="45">
        <f>Historicals!C229</f>
        <v>7.0000000000000007E-2</v>
      </c>
      <c r="D95" s="45">
        <f>Historicals!D229</f>
        <v>0.03</v>
      </c>
      <c r="E95" s="45">
        <f>Historicals!E229</f>
        <v>-0.01</v>
      </c>
      <c r="F95" s="45">
        <f>Historicals!F229</f>
        <v>0.08</v>
      </c>
      <c r="G95" s="45">
        <f>Historicals!G229</f>
        <v>0.11</v>
      </c>
      <c r="H95" s="45">
        <f>Historicals!H229</f>
        <v>0.26</v>
      </c>
      <c r="I95" s="45">
        <f>Historicals!I229</f>
        <v>-0.06</v>
      </c>
      <c r="J95" s="29">
        <v>0.25</v>
      </c>
      <c r="K95" s="29">
        <v>0.25</v>
      </c>
      <c r="L95" s="29">
        <v>0.25</v>
      </c>
      <c r="M95" s="29">
        <v>0.25</v>
      </c>
      <c r="N95" s="29">
        <v>0.25</v>
      </c>
      <c r="O95" t="s">
        <v>212</v>
      </c>
    </row>
    <row r="96" spans="1:15" x14ac:dyDescent="0.25">
      <c r="A96" s="42" t="s">
        <v>138</v>
      </c>
      <c r="B96" s="45" t="str">
        <f t="shared" ref="B96:H96" si="227">+IFERROR(B94-B95,"nm")</f>
        <v>nm</v>
      </c>
      <c r="C96" s="45">
        <f t="shared" si="227"/>
        <v>-3.0317460317460243E-2</v>
      </c>
      <c r="D96" s="45">
        <f t="shared" si="227"/>
        <v>-4.5267175572519108E-2</v>
      </c>
      <c r="E96" s="45">
        <f t="shared" si="227"/>
        <v>1.775193798449614E-2</v>
      </c>
      <c r="F96" s="45">
        <f t="shared" si="227"/>
        <v>-1.846153846153846E-2</v>
      </c>
      <c r="G96" s="45">
        <f t="shared" si="227"/>
        <v>-3.7536231884057872E-2</v>
      </c>
      <c r="H96" s="45">
        <f t="shared" si="227"/>
        <v>5.7567567567567535E-2</v>
      </c>
      <c r="I96" s="45">
        <f>+IFERROR(I94-I95,"nm")</f>
        <v>4.9743589743589778E-2</v>
      </c>
      <c r="J96" s="29">
        <v>0</v>
      </c>
      <c r="K96" s="29">
        <v>0</v>
      </c>
      <c r="L96" s="29">
        <v>0</v>
      </c>
      <c r="M96" s="29">
        <v>0</v>
      </c>
      <c r="N96" s="29">
        <v>0</v>
      </c>
    </row>
    <row r="97" spans="1:15" x14ac:dyDescent="0.25">
      <c r="A97" s="9" t="s">
        <v>130</v>
      </c>
      <c r="B97" s="46">
        <f t="shared" ref="B97:H97" si="228">+B104+B100</f>
        <v>1039</v>
      </c>
      <c r="C97" s="46">
        <f t="shared" si="228"/>
        <v>1420</v>
      </c>
      <c r="D97" s="46">
        <f t="shared" si="228"/>
        <v>1561</v>
      </c>
      <c r="E97" s="46">
        <f t="shared" si="228"/>
        <v>1863</v>
      </c>
      <c r="F97" s="46">
        <f t="shared" si="228"/>
        <v>2426</v>
      </c>
      <c r="G97" s="46">
        <f t="shared" si="228"/>
        <v>2534</v>
      </c>
      <c r="H97" s="46">
        <f t="shared" si="228"/>
        <v>3289</v>
      </c>
      <c r="I97" s="46">
        <f>+I104+I100</f>
        <v>2406</v>
      </c>
      <c r="J97" s="118">
        <f>I97+(0.7*I97)</f>
        <v>4090.2</v>
      </c>
      <c r="K97" s="118">
        <f t="shared" ref="K97:N97" si="229">J97+(0.7*J97)</f>
        <v>6953.34</v>
      </c>
      <c r="L97" s="118">
        <f t="shared" si="229"/>
        <v>11820.678</v>
      </c>
      <c r="M97" s="118">
        <f t="shared" si="229"/>
        <v>20095.152600000001</v>
      </c>
      <c r="N97" s="118">
        <f t="shared" si="229"/>
        <v>34161.759420000002</v>
      </c>
    </row>
    <row r="98" spans="1:15" x14ac:dyDescent="0.25">
      <c r="A98" s="44" t="s">
        <v>129</v>
      </c>
      <c r="B98" s="45" t="str">
        <f t="shared" ref="B98:H98" si="230">+IFERROR(B97/A97-1,"nm")</f>
        <v>nm</v>
      </c>
      <c r="C98" s="45">
        <f t="shared" si="230"/>
        <v>0.36669874879692022</v>
      </c>
      <c r="D98" s="45">
        <f t="shared" si="230"/>
        <v>9.9295774647887303E-2</v>
      </c>
      <c r="E98" s="45">
        <f t="shared" si="230"/>
        <v>0.19346572709801402</v>
      </c>
      <c r="F98" s="45">
        <f t="shared" si="230"/>
        <v>0.3022007514761138</v>
      </c>
      <c r="G98" s="45">
        <f t="shared" si="230"/>
        <v>4.4517724649629109E-2</v>
      </c>
      <c r="H98" s="45">
        <f t="shared" si="230"/>
        <v>0.29794790844514596</v>
      </c>
      <c r="I98" s="45">
        <f>+IFERROR(I97/H97-1,"nm")</f>
        <v>-0.26847065977500761</v>
      </c>
      <c r="J98" s="45">
        <f t="shared" ref="J98:N98" si="231">+IFERROR(J97/I97-1,"nm")</f>
        <v>0.7</v>
      </c>
      <c r="K98" s="45">
        <f t="shared" si="231"/>
        <v>0.70000000000000018</v>
      </c>
      <c r="L98" s="45">
        <f t="shared" si="231"/>
        <v>0.7</v>
      </c>
      <c r="M98" s="45">
        <f t="shared" si="231"/>
        <v>0.70000000000000018</v>
      </c>
      <c r="N98" s="45">
        <f t="shared" si="231"/>
        <v>0.7</v>
      </c>
    </row>
    <row r="99" spans="1:15" x14ac:dyDescent="0.25">
      <c r="A99" s="44" t="s">
        <v>131</v>
      </c>
      <c r="B99" s="45">
        <f>+IFERROR(B97/B$83,"nm")</f>
        <v>0.33876752526899251</v>
      </c>
      <c r="C99" s="45">
        <f t="shared" ref="C99:I99" si="232">+IFERROR(C97/C$83,"nm")</f>
        <v>0.37516512549537651</v>
      </c>
      <c r="D99" s="45">
        <f t="shared" si="232"/>
        <v>0.36842105263157893</v>
      </c>
      <c r="E99" s="45">
        <f t="shared" si="232"/>
        <v>0.36287495130502534</v>
      </c>
      <c r="F99" s="45">
        <f t="shared" si="232"/>
        <v>0.3907860824742268</v>
      </c>
      <c r="G99" s="45">
        <f t="shared" si="232"/>
        <v>0.37939811349004343</v>
      </c>
      <c r="H99" s="45">
        <f t="shared" si="232"/>
        <v>0.39674306393244874</v>
      </c>
      <c r="I99" s="45">
        <f t="shared" si="232"/>
        <v>0.31880217304889358</v>
      </c>
      <c r="J99" s="77">
        <f>I99</f>
        <v>0.31880217304889358</v>
      </c>
      <c r="K99" s="77">
        <f t="shared" ref="K99:N99" si="233">J99</f>
        <v>0.31880217304889358</v>
      </c>
      <c r="L99" s="77">
        <f t="shared" si="233"/>
        <v>0.31880217304889358</v>
      </c>
      <c r="M99" s="77">
        <f t="shared" si="233"/>
        <v>0.31880217304889358</v>
      </c>
      <c r="N99" s="77">
        <f t="shared" si="233"/>
        <v>0.31880217304889358</v>
      </c>
    </row>
    <row r="100" spans="1:15" x14ac:dyDescent="0.25">
      <c r="A100" s="9" t="s">
        <v>132</v>
      </c>
      <c r="B100" s="9">
        <f>Historicals!B204</f>
        <v>46</v>
      </c>
      <c r="C100" s="9">
        <f>Historicals!C204</f>
        <v>48</v>
      </c>
      <c r="D100" s="9">
        <f>Historicals!D204</f>
        <v>54</v>
      </c>
      <c r="E100" s="9">
        <f>Historicals!E204</f>
        <v>56</v>
      </c>
      <c r="F100" s="9">
        <f>Historicals!F204</f>
        <v>50</v>
      </c>
      <c r="G100" s="9">
        <f>Historicals!G204</f>
        <v>44</v>
      </c>
      <c r="H100" s="9">
        <f>Historicals!H204</f>
        <v>46</v>
      </c>
      <c r="I100" s="9">
        <f>Historicals!I204</f>
        <v>41</v>
      </c>
      <c r="J100" s="46">
        <f>I100+(0.7*I100)</f>
        <v>69.7</v>
      </c>
      <c r="K100" s="100">
        <f t="shared" ref="K100:N100" si="234">J100+(0.7*J100)</f>
        <v>118.49000000000001</v>
      </c>
      <c r="L100" s="100">
        <f t="shared" si="234"/>
        <v>201.43299999999999</v>
      </c>
      <c r="M100" s="100">
        <f t="shared" si="234"/>
        <v>342.43610000000001</v>
      </c>
      <c r="N100" s="100">
        <f t="shared" si="234"/>
        <v>582.14137000000005</v>
      </c>
    </row>
    <row r="101" spans="1:15" x14ac:dyDescent="0.25">
      <c r="A101" s="44" t="s">
        <v>129</v>
      </c>
      <c r="B101" s="45" t="str">
        <f t="shared" ref="B101:H101" si="235">+IFERROR(B100/A100-1,"nm")</f>
        <v>nm</v>
      </c>
      <c r="C101" s="45">
        <f t="shared" si="235"/>
        <v>4.3478260869565188E-2</v>
      </c>
      <c r="D101" s="45">
        <f t="shared" si="235"/>
        <v>0.125</v>
      </c>
      <c r="E101" s="45">
        <f t="shared" si="235"/>
        <v>3.7037037037036979E-2</v>
      </c>
      <c r="F101" s="45">
        <f t="shared" si="235"/>
        <v>-0.1071428571428571</v>
      </c>
      <c r="G101" s="45">
        <f t="shared" si="235"/>
        <v>-0.12</v>
      </c>
      <c r="H101" s="45">
        <f t="shared" si="235"/>
        <v>4.5454545454545414E-2</v>
      </c>
      <c r="I101" s="45">
        <f>+IFERROR(I100/H100-1,"nm")</f>
        <v>-0.10869565217391308</v>
      </c>
      <c r="J101" s="45">
        <f t="shared" ref="J101:N101" si="236">+IFERROR(J100/I100-1,"nm")</f>
        <v>0.70000000000000018</v>
      </c>
      <c r="K101" s="45">
        <f t="shared" si="236"/>
        <v>0.7</v>
      </c>
      <c r="L101" s="45">
        <f t="shared" si="236"/>
        <v>0.69999999999999973</v>
      </c>
      <c r="M101" s="45">
        <f t="shared" si="236"/>
        <v>0.70000000000000018</v>
      </c>
      <c r="N101" s="45">
        <f t="shared" si="236"/>
        <v>0.70000000000000018</v>
      </c>
    </row>
    <row r="102" spans="1:15" x14ac:dyDescent="0.25">
      <c r="A102" s="44" t="s">
        <v>133</v>
      </c>
      <c r="B102" s="45">
        <f>+IFERROR(B100/B$83,"nm")</f>
        <v>1.4998369742419302E-2</v>
      </c>
      <c r="C102" s="45">
        <f t="shared" ref="C102:I102" si="237">+IFERROR(C100/C$83,"nm")</f>
        <v>1.2681638044914135E-2</v>
      </c>
      <c r="D102" s="45">
        <f t="shared" si="237"/>
        <v>1.2744866650932263E-2</v>
      </c>
      <c r="E102" s="45">
        <f t="shared" si="237"/>
        <v>1.090767432800935E-2</v>
      </c>
      <c r="F102" s="45">
        <f t="shared" si="237"/>
        <v>8.0541237113402053E-3</v>
      </c>
      <c r="G102" s="45">
        <f t="shared" si="237"/>
        <v>6.5878125467884411E-3</v>
      </c>
      <c r="H102" s="45">
        <f t="shared" si="237"/>
        <v>5.5488540410132689E-3</v>
      </c>
      <c r="I102" s="45">
        <f t="shared" si="237"/>
        <v>5.4326222340002651E-3</v>
      </c>
      <c r="J102" s="77">
        <f>I102</f>
        <v>5.4326222340002651E-3</v>
      </c>
      <c r="K102" s="77">
        <f t="shared" ref="K102:N102" si="238">J102</f>
        <v>5.4326222340002651E-3</v>
      </c>
      <c r="L102" s="77">
        <f t="shared" si="238"/>
        <v>5.4326222340002651E-3</v>
      </c>
      <c r="M102" s="77">
        <f t="shared" si="238"/>
        <v>5.4326222340002651E-3</v>
      </c>
      <c r="N102" s="77">
        <f t="shared" si="238"/>
        <v>5.4326222340002651E-3</v>
      </c>
    </row>
    <row r="103" spans="1:15" x14ac:dyDescent="0.25">
      <c r="A103" s="44" t="s">
        <v>140</v>
      </c>
      <c r="B103" s="45">
        <f>IFERROR(B100/B110,"nm")</f>
        <v>0.18110236220472442</v>
      </c>
      <c r="C103" s="45">
        <f t="shared" ref="C103:I103" si="239">IFERROR(C100/C110,"nm")</f>
        <v>0.20512820512820512</v>
      </c>
      <c r="D103" s="45">
        <f t="shared" si="239"/>
        <v>0.24</v>
      </c>
      <c r="E103" s="45">
        <f t="shared" si="239"/>
        <v>0.21875</v>
      </c>
      <c r="F103" s="45">
        <f t="shared" si="239"/>
        <v>0.2109704641350211</v>
      </c>
      <c r="G103" s="45">
        <f t="shared" si="239"/>
        <v>0.20560747663551401</v>
      </c>
      <c r="H103" s="45">
        <f t="shared" si="239"/>
        <v>0.15972222222222221</v>
      </c>
      <c r="I103" s="45">
        <f t="shared" si="239"/>
        <v>0.13531353135313531</v>
      </c>
      <c r="J103" s="77">
        <f>I103</f>
        <v>0.13531353135313531</v>
      </c>
      <c r="K103" s="77">
        <f t="shared" ref="K103:N103" si="240">J103</f>
        <v>0.13531353135313531</v>
      </c>
      <c r="L103" s="77">
        <f t="shared" si="240"/>
        <v>0.13531353135313531</v>
      </c>
      <c r="M103" s="77">
        <f t="shared" si="240"/>
        <v>0.13531353135313531</v>
      </c>
      <c r="N103" s="77">
        <f t="shared" si="240"/>
        <v>0.13531353135313531</v>
      </c>
    </row>
    <row r="104" spans="1:15" s="54" customFormat="1" x14ac:dyDescent="0.25">
      <c r="A104" s="104" t="s">
        <v>134</v>
      </c>
      <c r="B104" s="104">
        <f>Historicals!B159</f>
        <v>993</v>
      </c>
      <c r="C104" s="104">
        <f>Historicals!C159</f>
        <v>1372</v>
      </c>
      <c r="D104" s="104">
        <f>Historicals!D159</f>
        <v>1507</v>
      </c>
      <c r="E104" s="104">
        <f>Historicals!E159</f>
        <v>1807</v>
      </c>
      <c r="F104" s="104">
        <f>Historicals!F159</f>
        <v>2376</v>
      </c>
      <c r="G104" s="104">
        <f>Historicals!G159</f>
        <v>2490</v>
      </c>
      <c r="H104" s="104">
        <f>Historicals!H159</f>
        <v>3243</v>
      </c>
      <c r="I104" s="104">
        <f>Historicals!I159</f>
        <v>2365</v>
      </c>
      <c r="J104" s="116">
        <f>J97-J100</f>
        <v>4020.5</v>
      </c>
      <c r="K104" s="116">
        <f t="shared" ref="K104:N104" si="241">K97-K100</f>
        <v>6834.85</v>
      </c>
      <c r="L104" s="116">
        <f t="shared" si="241"/>
        <v>11619.244999999999</v>
      </c>
      <c r="M104" s="116">
        <f t="shared" si="241"/>
        <v>19752.716500000002</v>
      </c>
      <c r="N104" s="116">
        <f t="shared" si="241"/>
        <v>33579.618050000005</v>
      </c>
      <c r="O104" s="54" t="s">
        <v>207</v>
      </c>
    </row>
    <row r="105" spans="1:15" x14ac:dyDescent="0.25">
      <c r="A105" s="44" t="s">
        <v>129</v>
      </c>
      <c r="B105" s="45" t="str">
        <f t="shared" ref="B105:H105" si="242">+IFERROR(B104/A104-1,"nm")</f>
        <v>nm</v>
      </c>
      <c r="C105" s="45">
        <f t="shared" si="242"/>
        <v>0.38167170191339372</v>
      </c>
      <c r="D105" s="45">
        <f t="shared" si="242"/>
        <v>9.8396501457725938E-2</v>
      </c>
      <c r="E105" s="45">
        <f t="shared" si="242"/>
        <v>0.19907100199071004</v>
      </c>
      <c r="F105" s="45">
        <f t="shared" si="242"/>
        <v>0.31488655229662421</v>
      </c>
      <c r="G105" s="45">
        <f t="shared" si="242"/>
        <v>4.7979797979798011E-2</v>
      </c>
      <c r="H105" s="45">
        <f t="shared" si="242"/>
        <v>0.30240963855421676</v>
      </c>
      <c r="I105" s="45">
        <f>+IFERROR(I104/H104-1,"nm")</f>
        <v>-0.27073697193956214</v>
      </c>
      <c r="J105" s="45">
        <f t="shared" ref="J105:N105" si="243">+IFERROR(J104/I104-1,"nm")</f>
        <v>0.7</v>
      </c>
      <c r="K105" s="45">
        <f t="shared" si="243"/>
        <v>0.70000000000000018</v>
      </c>
      <c r="L105" s="45">
        <f t="shared" si="243"/>
        <v>0.69999999999999973</v>
      </c>
      <c r="M105" s="45">
        <f t="shared" si="243"/>
        <v>0.7000000000000004</v>
      </c>
      <c r="N105" s="45">
        <f t="shared" si="243"/>
        <v>0.7</v>
      </c>
    </row>
    <row r="106" spans="1:15" x14ac:dyDescent="0.25">
      <c r="A106" s="44" t="s">
        <v>131</v>
      </c>
      <c r="B106" s="45">
        <f>+IFERROR(B104/B$83,"nm")</f>
        <v>0.3237691555265732</v>
      </c>
      <c r="C106" s="45">
        <f t="shared" ref="C106:I106" si="244">+IFERROR(C104/C$83,"nm")</f>
        <v>0.36248348745046233</v>
      </c>
      <c r="D106" s="45">
        <f t="shared" si="244"/>
        <v>0.35567618598064671</v>
      </c>
      <c r="E106" s="45">
        <f t="shared" si="244"/>
        <v>0.35196727697701596</v>
      </c>
      <c r="F106" s="45">
        <f t="shared" si="244"/>
        <v>0.38273195876288657</v>
      </c>
      <c r="G106" s="45">
        <f t="shared" si="244"/>
        <v>0.37281030094325496</v>
      </c>
      <c r="H106" s="45">
        <f t="shared" si="244"/>
        <v>0.39119420989143544</v>
      </c>
      <c r="I106" s="45">
        <f t="shared" si="244"/>
        <v>0.31336955081489332</v>
      </c>
      <c r="J106" s="77">
        <f>I106</f>
        <v>0.31336955081489332</v>
      </c>
      <c r="K106" s="77">
        <f t="shared" ref="K106:N106" si="245">J106</f>
        <v>0.31336955081489332</v>
      </c>
      <c r="L106" s="77">
        <f t="shared" si="245"/>
        <v>0.31336955081489332</v>
      </c>
      <c r="M106" s="77">
        <f t="shared" si="245"/>
        <v>0.31336955081489332</v>
      </c>
      <c r="N106" s="77">
        <f t="shared" si="245"/>
        <v>0.31336955081489332</v>
      </c>
    </row>
    <row r="107" spans="1:15" x14ac:dyDescent="0.25">
      <c r="A107" s="9" t="s">
        <v>135</v>
      </c>
      <c r="B107" s="9">
        <f>Historicals!B189</f>
        <v>69</v>
      </c>
      <c r="C107" s="9">
        <f>Historicals!C189</f>
        <v>44</v>
      </c>
      <c r="D107" s="9">
        <f>Historicals!D189</f>
        <v>51</v>
      </c>
      <c r="E107" s="9">
        <f>Historicals!E189</f>
        <v>76</v>
      </c>
      <c r="F107" s="9">
        <f>Historicals!F189</f>
        <v>49</v>
      </c>
      <c r="G107" s="9">
        <f>Historicals!G189</f>
        <v>28</v>
      </c>
      <c r="H107" s="9">
        <f>Historicals!H189</f>
        <v>94</v>
      </c>
      <c r="I107" s="9">
        <f>Historicals!I189</f>
        <v>78</v>
      </c>
      <c r="J107" s="78">
        <f>J83*J109</f>
        <v>97.5</v>
      </c>
      <c r="K107" s="78">
        <f t="shared" ref="K107:N107" si="246">K83*K109</f>
        <v>121.875</v>
      </c>
      <c r="L107" s="78">
        <f t="shared" si="246"/>
        <v>152.34375</v>
      </c>
      <c r="M107" s="78">
        <f t="shared" si="246"/>
        <v>190.4296875</v>
      </c>
      <c r="N107" s="78">
        <f t="shared" si="246"/>
        <v>238.037109375</v>
      </c>
    </row>
    <row r="108" spans="1:15" x14ac:dyDescent="0.25">
      <c r="A108" s="44" t="s">
        <v>129</v>
      </c>
      <c r="B108" s="45" t="str">
        <f t="shared" ref="B108:H108" si="247">+IFERROR(B107/A107-1,"nm")</f>
        <v>nm</v>
      </c>
      <c r="C108" s="45">
        <f t="shared" si="247"/>
        <v>-0.3623188405797102</v>
      </c>
      <c r="D108" s="45">
        <f t="shared" si="247"/>
        <v>0.15909090909090917</v>
      </c>
      <c r="E108" s="45">
        <f t="shared" si="247"/>
        <v>0.49019607843137258</v>
      </c>
      <c r="F108" s="45">
        <f t="shared" si="247"/>
        <v>-0.35526315789473684</v>
      </c>
      <c r="G108" s="45">
        <f t="shared" si="247"/>
        <v>-0.4285714285714286</v>
      </c>
      <c r="H108" s="45">
        <f t="shared" si="247"/>
        <v>2.3571428571428572</v>
      </c>
      <c r="I108" s="45">
        <f>+IFERROR(I107/H107-1,"nm")</f>
        <v>-0.17021276595744683</v>
      </c>
      <c r="J108" s="45">
        <f t="shared" ref="J108:N108" si="248">+IFERROR(J107/I107-1,"nm")</f>
        <v>0.25</v>
      </c>
      <c r="K108" s="45">
        <f t="shared" si="248"/>
        <v>0.25</v>
      </c>
      <c r="L108" s="45">
        <f t="shared" si="248"/>
        <v>0.25</v>
      </c>
      <c r="M108" s="45">
        <f t="shared" si="248"/>
        <v>0.25</v>
      </c>
      <c r="N108" s="45">
        <f t="shared" si="248"/>
        <v>0.25</v>
      </c>
    </row>
    <row r="109" spans="1:15" x14ac:dyDescent="0.25">
      <c r="A109" s="44" t="s">
        <v>133</v>
      </c>
      <c r="B109" s="45">
        <f>+IFERROR(B107/B$83,"nm")</f>
        <v>2.2497554613628953E-2</v>
      </c>
      <c r="C109" s="45">
        <f t="shared" ref="C109:I109" si="249">+IFERROR(C107/C$83,"nm")</f>
        <v>1.1624834874504624E-2</v>
      </c>
      <c r="D109" s="45">
        <f t="shared" si="249"/>
        <v>1.2036818503658248E-2</v>
      </c>
      <c r="E109" s="45">
        <f t="shared" si="249"/>
        <v>1.4803272302298403E-2</v>
      </c>
      <c r="F109" s="45">
        <f t="shared" si="249"/>
        <v>7.8930412371134018E-3</v>
      </c>
      <c r="G109" s="45">
        <f t="shared" si="249"/>
        <v>4.1922443479562805E-3</v>
      </c>
      <c r="H109" s="45">
        <f t="shared" si="249"/>
        <v>1.1338962605548853E-2</v>
      </c>
      <c r="I109" s="45">
        <f t="shared" si="249"/>
        <v>1.0335232542732211E-2</v>
      </c>
      <c r="J109" s="77">
        <f>I109</f>
        <v>1.0335232542732211E-2</v>
      </c>
      <c r="K109" s="77">
        <f t="shared" ref="K109:N109" si="250">J109</f>
        <v>1.0335232542732211E-2</v>
      </c>
      <c r="L109" s="77">
        <f t="shared" si="250"/>
        <v>1.0335232542732211E-2</v>
      </c>
      <c r="M109" s="77">
        <f t="shared" si="250"/>
        <v>1.0335232542732211E-2</v>
      </c>
      <c r="N109" s="77">
        <f t="shared" si="250"/>
        <v>1.0335232542732211E-2</v>
      </c>
    </row>
    <row r="110" spans="1:15" x14ac:dyDescent="0.25">
      <c r="A110" s="55" t="s">
        <v>141</v>
      </c>
      <c r="B110" s="71">
        <f>Historicals!B174</f>
        <v>254</v>
      </c>
      <c r="C110" s="71">
        <f>Historicals!C174</f>
        <v>234</v>
      </c>
      <c r="D110" s="71">
        <f>Historicals!D174</f>
        <v>225</v>
      </c>
      <c r="E110" s="71">
        <f>Historicals!E174</f>
        <v>256</v>
      </c>
      <c r="F110" s="71">
        <f>Historicals!F174</f>
        <v>237</v>
      </c>
      <c r="G110" s="71">
        <f>Historicals!G174</f>
        <v>214</v>
      </c>
      <c r="H110" s="71">
        <f>Historicals!H174</f>
        <v>288</v>
      </c>
      <c r="I110" s="71">
        <f>Historicals!I174</f>
        <v>303</v>
      </c>
      <c r="J110" s="118">
        <f>J83*J112</f>
        <v>378.75</v>
      </c>
      <c r="K110" s="118">
        <f t="shared" ref="K110:N110" si="251">K83*K112</f>
        <v>473.4375</v>
      </c>
      <c r="L110" s="118">
        <f t="shared" si="251"/>
        <v>591.796875</v>
      </c>
      <c r="M110" s="118">
        <f t="shared" si="251"/>
        <v>739.74609375</v>
      </c>
      <c r="N110" s="118">
        <f t="shared" si="251"/>
        <v>924.6826171875</v>
      </c>
    </row>
    <row r="111" spans="1:15" x14ac:dyDescent="0.25">
      <c r="A111" s="44" t="s">
        <v>129</v>
      </c>
      <c r="B111" s="69" t="str">
        <f>IFERROR(B110/A110-1,"nm")</f>
        <v>nm</v>
      </c>
      <c r="C111" s="69">
        <f t="shared" ref="C111:I111" si="252">IFERROR(C110/B110-1,"nm")</f>
        <v>-7.8740157480314932E-2</v>
      </c>
      <c r="D111" s="69">
        <f t="shared" si="252"/>
        <v>-3.8461538461538436E-2</v>
      </c>
      <c r="E111" s="69">
        <f t="shared" si="252"/>
        <v>0.13777777777777778</v>
      </c>
      <c r="F111" s="69">
        <f t="shared" si="252"/>
        <v>-7.421875E-2</v>
      </c>
      <c r="G111" s="69">
        <f t="shared" si="252"/>
        <v>-9.7046413502109741E-2</v>
      </c>
      <c r="H111" s="69">
        <f t="shared" si="252"/>
        <v>0.34579439252336441</v>
      </c>
      <c r="I111" s="69">
        <f t="shared" si="252"/>
        <v>5.2083333333333259E-2</v>
      </c>
      <c r="J111" s="69">
        <f t="shared" ref="J111" si="253">IFERROR(J110/I110-1,"nm")</f>
        <v>0.25</v>
      </c>
      <c r="K111" s="69">
        <f t="shared" ref="K111" si="254">IFERROR(K110/J110-1,"nm")</f>
        <v>0.25</v>
      </c>
      <c r="L111" s="69">
        <f t="shared" ref="L111" si="255">IFERROR(L110/K110-1,"nm")</f>
        <v>0.25</v>
      </c>
      <c r="M111" s="69">
        <f t="shared" ref="M111" si="256">IFERROR(M110/L110-1,"nm")</f>
        <v>0.25</v>
      </c>
      <c r="N111" s="69">
        <f t="shared" ref="N111" si="257">IFERROR(N110/M110-1,"nm")</f>
        <v>0.25</v>
      </c>
    </row>
    <row r="112" spans="1:15" x14ac:dyDescent="0.25">
      <c r="A112" s="44" t="s">
        <v>155</v>
      </c>
      <c r="B112" s="69">
        <f>IFERROR(B110/B$83, "nm")</f>
        <v>8.2817085099445714E-2</v>
      </c>
      <c r="C112" s="69">
        <f t="shared" ref="C112:I112" si="258">IFERROR(C110/C$83, "nm")</f>
        <v>6.1822985468956405E-2</v>
      </c>
      <c r="D112" s="69">
        <f t="shared" si="258"/>
        <v>5.31036110455511E-2</v>
      </c>
      <c r="E112" s="69">
        <f t="shared" si="258"/>
        <v>4.9863654070899883E-2</v>
      </c>
      <c r="F112" s="69">
        <f t="shared" si="258"/>
        <v>3.817654639175258E-2</v>
      </c>
      <c r="G112" s="69">
        <f t="shared" si="258"/>
        <v>3.2040724659380147E-2</v>
      </c>
      <c r="H112" s="69">
        <f t="shared" si="258"/>
        <v>3.4740651387213509E-2</v>
      </c>
      <c r="I112" s="69">
        <f t="shared" si="258"/>
        <v>4.0148403339075128E-2</v>
      </c>
      <c r="J112" s="77">
        <f>I112</f>
        <v>4.0148403339075128E-2</v>
      </c>
      <c r="K112" s="77">
        <f t="shared" ref="K112:N112" si="259">J112</f>
        <v>4.0148403339075128E-2</v>
      </c>
      <c r="L112" s="77">
        <f t="shared" si="259"/>
        <v>4.0148403339075128E-2</v>
      </c>
      <c r="M112" s="77">
        <f t="shared" si="259"/>
        <v>4.0148403339075128E-2</v>
      </c>
      <c r="N112" s="77">
        <f t="shared" si="259"/>
        <v>4.0148403339075128E-2</v>
      </c>
    </row>
    <row r="113" spans="1:15" x14ac:dyDescent="0.25">
      <c r="A113" s="41" t="s">
        <v>106</v>
      </c>
      <c r="B113" s="41"/>
      <c r="C113" s="41"/>
      <c r="D113" s="41"/>
      <c r="E113" s="41"/>
      <c r="F113" s="41"/>
      <c r="G113" s="41"/>
      <c r="H113" s="41"/>
      <c r="I113" s="41"/>
      <c r="J113" s="37"/>
      <c r="K113" s="37"/>
      <c r="L113" s="37"/>
      <c r="M113" s="37"/>
      <c r="N113" s="37"/>
    </row>
    <row r="114" spans="1:15" x14ac:dyDescent="0.25">
      <c r="A114" s="9" t="s">
        <v>136</v>
      </c>
      <c r="B114" s="9">
        <f>Historicals!B138+Historicals!B142</f>
        <v>4653</v>
      </c>
      <c r="C114" s="9">
        <f>Historicals!C138+Historicals!C142</f>
        <v>4570</v>
      </c>
      <c r="D114" s="9">
        <f>Historicals!D126</f>
        <v>4737</v>
      </c>
      <c r="E114" s="9">
        <f>Historicals!E126</f>
        <v>5166</v>
      </c>
      <c r="F114" s="9">
        <f>Historicals!F126</f>
        <v>5254</v>
      </c>
      <c r="G114" s="9">
        <f>Historicals!G126</f>
        <v>5028</v>
      </c>
      <c r="H114" s="9">
        <f>Historicals!H126</f>
        <v>5343</v>
      </c>
      <c r="I114" s="9">
        <f>Historicals!I126</f>
        <v>5955</v>
      </c>
      <c r="J114" s="118">
        <f>J116+J120+J124</f>
        <v>6312.3</v>
      </c>
      <c r="K114" s="118">
        <f t="shared" ref="K114:N114" si="260">K116+K120+K124</f>
        <v>6691.0380000000005</v>
      </c>
      <c r="L114" s="118">
        <f t="shared" si="260"/>
        <v>7092.5002800000011</v>
      </c>
      <c r="M114" s="118">
        <f t="shared" si="260"/>
        <v>7518.050296800001</v>
      </c>
      <c r="N114" s="118">
        <f t="shared" si="260"/>
        <v>7969.1333146080015</v>
      </c>
    </row>
    <row r="115" spans="1:15" x14ac:dyDescent="0.25">
      <c r="A115" s="42" t="s">
        <v>129</v>
      </c>
      <c r="B115" s="45" t="str">
        <f t="shared" ref="B115:H115" si="261">+IFERROR(B114/A114-1,"nm")</f>
        <v>nm</v>
      </c>
      <c r="C115" s="45">
        <f t="shared" si="261"/>
        <v>-1.783795400816679E-2</v>
      </c>
      <c r="D115" s="45">
        <f t="shared" si="261"/>
        <v>3.6542669584245013E-2</v>
      </c>
      <c r="E115" s="45">
        <f t="shared" si="261"/>
        <v>9.0563647878403986E-2</v>
      </c>
      <c r="F115" s="45">
        <f t="shared" si="261"/>
        <v>1.7034456058846237E-2</v>
      </c>
      <c r="G115" s="45">
        <f t="shared" si="261"/>
        <v>-4.3014845831747195E-2</v>
      </c>
      <c r="H115" s="45">
        <f t="shared" si="261"/>
        <v>6.2649164677804237E-2</v>
      </c>
      <c r="I115" s="45">
        <f>+IFERROR(I114/H114-1,"nm")</f>
        <v>0.11454239191465465</v>
      </c>
      <c r="J115" s="45">
        <f t="shared" ref="J115:N115" si="262">+IFERROR(J114/I114-1,"nm")</f>
        <v>6.0000000000000053E-2</v>
      </c>
      <c r="K115" s="45">
        <f t="shared" si="262"/>
        <v>6.0000000000000053E-2</v>
      </c>
      <c r="L115" s="45">
        <f t="shared" si="262"/>
        <v>6.0000000000000053E-2</v>
      </c>
      <c r="M115" s="45">
        <f t="shared" si="262"/>
        <v>6.0000000000000053E-2</v>
      </c>
      <c r="N115" s="45">
        <f t="shared" si="262"/>
        <v>6.0000000000000053E-2</v>
      </c>
      <c r="O115" t="s">
        <v>213</v>
      </c>
    </row>
    <row r="116" spans="1:15" x14ac:dyDescent="0.25">
      <c r="A116" s="43" t="s">
        <v>113</v>
      </c>
      <c r="B116" s="3">
        <f>Historicals!B139+Historicals!B143</f>
        <v>3093</v>
      </c>
      <c r="C116" s="3">
        <f>Historicals!C139+Historicals!C143</f>
        <v>3106</v>
      </c>
      <c r="D116" s="3">
        <f>Historicals!D127</f>
        <v>3285</v>
      </c>
      <c r="E116" s="3">
        <f>Historicals!E127</f>
        <v>3575</v>
      </c>
      <c r="F116" s="3">
        <f>Historicals!F127</f>
        <v>3622</v>
      </c>
      <c r="G116" s="3">
        <f>Historicals!G127</f>
        <v>3449</v>
      </c>
      <c r="H116" s="3">
        <f>Historicals!H127</f>
        <v>3659</v>
      </c>
      <c r="I116" s="3">
        <f>Historicals!I127</f>
        <v>4111</v>
      </c>
      <c r="J116" s="117">
        <f>I116*(1+J117)</f>
        <v>4357.66</v>
      </c>
      <c r="K116" s="117">
        <f t="shared" ref="K116:N116" si="263">J116*(1+K117)</f>
        <v>4619.1196</v>
      </c>
      <c r="L116" s="117">
        <f t="shared" si="263"/>
        <v>4896.2667760000004</v>
      </c>
      <c r="M116" s="117">
        <f t="shared" si="263"/>
        <v>5190.0427825600009</v>
      </c>
      <c r="N116" s="117">
        <f t="shared" si="263"/>
        <v>5501.4453495136013</v>
      </c>
    </row>
    <row r="117" spans="1:15" x14ac:dyDescent="0.25">
      <c r="A117" s="42" t="s">
        <v>129</v>
      </c>
      <c r="B117" s="45" t="str">
        <f t="shared" ref="B117:H117" si="264">+IFERROR(B116/A116-1,"nm")</f>
        <v>nm</v>
      </c>
      <c r="C117" s="45">
        <f t="shared" si="264"/>
        <v>4.2030391205949424E-3</v>
      </c>
      <c r="D117" s="45">
        <f t="shared" si="264"/>
        <v>5.7630392788152074E-2</v>
      </c>
      <c r="E117" s="45">
        <f t="shared" si="264"/>
        <v>8.8280060882800715E-2</v>
      </c>
      <c r="F117" s="45">
        <f t="shared" si="264"/>
        <v>1.3146853146853044E-2</v>
      </c>
      <c r="G117" s="45">
        <f t="shared" si="264"/>
        <v>-4.7763666482606326E-2</v>
      </c>
      <c r="H117" s="45">
        <f t="shared" si="264"/>
        <v>6.0887213685126174E-2</v>
      </c>
      <c r="I117" s="45">
        <f>+IFERROR(I116/H116-1,"nm")</f>
        <v>0.12353101940420874</v>
      </c>
      <c r="J117" s="77">
        <f>J119+J118</f>
        <v>0.06</v>
      </c>
      <c r="K117" s="77">
        <f t="shared" ref="K117:N117" si="265">K119+K118</f>
        <v>0.06</v>
      </c>
      <c r="L117" s="77">
        <f t="shared" si="265"/>
        <v>0.06</v>
      </c>
      <c r="M117" s="77">
        <f t="shared" si="265"/>
        <v>0.06</v>
      </c>
      <c r="N117" s="77">
        <f t="shared" si="265"/>
        <v>0.06</v>
      </c>
    </row>
    <row r="118" spans="1:15" x14ac:dyDescent="0.25">
      <c r="A118" s="42" t="s">
        <v>137</v>
      </c>
      <c r="B118" s="45">
        <f>Historicals!B231</f>
        <v>0.32</v>
      </c>
      <c r="C118" s="45">
        <f>Historicals!C231</f>
        <v>0.48</v>
      </c>
      <c r="D118" s="45">
        <f>Historicals!D231</f>
        <v>0.24</v>
      </c>
      <c r="E118" s="45">
        <f>Historicals!E231</f>
        <v>0.09</v>
      </c>
      <c r="F118" s="45">
        <f>Historicals!F231</f>
        <v>0.12</v>
      </c>
      <c r="G118" s="45">
        <f>Historicals!G231</f>
        <v>0</v>
      </c>
      <c r="H118" s="45">
        <f>Historicals!H231</f>
        <v>0.08</v>
      </c>
      <c r="I118" s="45">
        <f>Historicals!I231</f>
        <v>0.17</v>
      </c>
      <c r="J118" s="29">
        <v>0.06</v>
      </c>
      <c r="K118" s="29">
        <v>0.06</v>
      </c>
      <c r="L118" s="29">
        <v>0.06</v>
      </c>
      <c r="M118" s="29">
        <v>0.06</v>
      </c>
      <c r="N118" s="29">
        <v>0.06</v>
      </c>
      <c r="O118" t="s">
        <v>213</v>
      </c>
    </row>
    <row r="119" spans="1:15" x14ac:dyDescent="0.25">
      <c r="A119" s="42" t="s">
        <v>138</v>
      </c>
      <c r="B119" s="45" t="str">
        <f t="shared" ref="B119:H119" si="266">+IFERROR(B117-B118,"nm")</f>
        <v>nm</v>
      </c>
      <c r="C119" s="45">
        <f t="shared" si="266"/>
        <v>-0.47579696087940504</v>
      </c>
      <c r="D119" s="45">
        <f t="shared" si="266"/>
        <v>-0.18236960721184792</v>
      </c>
      <c r="E119" s="45">
        <f t="shared" si="266"/>
        <v>-1.7199391171992817E-3</v>
      </c>
      <c r="F119" s="45">
        <f t="shared" si="266"/>
        <v>-0.10685314685314695</v>
      </c>
      <c r="G119" s="45">
        <f t="shared" si="266"/>
        <v>-4.7763666482606326E-2</v>
      </c>
      <c r="H119" s="45">
        <f t="shared" si="266"/>
        <v>-1.9112786314873828E-2</v>
      </c>
      <c r="I119" s="45">
        <f>+IFERROR(I117-I118,"nm")</f>
        <v>-4.646898059579127E-2</v>
      </c>
      <c r="J119" s="29">
        <v>0</v>
      </c>
      <c r="K119" s="29">
        <v>0</v>
      </c>
      <c r="L119" s="29">
        <v>0</v>
      </c>
      <c r="M119" s="29">
        <v>0</v>
      </c>
      <c r="N119" s="29">
        <v>0</v>
      </c>
    </row>
    <row r="120" spans="1:15" x14ac:dyDescent="0.25">
      <c r="A120" s="43" t="s">
        <v>114</v>
      </c>
      <c r="B120" s="3">
        <f>Historicals!B140+Historicals!B144</f>
        <v>1251</v>
      </c>
      <c r="C120" s="3">
        <f>Historicals!C140+Historicals!C144</f>
        <v>1175</v>
      </c>
      <c r="D120" s="3">
        <f>Historicals!D128</f>
        <v>1185</v>
      </c>
      <c r="E120" s="3">
        <f>Historicals!E128</f>
        <v>1347</v>
      </c>
      <c r="F120" s="3">
        <f>Historicals!F128</f>
        <v>1395</v>
      </c>
      <c r="G120" s="3">
        <f>Historicals!G128</f>
        <v>1365</v>
      </c>
      <c r="H120" s="3">
        <f>Historicals!H128</f>
        <v>1494</v>
      </c>
      <c r="I120" s="3">
        <f>Historicals!I128</f>
        <v>1610</v>
      </c>
      <c r="J120" s="117">
        <f>I120*(1+J121)</f>
        <v>1706.6000000000001</v>
      </c>
      <c r="K120" s="117">
        <f t="shared" ref="K120:N120" si="267">J120*(1+K121)</f>
        <v>1808.9960000000003</v>
      </c>
      <c r="L120" s="117">
        <f t="shared" si="267"/>
        <v>1917.5357600000004</v>
      </c>
      <c r="M120" s="117">
        <f t="shared" si="267"/>
        <v>2032.5879056000006</v>
      </c>
      <c r="N120" s="117">
        <f t="shared" si="267"/>
        <v>2154.5431799360008</v>
      </c>
    </row>
    <row r="121" spans="1:15" x14ac:dyDescent="0.25">
      <c r="A121" s="42" t="s">
        <v>129</v>
      </c>
      <c r="B121" s="45" t="str">
        <f t="shared" ref="B121:H121" si="268">+IFERROR(B120/A120-1,"nm")</f>
        <v>nm</v>
      </c>
      <c r="C121" s="45">
        <f t="shared" si="268"/>
        <v>-6.0751398880895313E-2</v>
      </c>
      <c r="D121" s="45">
        <f t="shared" si="268"/>
        <v>8.5106382978723527E-3</v>
      </c>
      <c r="E121" s="45">
        <f t="shared" si="268"/>
        <v>0.13670886075949373</v>
      </c>
      <c r="F121" s="45">
        <f t="shared" si="268"/>
        <v>3.563474387527843E-2</v>
      </c>
      <c r="G121" s="45">
        <f t="shared" si="268"/>
        <v>-2.1505376344086002E-2</v>
      </c>
      <c r="H121" s="45">
        <f t="shared" si="268"/>
        <v>9.4505494505494614E-2</v>
      </c>
      <c r="I121" s="45">
        <f>+IFERROR(I120/H120-1,"nm")</f>
        <v>7.7643908969210251E-2</v>
      </c>
      <c r="J121" s="77">
        <f>J122+J123</f>
        <v>0.06</v>
      </c>
      <c r="K121" s="77">
        <f t="shared" ref="K121:N121" si="269">K122+K123</f>
        <v>0.06</v>
      </c>
      <c r="L121" s="77">
        <f t="shared" si="269"/>
        <v>0.06</v>
      </c>
      <c r="M121" s="77">
        <f t="shared" si="269"/>
        <v>0.06</v>
      </c>
      <c r="N121" s="77">
        <f t="shared" si="269"/>
        <v>0.06</v>
      </c>
    </row>
    <row r="122" spans="1:15" x14ac:dyDescent="0.25">
      <c r="A122" s="42" t="s">
        <v>137</v>
      </c>
      <c r="B122" s="45">
        <f>Historicals!B232</f>
        <v>-0.03</v>
      </c>
      <c r="C122" s="45">
        <f>Historicals!C232</f>
        <v>0.16</v>
      </c>
      <c r="D122" s="45">
        <f>Historicals!D232</f>
        <v>0.18</v>
      </c>
      <c r="E122" s="45">
        <f>Historicals!E232</f>
        <v>0.15</v>
      </c>
      <c r="F122" s="45">
        <f>Historicals!F232</f>
        <v>0.15</v>
      </c>
      <c r="G122" s="45">
        <f>Historicals!G232</f>
        <v>0.03</v>
      </c>
      <c r="H122" s="45">
        <f>Historicals!H232</f>
        <v>0.1</v>
      </c>
      <c r="I122" s="45">
        <f>Historicals!I232</f>
        <v>0.12</v>
      </c>
      <c r="J122" s="29">
        <v>0.06</v>
      </c>
      <c r="K122" s="29">
        <v>0.06</v>
      </c>
      <c r="L122" s="29">
        <v>0.06</v>
      </c>
      <c r="M122" s="29">
        <v>0.06</v>
      </c>
      <c r="N122" s="29">
        <v>0.06</v>
      </c>
      <c r="O122" t="s">
        <v>213</v>
      </c>
    </row>
    <row r="123" spans="1:15" x14ac:dyDescent="0.25">
      <c r="A123" s="42" t="s">
        <v>138</v>
      </c>
      <c r="B123" s="45" t="str">
        <f t="shared" ref="B123:H123" si="270">+IFERROR(B121-B122,"nm")</f>
        <v>nm</v>
      </c>
      <c r="C123" s="45">
        <f t="shared" si="270"/>
        <v>-0.22075139888089532</v>
      </c>
      <c r="D123" s="45">
        <f t="shared" si="270"/>
        <v>-0.17148936170212764</v>
      </c>
      <c r="E123" s="45">
        <f t="shared" si="270"/>
        <v>-1.3291139240506261E-2</v>
      </c>
      <c r="F123" s="45">
        <f t="shared" si="270"/>
        <v>-0.11436525612472156</v>
      </c>
      <c r="G123" s="45">
        <f t="shared" si="270"/>
        <v>-5.1505376344086001E-2</v>
      </c>
      <c r="H123" s="45">
        <f t="shared" si="270"/>
        <v>-5.4945054945053917E-3</v>
      </c>
      <c r="I123" s="45">
        <f>+IFERROR(I121-I122,"nm")</f>
        <v>-4.2356091030789744E-2</v>
      </c>
      <c r="J123" s="29">
        <v>0</v>
      </c>
      <c r="K123" s="29">
        <v>0</v>
      </c>
      <c r="L123" s="29">
        <v>0</v>
      </c>
      <c r="M123" s="29">
        <v>0</v>
      </c>
      <c r="N123" s="29">
        <v>0</v>
      </c>
    </row>
    <row r="124" spans="1:15" x14ac:dyDescent="0.25">
      <c r="A124" s="43" t="s">
        <v>115</v>
      </c>
      <c r="B124" s="3">
        <f>Historicals!B141+Historicals!B145</f>
        <v>309</v>
      </c>
      <c r="C124" s="3">
        <f>Historicals!C141+Historicals!C145</f>
        <v>289</v>
      </c>
      <c r="D124" s="3">
        <f>Historicals!D129</f>
        <v>267</v>
      </c>
      <c r="E124" s="3">
        <f>Historicals!E129</f>
        <v>244</v>
      </c>
      <c r="F124" s="3">
        <f>Historicals!F129</f>
        <v>237</v>
      </c>
      <c r="G124" s="3">
        <f>Historicals!G129</f>
        <v>214</v>
      </c>
      <c r="H124" s="3">
        <f>Historicals!H129</f>
        <v>190</v>
      </c>
      <c r="I124" s="3">
        <f>Historicals!I129</f>
        <v>234</v>
      </c>
      <c r="J124" s="117">
        <f>I124*(1+J125)</f>
        <v>248.04000000000002</v>
      </c>
      <c r="K124" s="117">
        <f t="shared" ref="K124:N124" si="271">J124*(1+K125)</f>
        <v>262.92240000000004</v>
      </c>
      <c r="L124" s="117">
        <f t="shared" si="271"/>
        <v>278.69774400000006</v>
      </c>
      <c r="M124" s="117">
        <f t="shared" si="271"/>
        <v>295.41960864000009</v>
      </c>
      <c r="N124" s="117">
        <f t="shared" si="271"/>
        <v>313.14478515840011</v>
      </c>
    </row>
    <row r="125" spans="1:15" x14ac:dyDescent="0.25">
      <c r="A125" s="42" t="s">
        <v>129</v>
      </c>
      <c r="B125" s="45" t="str">
        <f t="shared" ref="B125:H125" si="272">+IFERROR(B124/A124-1,"nm")</f>
        <v>nm</v>
      </c>
      <c r="C125" s="45">
        <f t="shared" si="272"/>
        <v>-6.4724919093851141E-2</v>
      </c>
      <c r="D125" s="45">
        <f t="shared" si="272"/>
        <v>-7.6124567474048388E-2</v>
      </c>
      <c r="E125" s="45">
        <f t="shared" si="272"/>
        <v>-8.6142322097378266E-2</v>
      </c>
      <c r="F125" s="45">
        <f t="shared" si="272"/>
        <v>-2.8688524590163911E-2</v>
      </c>
      <c r="G125" s="45">
        <f t="shared" si="272"/>
        <v>-9.7046413502109741E-2</v>
      </c>
      <c r="H125" s="45">
        <f t="shared" si="272"/>
        <v>-0.11214953271028039</v>
      </c>
      <c r="I125" s="45">
        <f>+IFERROR(I124/H124-1,"nm")</f>
        <v>0.23157894736842111</v>
      </c>
      <c r="J125" s="77">
        <f>J126+J127</f>
        <v>0.06</v>
      </c>
      <c r="K125" s="77">
        <f t="shared" ref="K125:N125" si="273">K126+K127</f>
        <v>0.06</v>
      </c>
      <c r="L125" s="77">
        <f t="shared" si="273"/>
        <v>0.06</v>
      </c>
      <c r="M125" s="77">
        <f t="shared" si="273"/>
        <v>0.06</v>
      </c>
      <c r="N125" s="77">
        <f t="shared" si="273"/>
        <v>0.06</v>
      </c>
    </row>
    <row r="126" spans="1:15" x14ac:dyDescent="0.25">
      <c r="A126" s="42" t="s">
        <v>137</v>
      </c>
      <c r="B126" s="45">
        <f>Historicals!B233</f>
        <v>-0.01</v>
      </c>
      <c r="C126" s="45">
        <f>Historicals!C233</f>
        <v>0.14000000000000001</v>
      </c>
      <c r="D126" s="45">
        <f>Historicals!D233</f>
        <v>-0.04</v>
      </c>
      <c r="E126" s="45">
        <f>Historicals!E233</f>
        <v>-0.08</v>
      </c>
      <c r="F126" s="45">
        <f>Historicals!F233</f>
        <v>0.08</v>
      </c>
      <c r="G126" s="45">
        <f>Historicals!G233</f>
        <v>-0.04</v>
      </c>
      <c r="H126" s="45">
        <f>Historicals!H233</f>
        <v>-0.09</v>
      </c>
      <c r="I126" s="45">
        <f>Historicals!I233</f>
        <v>0.28000000000000003</v>
      </c>
      <c r="J126" s="29">
        <v>0.06</v>
      </c>
      <c r="K126" s="29">
        <v>0.06</v>
      </c>
      <c r="L126" s="29">
        <v>0.06</v>
      </c>
      <c r="M126" s="29">
        <v>0.06</v>
      </c>
      <c r="N126" s="29">
        <v>0.06</v>
      </c>
      <c r="O126" t="s">
        <v>213</v>
      </c>
    </row>
    <row r="127" spans="1:15" x14ac:dyDescent="0.25">
      <c r="A127" s="42" t="s">
        <v>138</v>
      </c>
      <c r="B127" s="45" t="str">
        <f t="shared" ref="B127:H127" si="274">+IFERROR(B125-B126,"nm")</f>
        <v>nm</v>
      </c>
      <c r="C127" s="45">
        <f t="shared" si="274"/>
        <v>-0.20472491909385115</v>
      </c>
      <c r="D127" s="45">
        <f t="shared" si="274"/>
        <v>-3.6124567474048387E-2</v>
      </c>
      <c r="E127" s="45">
        <f t="shared" si="274"/>
        <v>-6.1423220973782638E-3</v>
      </c>
      <c r="F127" s="45">
        <f t="shared" si="274"/>
        <v>-0.10868852459016391</v>
      </c>
      <c r="G127" s="45">
        <f t="shared" si="274"/>
        <v>-5.704641350210974E-2</v>
      </c>
      <c r="H127" s="45">
        <f t="shared" si="274"/>
        <v>-2.214953271028039E-2</v>
      </c>
      <c r="I127" s="45">
        <f>+IFERROR(I125-I126,"nm")</f>
        <v>-4.842105263157892E-2</v>
      </c>
      <c r="J127" s="29">
        <v>0</v>
      </c>
      <c r="K127" s="29">
        <v>0</v>
      </c>
      <c r="L127" s="29">
        <v>0</v>
      </c>
      <c r="M127" s="29">
        <v>0</v>
      </c>
      <c r="N127" s="29">
        <v>0</v>
      </c>
    </row>
    <row r="128" spans="1:15" x14ac:dyDescent="0.25">
      <c r="A128" s="9" t="s">
        <v>130</v>
      </c>
      <c r="B128" s="46">
        <f t="shared" ref="B128:H128" si="275">+B135+B131</f>
        <v>967</v>
      </c>
      <c r="C128" s="46">
        <f t="shared" si="275"/>
        <v>1044</v>
      </c>
      <c r="D128" s="46">
        <f t="shared" si="275"/>
        <v>1034</v>
      </c>
      <c r="E128" s="46">
        <f t="shared" si="275"/>
        <v>1244</v>
      </c>
      <c r="F128" s="46">
        <f t="shared" si="275"/>
        <v>1376</v>
      </c>
      <c r="G128" s="46">
        <f t="shared" si="275"/>
        <v>1230</v>
      </c>
      <c r="H128" s="46">
        <f t="shared" si="275"/>
        <v>1573</v>
      </c>
      <c r="I128" s="46">
        <f>+I135+I131</f>
        <v>1938</v>
      </c>
      <c r="J128" s="46">
        <f>I128-(0.16*I128)</f>
        <v>1627.92</v>
      </c>
      <c r="K128" s="100">
        <f t="shared" ref="K128:N128" si="276">J128-(0.16*J128)</f>
        <v>1367.4528</v>
      </c>
      <c r="L128" s="100">
        <f t="shared" si="276"/>
        <v>1148.6603520000001</v>
      </c>
      <c r="M128" s="100">
        <f t="shared" si="276"/>
        <v>964.87469568000006</v>
      </c>
      <c r="N128" s="100">
        <f t="shared" si="276"/>
        <v>810.49474437120011</v>
      </c>
    </row>
    <row r="129" spans="1:15" x14ac:dyDescent="0.25">
      <c r="A129" s="44" t="s">
        <v>129</v>
      </c>
      <c r="B129" s="45" t="str">
        <f t="shared" ref="B129:H129" si="277">+IFERROR(B128/A128-1,"nm")</f>
        <v>nm</v>
      </c>
      <c r="C129" s="45">
        <f t="shared" si="277"/>
        <v>7.962771458117901E-2</v>
      </c>
      <c r="D129" s="45">
        <f t="shared" si="277"/>
        <v>-9.5785440613026518E-3</v>
      </c>
      <c r="E129" s="45">
        <f t="shared" si="277"/>
        <v>0.20309477756286265</v>
      </c>
      <c r="F129" s="45">
        <f t="shared" si="277"/>
        <v>0.10610932475884249</v>
      </c>
      <c r="G129" s="45">
        <f t="shared" si="277"/>
        <v>-0.10610465116279066</v>
      </c>
      <c r="H129" s="45">
        <f t="shared" si="277"/>
        <v>0.27886178861788613</v>
      </c>
      <c r="I129" s="45">
        <f>+IFERROR(I128/H128-1,"nm")</f>
        <v>0.23204068658614108</v>
      </c>
      <c r="J129" s="45">
        <f t="shared" ref="J129:N129" si="278">+IFERROR(J128/I128-1,"nm")</f>
        <v>-0.15999999999999992</v>
      </c>
      <c r="K129" s="45">
        <f t="shared" si="278"/>
        <v>-0.16000000000000003</v>
      </c>
      <c r="L129" s="45">
        <f t="shared" si="278"/>
        <v>-0.15999999999999992</v>
      </c>
      <c r="M129" s="45">
        <f t="shared" si="278"/>
        <v>-0.16000000000000003</v>
      </c>
      <c r="N129" s="45">
        <f t="shared" si="278"/>
        <v>-0.15999999999999992</v>
      </c>
    </row>
    <row r="130" spans="1:15" s="54" customFormat="1" x14ac:dyDescent="0.25">
      <c r="A130" s="52" t="s">
        <v>131</v>
      </c>
      <c r="B130" s="53">
        <f>+IFERROR(B128/B$114,"nm")</f>
        <v>0.20782290995056951</v>
      </c>
      <c r="C130" s="53">
        <f t="shared" ref="C130:I130" si="279">+IFERROR(C128/C$114,"nm")</f>
        <v>0.22844638949671772</v>
      </c>
      <c r="D130" s="53">
        <f t="shared" si="279"/>
        <v>0.21828161283512773</v>
      </c>
      <c r="E130" s="53">
        <f t="shared" si="279"/>
        <v>0.2408052651955091</v>
      </c>
      <c r="F130" s="53">
        <f t="shared" si="279"/>
        <v>0.26189569851541683</v>
      </c>
      <c r="G130" s="53">
        <f t="shared" si="279"/>
        <v>0.24463007159904535</v>
      </c>
      <c r="H130" s="53">
        <f t="shared" si="279"/>
        <v>0.2944038929440389</v>
      </c>
      <c r="I130" s="53">
        <f t="shared" si="279"/>
        <v>0.32544080604534004</v>
      </c>
      <c r="J130" s="80">
        <f>I130</f>
        <v>0.32544080604534004</v>
      </c>
      <c r="K130" s="80">
        <f t="shared" ref="K130:N130" si="280">J130</f>
        <v>0.32544080604534004</v>
      </c>
      <c r="L130" s="80">
        <f t="shared" si="280"/>
        <v>0.32544080604534004</v>
      </c>
      <c r="M130" s="80">
        <f t="shared" si="280"/>
        <v>0.32544080604534004</v>
      </c>
      <c r="N130" s="80">
        <f t="shared" si="280"/>
        <v>0.32544080604534004</v>
      </c>
    </row>
    <row r="131" spans="1:15" x14ac:dyDescent="0.25">
      <c r="A131" s="9" t="s">
        <v>132</v>
      </c>
      <c r="B131" s="9">
        <f>Historicals!B208+Historicals!B209</f>
        <v>49</v>
      </c>
      <c r="C131" s="9">
        <f>Historicals!C205</f>
        <v>42</v>
      </c>
      <c r="D131" s="9">
        <f>Historicals!D205</f>
        <v>54</v>
      </c>
      <c r="E131" s="9">
        <f>Historicals!E205</f>
        <v>55</v>
      </c>
      <c r="F131" s="9">
        <f>Historicals!F205</f>
        <v>53</v>
      </c>
      <c r="G131" s="9">
        <f>Historicals!G205</f>
        <v>46</v>
      </c>
      <c r="H131" s="9">
        <f>Historicals!H205</f>
        <v>43</v>
      </c>
      <c r="I131" s="9">
        <f>Historicals!I205</f>
        <v>42</v>
      </c>
      <c r="J131" s="118">
        <f>I131-(0.16*I131)</f>
        <v>35.28</v>
      </c>
      <c r="K131" s="118">
        <f t="shared" ref="K131:N131" si="281">J131-(0.16*J131)</f>
        <v>29.635200000000001</v>
      </c>
      <c r="L131" s="118">
        <f t="shared" si="281"/>
        <v>24.893568000000002</v>
      </c>
      <c r="M131" s="118">
        <f t="shared" si="281"/>
        <v>20.910597120000002</v>
      </c>
      <c r="N131" s="118">
        <f t="shared" si="281"/>
        <v>17.564901580800001</v>
      </c>
    </row>
    <row r="132" spans="1:15" x14ac:dyDescent="0.25">
      <c r="A132" s="44" t="s">
        <v>129</v>
      </c>
      <c r="B132" s="45" t="str">
        <f t="shared" ref="B132:H132" si="282">+IFERROR(B131/A131-1,"nm")</f>
        <v>nm</v>
      </c>
      <c r="C132" s="45">
        <f t="shared" si="282"/>
        <v>-0.1428571428571429</v>
      </c>
      <c r="D132" s="45">
        <f t="shared" si="282"/>
        <v>0.28571428571428581</v>
      </c>
      <c r="E132" s="45">
        <f t="shared" si="282"/>
        <v>1.8518518518518601E-2</v>
      </c>
      <c r="F132" s="45">
        <f t="shared" si="282"/>
        <v>-3.6363636363636376E-2</v>
      </c>
      <c r="G132" s="45">
        <f t="shared" si="282"/>
        <v>-0.13207547169811318</v>
      </c>
      <c r="H132" s="45">
        <f t="shared" si="282"/>
        <v>-6.5217391304347783E-2</v>
      </c>
      <c r="I132" s="45">
        <f>+IFERROR(I131/H131-1,"nm")</f>
        <v>-2.3255813953488413E-2</v>
      </c>
      <c r="J132" s="45">
        <f t="shared" ref="J132:N132" si="283">+IFERROR(J131/I131-1,"nm")</f>
        <v>-0.15999999999999992</v>
      </c>
      <c r="K132" s="45">
        <f t="shared" si="283"/>
        <v>-0.16000000000000003</v>
      </c>
      <c r="L132" s="45">
        <f t="shared" si="283"/>
        <v>-0.15999999999999992</v>
      </c>
      <c r="M132" s="45">
        <f t="shared" si="283"/>
        <v>-0.16000000000000003</v>
      </c>
      <c r="N132" s="45">
        <f t="shared" si="283"/>
        <v>-0.16000000000000003</v>
      </c>
    </row>
    <row r="133" spans="1:15" s="54" customFormat="1" x14ac:dyDescent="0.25">
      <c r="A133" s="52" t="s">
        <v>133</v>
      </c>
      <c r="B133" s="53">
        <f>+IFERROR(B131/B$114,"nm")</f>
        <v>1.053084031807436E-2</v>
      </c>
      <c r="C133" s="53">
        <f t="shared" ref="C133:I133" si="284">+IFERROR(C131/C$114,"nm")</f>
        <v>9.1903719912472641E-3</v>
      </c>
      <c r="D133" s="53">
        <f t="shared" si="284"/>
        <v>1.1399620012666244E-2</v>
      </c>
      <c r="E133" s="53">
        <f t="shared" si="284"/>
        <v>1.064653503677894E-2</v>
      </c>
      <c r="F133" s="53">
        <f t="shared" si="284"/>
        <v>1.0087552341073468E-2</v>
      </c>
      <c r="G133" s="53">
        <f t="shared" si="284"/>
        <v>9.148766905330152E-3</v>
      </c>
      <c r="H133" s="53">
        <f t="shared" si="284"/>
        <v>8.0479131574022079E-3</v>
      </c>
      <c r="I133" s="53">
        <f t="shared" si="284"/>
        <v>7.0528967254408059E-3</v>
      </c>
      <c r="J133" s="80">
        <f>I133</f>
        <v>7.0528967254408059E-3</v>
      </c>
      <c r="K133" s="80">
        <f t="shared" ref="K133:N133" si="285">J133</f>
        <v>7.0528967254408059E-3</v>
      </c>
      <c r="L133" s="80">
        <f t="shared" si="285"/>
        <v>7.0528967254408059E-3</v>
      </c>
      <c r="M133" s="80">
        <f t="shared" si="285"/>
        <v>7.0528967254408059E-3</v>
      </c>
      <c r="N133" s="80">
        <f t="shared" si="285"/>
        <v>7.0528967254408059E-3</v>
      </c>
    </row>
    <row r="134" spans="1:15" s="54" customFormat="1" x14ac:dyDescent="0.25">
      <c r="A134" s="52" t="s">
        <v>140</v>
      </c>
      <c r="B134" s="53">
        <f>IFERROR(B131/B141,"nm")</f>
        <v>0.15909090909090909</v>
      </c>
      <c r="C134" s="53">
        <f t="shared" ref="C134:I134" si="286">IFERROR(C131/C141,"nm")</f>
        <v>0.12650602409638553</v>
      </c>
      <c r="D134" s="53">
        <f t="shared" si="286"/>
        <v>0.1588235294117647</v>
      </c>
      <c r="E134" s="53">
        <f t="shared" si="286"/>
        <v>0.16224188790560473</v>
      </c>
      <c r="F134" s="53">
        <f t="shared" si="286"/>
        <v>0.16257668711656442</v>
      </c>
      <c r="G134" s="53">
        <f t="shared" si="286"/>
        <v>0.1554054054054054</v>
      </c>
      <c r="H134" s="53">
        <f t="shared" si="286"/>
        <v>0.14144736842105263</v>
      </c>
      <c r="I134" s="53">
        <f t="shared" si="286"/>
        <v>0.15328467153284672</v>
      </c>
      <c r="J134" s="80">
        <f>I134</f>
        <v>0.15328467153284672</v>
      </c>
      <c r="K134" s="80">
        <f t="shared" ref="K134:N134" si="287">J134</f>
        <v>0.15328467153284672</v>
      </c>
      <c r="L134" s="80">
        <f t="shared" si="287"/>
        <v>0.15328467153284672</v>
      </c>
      <c r="M134" s="80">
        <f t="shared" si="287"/>
        <v>0.15328467153284672</v>
      </c>
      <c r="N134" s="80">
        <f t="shared" si="287"/>
        <v>0.15328467153284672</v>
      </c>
    </row>
    <row r="135" spans="1:15" s="54" customFormat="1" x14ac:dyDescent="0.25">
      <c r="A135" s="104" t="s">
        <v>134</v>
      </c>
      <c r="B135" s="104">
        <f>Historicals!B162+Historicals!B163</f>
        <v>918</v>
      </c>
      <c r="C135" s="104">
        <f>Historicals!C160</f>
        <v>1002</v>
      </c>
      <c r="D135" s="104">
        <f>Historicals!D160</f>
        <v>980</v>
      </c>
      <c r="E135" s="104">
        <f>Historicals!E160</f>
        <v>1189</v>
      </c>
      <c r="F135" s="104">
        <f>Historicals!F160</f>
        <v>1323</v>
      </c>
      <c r="G135" s="104">
        <f>Historicals!G160</f>
        <v>1184</v>
      </c>
      <c r="H135" s="104">
        <f>Historicals!H160</f>
        <v>1530</v>
      </c>
      <c r="I135" s="104">
        <f>Historicals!I160</f>
        <v>1896</v>
      </c>
      <c r="J135" s="116">
        <f>J128-J131</f>
        <v>1592.64</v>
      </c>
      <c r="K135" s="116">
        <f t="shared" ref="K135:N135" si="288">K128-K131</f>
        <v>1337.8176000000001</v>
      </c>
      <c r="L135" s="116">
        <f t="shared" si="288"/>
        <v>1123.7667840000001</v>
      </c>
      <c r="M135" s="116">
        <f t="shared" si="288"/>
        <v>943.96409856000002</v>
      </c>
      <c r="N135" s="116">
        <f t="shared" si="288"/>
        <v>792.92984279040013</v>
      </c>
      <c r="O135" s="54" t="s">
        <v>208</v>
      </c>
    </row>
    <row r="136" spans="1:15" x14ac:dyDescent="0.25">
      <c r="A136" s="44" t="s">
        <v>129</v>
      </c>
      <c r="B136" s="45" t="str">
        <f t="shared" ref="B136:H136" si="289">+IFERROR(B135/A135-1,"nm")</f>
        <v>nm</v>
      </c>
      <c r="C136" s="45">
        <f t="shared" si="289"/>
        <v>9.1503267973856106E-2</v>
      </c>
      <c r="D136" s="45">
        <f t="shared" si="289"/>
        <v>-2.1956087824351322E-2</v>
      </c>
      <c r="E136" s="45">
        <f t="shared" si="289"/>
        <v>0.21326530612244898</v>
      </c>
      <c r="F136" s="45">
        <f t="shared" si="289"/>
        <v>0.11269974768713209</v>
      </c>
      <c r="G136" s="45">
        <f t="shared" si="289"/>
        <v>-0.1050642479213908</v>
      </c>
      <c r="H136" s="45">
        <f t="shared" si="289"/>
        <v>0.29222972972972983</v>
      </c>
      <c r="I136" s="45">
        <f>+IFERROR(I135/H135-1,"nm")</f>
        <v>0.23921568627450984</v>
      </c>
      <c r="J136" s="45">
        <f t="shared" ref="J136:N136" si="290">+IFERROR(J135/I135-1,"nm")</f>
        <v>-0.15999999999999992</v>
      </c>
      <c r="K136" s="45">
        <f t="shared" si="290"/>
        <v>-0.16000000000000003</v>
      </c>
      <c r="L136" s="45">
        <f t="shared" si="290"/>
        <v>-0.15999999999999992</v>
      </c>
      <c r="M136" s="45">
        <f t="shared" si="290"/>
        <v>-0.16000000000000003</v>
      </c>
      <c r="N136" s="45">
        <f t="shared" si="290"/>
        <v>-0.15999999999999992</v>
      </c>
    </row>
    <row r="137" spans="1:15" x14ac:dyDescent="0.25">
      <c r="A137" s="44" t="s">
        <v>131</v>
      </c>
      <c r="B137" s="45">
        <f>+IFERROR(B135/B$114,"nm")</f>
        <v>0.19729206963249515</v>
      </c>
      <c r="C137" s="45">
        <f t="shared" ref="C137:I137" si="291">+IFERROR(C135/C$114,"nm")</f>
        <v>0.21925601750547047</v>
      </c>
      <c r="D137" s="45">
        <f t="shared" si="291"/>
        <v>0.20688199282246147</v>
      </c>
      <c r="E137" s="45">
        <f t="shared" si="291"/>
        <v>0.23015873015873015</v>
      </c>
      <c r="F137" s="45">
        <f t="shared" si="291"/>
        <v>0.25180814617434338</v>
      </c>
      <c r="G137" s="45">
        <f t="shared" si="291"/>
        <v>0.2354813046937152</v>
      </c>
      <c r="H137" s="45">
        <f t="shared" si="291"/>
        <v>0.28635597978663674</v>
      </c>
      <c r="I137" s="45">
        <f t="shared" si="291"/>
        <v>0.31838790931989924</v>
      </c>
      <c r="J137" s="77">
        <f>I137</f>
        <v>0.31838790931989924</v>
      </c>
      <c r="K137" s="77">
        <f t="shared" ref="K137:N137" si="292">J137</f>
        <v>0.31838790931989924</v>
      </c>
      <c r="L137" s="77">
        <f t="shared" si="292"/>
        <v>0.31838790931989924</v>
      </c>
      <c r="M137" s="77">
        <f t="shared" si="292"/>
        <v>0.31838790931989924</v>
      </c>
      <c r="N137" s="77">
        <f t="shared" si="292"/>
        <v>0.31838790931989924</v>
      </c>
    </row>
    <row r="138" spans="1:15" x14ac:dyDescent="0.25">
      <c r="A138" s="9" t="s">
        <v>135</v>
      </c>
      <c r="B138" s="9">
        <f>Historicals!B193+Historicals!B194</f>
        <v>52</v>
      </c>
      <c r="C138" s="9">
        <f>Historicals!C190</f>
        <v>62</v>
      </c>
      <c r="D138" s="9">
        <f>Historicals!D190</f>
        <v>59</v>
      </c>
      <c r="E138" s="9">
        <f>Historicals!E190</f>
        <v>49</v>
      </c>
      <c r="F138" s="9">
        <f>Historicals!F190</f>
        <v>47</v>
      </c>
      <c r="G138" s="9">
        <f>Historicals!G190</f>
        <v>41</v>
      </c>
      <c r="H138" s="9">
        <f>Historicals!H190</f>
        <v>54</v>
      </c>
      <c r="I138" s="9">
        <f>Historicals!I190</f>
        <v>56</v>
      </c>
      <c r="J138" s="118">
        <f>J114*J140</f>
        <v>59.36</v>
      </c>
      <c r="K138" s="118">
        <f t="shared" ref="K138:N138" si="293">K114*K140</f>
        <v>62.921600000000005</v>
      </c>
      <c r="L138" s="118">
        <f t="shared" si="293"/>
        <v>66.69689600000001</v>
      </c>
      <c r="M138" s="118">
        <f t="shared" si="293"/>
        <v>70.698709760000014</v>
      </c>
      <c r="N138" s="118">
        <f t="shared" si="293"/>
        <v>74.940632345600008</v>
      </c>
    </row>
    <row r="139" spans="1:15" x14ac:dyDescent="0.25">
      <c r="A139" s="44" t="s">
        <v>129</v>
      </c>
      <c r="B139" s="45" t="str">
        <f t="shared" ref="B139:H139" si="294">+IFERROR(B138/A138-1,"nm")</f>
        <v>nm</v>
      </c>
      <c r="C139" s="45">
        <f t="shared" si="294"/>
        <v>0.19230769230769229</v>
      </c>
      <c r="D139" s="45">
        <f t="shared" si="294"/>
        <v>-4.8387096774193505E-2</v>
      </c>
      <c r="E139" s="45">
        <f t="shared" si="294"/>
        <v>-0.16949152542372881</v>
      </c>
      <c r="F139" s="45">
        <f t="shared" si="294"/>
        <v>-4.081632653061229E-2</v>
      </c>
      <c r="G139" s="45">
        <f t="shared" si="294"/>
        <v>-0.12765957446808507</v>
      </c>
      <c r="H139" s="45">
        <f t="shared" si="294"/>
        <v>0.31707317073170738</v>
      </c>
      <c r="I139" s="45">
        <f>+IFERROR(I138/H138-1,"nm")</f>
        <v>3.7037037037036979E-2</v>
      </c>
      <c r="J139" s="45">
        <f t="shared" ref="J139:N139" si="295">+IFERROR(J138/I138-1,"nm")</f>
        <v>6.0000000000000053E-2</v>
      </c>
      <c r="K139" s="45">
        <f t="shared" si="295"/>
        <v>6.0000000000000053E-2</v>
      </c>
      <c r="L139" s="45">
        <f t="shared" si="295"/>
        <v>6.0000000000000053E-2</v>
      </c>
      <c r="M139" s="45">
        <f t="shared" si="295"/>
        <v>6.0000000000000053E-2</v>
      </c>
      <c r="N139" s="45">
        <f t="shared" si="295"/>
        <v>5.9999999999999831E-2</v>
      </c>
    </row>
    <row r="140" spans="1:15" s="54" customFormat="1" x14ac:dyDescent="0.25">
      <c r="A140" s="52" t="s">
        <v>133</v>
      </c>
      <c r="B140" s="53">
        <f>+IFERROR(B138/B$114,"nm")</f>
        <v>1.117558564367075E-2</v>
      </c>
      <c r="C140" s="53">
        <f t="shared" ref="C140:I140" si="296">+IFERROR(C138/C$114,"nm")</f>
        <v>1.3566739606126914E-2</v>
      </c>
      <c r="D140" s="53">
        <f t="shared" si="296"/>
        <v>1.2455140384209416E-2</v>
      </c>
      <c r="E140" s="53">
        <f t="shared" si="296"/>
        <v>9.485094850948509E-3</v>
      </c>
      <c r="F140" s="53">
        <f t="shared" si="296"/>
        <v>8.9455652835934533E-3</v>
      </c>
      <c r="G140" s="53">
        <f t="shared" si="296"/>
        <v>8.1543357199681775E-3</v>
      </c>
      <c r="H140" s="53">
        <f t="shared" si="296"/>
        <v>1.0106681639528355E-2</v>
      </c>
      <c r="I140" s="53">
        <f t="shared" si="296"/>
        <v>9.4038623005877411E-3</v>
      </c>
      <c r="J140" s="80">
        <f>I140</f>
        <v>9.4038623005877411E-3</v>
      </c>
      <c r="K140" s="80">
        <f t="shared" ref="K140:N140" si="297">J140</f>
        <v>9.4038623005877411E-3</v>
      </c>
      <c r="L140" s="80">
        <f t="shared" si="297"/>
        <v>9.4038623005877411E-3</v>
      </c>
      <c r="M140" s="80">
        <f t="shared" si="297"/>
        <v>9.4038623005877411E-3</v>
      </c>
      <c r="N140" s="80">
        <f t="shared" si="297"/>
        <v>9.4038623005877411E-3</v>
      </c>
    </row>
    <row r="141" spans="1:15" s="54" customFormat="1" x14ac:dyDescent="0.25">
      <c r="A141" s="72" t="s">
        <v>141</v>
      </c>
      <c r="B141" s="73">
        <f>Historicals!B178+Historicals!B179</f>
        <v>308</v>
      </c>
      <c r="C141" s="73">
        <f>Historicals!C178+Historicals!C179</f>
        <v>332</v>
      </c>
      <c r="D141" s="73">
        <f>Historicals!D175</f>
        <v>340</v>
      </c>
      <c r="E141" s="73">
        <f>Historicals!E175</f>
        <v>339</v>
      </c>
      <c r="F141" s="73">
        <f>Historicals!F175</f>
        <v>326</v>
      </c>
      <c r="G141" s="73">
        <f>Historicals!G175</f>
        <v>296</v>
      </c>
      <c r="H141" s="73">
        <f>Historicals!H175</f>
        <v>304</v>
      </c>
      <c r="I141" s="73">
        <f>Historicals!I175</f>
        <v>274</v>
      </c>
      <c r="J141" s="119">
        <f>J114*J143</f>
        <v>290.44</v>
      </c>
      <c r="K141" s="119">
        <f t="shared" ref="K141:N141" si="298">K114*K143</f>
        <v>307.8664</v>
      </c>
      <c r="L141" s="119">
        <f t="shared" si="298"/>
        <v>326.33838400000008</v>
      </c>
      <c r="M141" s="119">
        <f t="shared" si="298"/>
        <v>345.91868704000007</v>
      </c>
      <c r="N141" s="119">
        <f t="shared" si="298"/>
        <v>366.67380826240009</v>
      </c>
    </row>
    <row r="142" spans="1:15" s="54" customFormat="1" x14ac:dyDescent="0.25">
      <c r="A142" s="52" t="s">
        <v>129</v>
      </c>
      <c r="B142" s="74" t="str">
        <f>IFERROR(B141/A141-1,"nm")</f>
        <v>nm</v>
      </c>
      <c r="C142" s="74">
        <f t="shared" ref="C142:I142" si="299">IFERROR(C141/B141-1,"nm")</f>
        <v>7.7922077922077948E-2</v>
      </c>
      <c r="D142" s="74">
        <f t="shared" si="299"/>
        <v>2.4096385542168752E-2</v>
      </c>
      <c r="E142" s="74">
        <f t="shared" si="299"/>
        <v>-2.9411764705882248E-3</v>
      </c>
      <c r="F142" s="74">
        <f t="shared" si="299"/>
        <v>-3.8348082595870192E-2</v>
      </c>
      <c r="G142" s="74">
        <f t="shared" si="299"/>
        <v>-9.2024539877300637E-2</v>
      </c>
      <c r="H142" s="74">
        <f t="shared" si="299"/>
        <v>2.7027027027026973E-2</v>
      </c>
      <c r="I142" s="74">
        <f t="shared" si="299"/>
        <v>-9.8684210526315819E-2</v>
      </c>
      <c r="J142" s="74">
        <f t="shared" ref="J142" si="300">IFERROR(J141/I141-1,"nm")</f>
        <v>6.0000000000000053E-2</v>
      </c>
      <c r="K142" s="74">
        <f t="shared" ref="K142" si="301">IFERROR(K141/J141-1,"nm")</f>
        <v>6.0000000000000053E-2</v>
      </c>
      <c r="L142" s="74">
        <f t="shared" ref="L142" si="302">IFERROR(L141/K141-1,"nm")</f>
        <v>6.0000000000000275E-2</v>
      </c>
      <c r="M142" s="74">
        <f t="shared" ref="M142" si="303">IFERROR(M141/L141-1,"nm")</f>
        <v>6.0000000000000053E-2</v>
      </c>
      <c r="N142" s="74">
        <f t="shared" ref="N142" si="304">IFERROR(N141/M141-1,"nm")</f>
        <v>6.0000000000000053E-2</v>
      </c>
    </row>
    <row r="143" spans="1:15" s="54" customFormat="1" x14ac:dyDescent="0.25">
      <c r="A143" s="52" t="s">
        <v>155</v>
      </c>
      <c r="B143" s="74">
        <f>IFERROR(B141/B$114,"nm")</f>
        <v>6.6193853427895979E-2</v>
      </c>
      <c r="C143" s="74">
        <f t="shared" ref="C143:I143" si="305">IFERROR(C141/C$114,"nm")</f>
        <v>7.264770240700219E-2</v>
      </c>
      <c r="D143" s="74">
        <f t="shared" si="305"/>
        <v>7.1775385264935612E-2</v>
      </c>
      <c r="E143" s="74">
        <f t="shared" si="305"/>
        <v>6.5621370499419282E-2</v>
      </c>
      <c r="F143" s="74">
        <f t="shared" si="305"/>
        <v>6.2047963456414161E-2</v>
      </c>
      <c r="G143" s="74">
        <f t="shared" si="305"/>
        <v>5.88703261734288E-2</v>
      </c>
      <c r="H143" s="74">
        <f t="shared" si="305"/>
        <v>5.6896874415122589E-2</v>
      </c>
      <c r="I143" s="74">
        <f t="shared" si="305"/>
        <v>4.6011754827875735E-2</v>
      </c>
      <c r="J143" s="80">
        <f>I143</f>
        <v>4.6011754827875735E-2</v>
      </c>
      <c r="K143" s="80">
        <f t="shared" ref="K143:N143" si="306">J143</f>
        <v>4.6011754827875735E-2</v>
      </c>
      <c r="L143" s="80">
        <f t="shared" si="306"/>
        <v>4.6011754827875735E-2</v>
      </c>
      <c r="M143" s="80">
        <f t="shared" si="306"/>
        <v>4.6011754827875735E-2</v>
      </c>
      <c r="N143" s="80">
        <f t="shared" si="306"/>
        <v>4.6011754827875735E-2</v>
      </c>
    </row>
    <row r="144" spans="1:15" x14ac:dyDescent="0.25">
      <c r="A144" s="41" t="s">
        <v>104</v>
      </c>
      <c r="B144" s="41"/>
      <c r="C144" s="41"/>
      <c r="D144" s="41"/>
      <c r="E144" s="41"/>
      <c r="F144" s="41"/>
      <c r="G144" s="41"/>
      <c r="H144" s="41"/>
      <c r="I144" s="41"/>
      <c r="J144" s="37"/>
      <c r="K144" s="37"/>
      <c r="L144" s="37"/>
      <c r="M144" s="37"/>
      <c r="N144" s="37"/>
    </row>
    <row r="145" spans="1:15" x14ac:dyDescent="0.25">
      <c r="A145" s="55" t="s">
        <v>136</v>
      </c>
      <c r="B145">
        <f>Historicals!B148</f>
        <v>1982</v>
      </c>
      <c r="C145">
        <f>Historicals!C148</f>
        <v>1955</v>
      </c>
      <c r="D145">
        <f>Historicals!D148</f>
        <v>2042</v>
      </c>
      <c r="E145">
        <f>Historicals!E148</f>
        <v>1886</v>
      </c>
      <c r="F145">
        <f>Historicals!F148</f>
        <v>1906</v>
      </c>
      <c r="G145">
        <f>Historicals!G148</f>
        <v>1846</v>
      </c>
      <c r="H145">
        <f>Historicals!H148</f>
        <v>2205</v>
      </c>
      <c r="I145">
        <f>Historicals!I148</f>
        <v>2346</v>
      </c>
      <c r="J145" s="120">
        <f>I145*(1+J146)</f>
        <v>2479.7219999999998</v>
      </c>
      <c r="K145" s="120">
        <f t="shared" ref="K145:N145" si="307">J145*(1+K146)</f>
        <v>2621.0661539999996</v>
      </c>
      <c r="L145" s="120">
        <f t="shared" si="307"/>
        <v>2770.4669247779993</v>
      </c>
      <c r="M145" s="120">
        <f t="shared" si="307"/>
        <v>2928.3835394903454</v>
      </c>
      <c r="N145" s="120">
        <f t="shared" si="307"/>
        <v>3095.301401241295</v>
      </c>
    </row>
    <row r="146" spans="1:15" x14ac:dyDescent="0.25">
      <c r="A146" s="56" t="s">
        <v>129</v>
      </c>
      <c r="B146" s="45" t="str">
        <f>IFERROR(B145/A145-1,"nm")</f>
        <v>nm</v>
      </c>
      <c r="C146" s="29">
        <f t="shared" ref="C146:I146" si="308">IFERROR(C145/B145-1,"nm")</f>
        <v>-1.3622603430877955E-2</v>
      </c>
      <c r="D146" s="29">
        <f t="shared" si="308"/>
        <v>4.4501278772378416E-2</v>
      </c>
      <c r="E146" s="29">
        <f t="shared" si="308"/>
        <v>-7.6395690499510338E-2</v>
      </c>
      <c r="F146" s="29">
        <f t="shared" si="308"/>
        <v>1.0604453870625585E-2</v>
      </c>
      <c r="G146" s="29">
        <f t="shared" si="308"/>
        <v>-3.147953830010497E-2</v>
      </c>
      <c r="H146" s="29">
        <f t="shared" si="308"/>
        <v>0.19447453954496208</v>
      </c>
      <c r="I146" s="29">
        <f t="shared" si="308"/>
        <v>6.3945578231292544E-2</v>
      </c>
      <c r="J146" s="77">
        <f>J147+J148</f>
        <v>5.7000000000000002E-2</v>
      </c>
      <c r="K146" s="77">
        <f t="shared" ref="K146:N146" si="309">K147+K148</f>
        <v>5.7000000000000002E-2</v>
      </c>
      <c r="L146" s="77">
        <f t="shared" si="309"/>
        <v>5.7000000000000002E-2</v>
      </c>
      <c r="M146" s="77">
        <f t="shared" si="309"/>
        <v>5.7000000000000002E-2</v>
      </c>
      <c r="N146" s="77">
        <f t="shared" si="309"/>
        <v>5.7000000000000002E-2</v>
      </c>
    </row>
    <row r="147" spans="1:15" x14ac:dyDescent="0.25">
      <c r="A147" s="56" t="s">
        <v>137</v>
      </c>
      <c r="B147" s="57">
        <f>Historicals!B236</f>
        <v>0.21</v>
      </c>
      <c r="C147" s="57">
        <f>Historicals!C236</f>
        <v>0.02</v>
      </c>
      <c r="D147" s="57">
        <f>Historicals!D236</f>
        <v>0.06</v>
      </c>
      <c r="E147" s="57">
        <f>Historicals!E236</f>
        <v>-0.11</v>
      </c>
      <c r="F147" s="57">
        <f>Historicals!F236</f>
        <v>0.03</v>
      </c>
      <c r="G147" s="57">
        <f>Historicals!G236</f>
        <v>-0.01</v>
      </c>
      <c r="H147" s="57">
        <f>Historicals!H236</f>
        <v>0.16</v>
      </c>
      <c r="I147" s="57">
        <f>Historicals!I236</f>
        <v>7.0000000000000007E-2</v>
      </c>
      <c r="J147" s="29">
        <v>5.7000000000000002E-2</v>
      </c>
      <c r="K147" s="29">
        <v>5.7000000000000002E-2</v>
      </c>
      <c r="L147" s="29">
        <v>5.7000000000000002E-2</v>
      </c>
      <c r="M147" s="29">
        <v>5.7000000000000002E-2</v>
      </c>
      <c r="N147" s="29">
        <v>5.7000000000000002E-2</v>
      </c>
      <c r="O147" t="s">
        <v>204</v>
      </c>
    </row>
    <row r="148" spans="1:15" s="59" customFormat="1" x14ac:dyDescent="0.25">
      <c r="A148" s="56" t="s">
        <v>138</v>
      </c>
      <c r="B148" s="58" t="str">
        <f>IFERROR(B146-B147,"nm")</f>
        <v>nm</v>
      </c>
      <c r="C148" s="58">
        <f t="shared" ref="C148:I148" si="310">IFERROR(C146-C147,"nm")</f>
        <v>-3.3622603430877959E-2</v>
      </c>
      <c r="D148" s="58">
        <f t="shared" si="310"/>
        <v>-1.5498721227621581E-2</v>
      </c>
      <c r="E148" s="58">
        <f t="shared" si="310"/>
        <v>3.3604309500489662E-2</v>
      </c>
      <c r="F148" s="58">
        <f t="shared" si="310"/>
        <v>-1.9395546129374414E-2</v>
      </c>
      <c r="G148" s="58">
        <f t="shared" si="310"/>
        <v>-2.1479538300104968E-2</v>
      </c>
      <c r="H148" s="58">
        <f t="shared" si="310"/>
        <v>3.4474539544962074E-2</v>
      </c>
      <c r="I148" s="58">
        <f t="shared" si="310"/>
        <v>-6.0544217687074631E-3</v>
      </c>
      <c r="J148" s="45">
        <v>0</v>
      </c>
      <c r="K148" s="45">
        <v>0</v>
      </c>
      <c r="L148" s="45">
        <v>0</v>
      </c>
      <c r="M148" s="45">
        <v>0</v>
      </c>
      <c r="N148" s="45">
        <v>0</v>
      </c>
    </row>
    <row r="149" spans="1:15" s="1" customFormat="1" x14ac:dyDescent="0.25">
      <c r="A149" s="55" t="s">
        <v>134</v>
      </c>
      <c r="B149" s="1">
        <f>Historicals!B167</f>
        <v>517</v>
      </c>
      <c r="C149" s="1">
        <f>Historicals!C167</f>
        <v>487</v>
      </c>
      <c r="D149" s="1">
        <f>Historicals!D167</f>
        <v>477</v>
      </c>
      <c r="E149" s="1">
        <f>Historicals!E167</f>
        <v>310</v>
      </c>
      <c r="F149" s="1">
        <f>Historicals!F167</f>
        <v>303</v>
      </c>
      <c r="G149" s="1">
        <f>Historicals!G167</f>
        <v>297</v>
      </c>
      <c r="H149" s="1">
        <f>Historicals!H167</f>
        <v>543</v>
      </c>
      <c r="I149" s="1">
        <f>Historicals!I167</f>
        <v>669</v>
      </c>
      <c r="J149" s="118">
        <f>J159-J155</f>
        <v>707.13299999999992</v>
      </c>
      <c r="K149" s="118">
        <f t="shared" ref="K149:N149" si="311">K159-K155</f>
        <v>747.43958099999986</v>
      </c>
      <c r="L149" s="118">
        <f t="shared" si="311"/>
        <v>790.04363711699978</v>
      </c>
      <c r="M149" s="118">
        <f t="shared" si="311"/>
        <v>835.07612443266885</v>
      </c>
      <c r="N149" s="118">
        <f t="shared" si="311"/>
        <v>882.675463525331</v>
      </c>
    </row>
    <row r="150" spans="1:15" s="59" customFormat="1" x14ac:dyDescent="0.25">
      <c r="A150" s="44" t="s">
        <v>129</v>
      </c>
      <c r="B150" s="58" t="str">
        <f>IFERROR(B149/A149-1,"nm")</f>
        <v>nm</v>
      </c>
      <c r="C150" s="58">
        <f t="shared" ref="C150:I150" si="312">IFERROR(C149/B149-1,"nm")</f>
        <v>-5.8027079303675011E-2</v>
      </c>
      <c r="D150" s="58">
        <f t="shared" si="312"/>
        <v>-2.0533880903490731E-2</v>
      </c>
      <c r="E150" s="58">
        <f t="shared" si="312"/>
        <v>-0.35010482180293501</v>
      </c>
      <c r="F150" s="58">
        <f t="shared" si="312"/>
        <v>-2.2580645161290325E-2</v>
      </c>
      <c r="G150" s="58">
        <f t="shared" si="312"/>
        <v>-1.980198019801982E-2</v>
      </c>
      <c r="H150" s="58">
        <f t="shared" si="312"/>
        <v>0.82828282828282829</v>
      </c>
      <c r="I150" s="58">
        <f t="shared" si="312"/>
        <v>0.2320441988950277</v>
      </c>
      <c r="J150" s="58">
        <f t="shared" ref="J150" si="313">IFERROR(J149/I149-1,"nm")</f>
        <v>5.699999999999994E-2</v>
      </c>
      <c r="K150" s="58">
        <f t="shared" ref="K150" si="314">IFERROR(K149/J149-1,"nm")</f>
        <v>5.699999999999994E-2</v>
      </c>
      <c r="L150" s="58">
        <f t="shared" ref="L150" si="315">IFERROR(L149/K149-1,"nm")</f>
        <v>5.699999999999994E-2</v>
      </c>
      <c r="M150" s="58">
        <f t="shared" ref="M150" si="316">IFERROR(M149/L149-1,"nm")</f>
        <v>5.7000000000000162E-2</v>
      </c>
      <c r="N150" s="58">
        <f t="shared" ref="N150" si="317">IFERROR(N149/M149-1,"nm")</f>
        <v>5.699999999999994E-2</v>
      </c>
    </row>
    <row r="151" spans="1:15" s="59" customFormat="1" x14ac:dyDescent="0.25">
      <c r="A151" s="44" t="s">
        <v>131</v>
      </c>
      <c r="B151" s="58">
        <f>IFERROR(B149/B145,"nm")</f>
        <v>0.26084762865792127</v>
      </c>
      <c r="C151" s="58">
        <f t="shared" ref="C151:I151" si="318">IFERROR(C149/C145,"nm")</f>
        <v>0.24910485933503837</v>
      </c>
      <c r="D151" s="58">
        <f t="shared" si="318"/>
        <v>0.23359451518119489</v>
      </c>
      <c r="E151" s="58">
        <f t="shared" si="318"/>
        <v>0.16436903499469777</v>
      </c>
      <c r="F151" s="58">
        <f t="shared" si="318"/>
        <v>0.1589716684155299</v>
      </c>
      <c r="G151" s="58">
        <f t="shared" si="318"/>
        <v>0.16088840736728061</v>
      </c>
      <c r="H151" s="58">
        <f t="shared" si="318"/>
        <v>0.24625850340136055</v>
      </c>
      <c r="I151" s="58">
        <f t="shared" si="318"/>
        <v>0.28516624040920718</v>
      </c>
      <c r="J151" s="89">
        <f>I151</f>
        <v>0.28516624040920718</v>
      </c>
      <c r="K151" s="89">
        <f t="shared" ref="K151:N151" si="319">J151</f>
        <v>0.28516624040920718</v>
      </c>
      <c r="L151" s="89">
        <f t="shared" si="319"/>
        <v>0.28516624040920718</v>
      </c>
      <c r="M151" s="89">
        <f t="shared" si="319"/>
        <v>0.28516624040920718</v>
      </c>
      <c r="N151" s="89">
        <f t="shared" si="319"/>
        <v>0.28516624040920718</v>
      </c>
    </row>
    <row r="152" spans="1:15" s="1" customFormat="1" x14ac:dyDescent="0.25">
      <c r="A152" s="55" t="s">
        <v>135</v>
      </c>
      <c r="B152" s="1">
        <f>Historicals!B197</f>
        <v>69</v>
      </c>
      <c r="C152" s="1">
        <f>Historicals!C197</f>
        <v>39</v>
      </c>
      <c r="D152" s="1">
        <f>Historicals!D197</f>
        <v>30</v>
      </c>
      <c r="E152" s="1">
        <f>Historicals!E197</f>
        <v>22</v>
      </c>
      <c r="F152" s="1">
        <f>Historicals!F197</f>
        <v>18</v>
      </c>
      <c r="G152" s="1">
        <f>Historicals!G197</f>
        <v>12</v>
      </c>
      <c r="H152" s="1">
        <f>Historicals!H197</f>
        <v>7</v>
      </c>
      <c r="I152" s="1">
        <f>Historicals!I197</f>
        <v>9</v>
      </c>
      <c r="J152" s="118">
        <f>J145*J154</f>
        <v>9.5129999999999999</v>
      </c>
      <c r="K152" s="118">
        <f t="shared" ref="K152:N152" si="320">K145*K154</f>
        <v>10.055240999999999</v>
      </c>
      <c r="L152" s="118">
        <f t="shared" si="320"/>
        <v>10.628389736999997</v>
      </c>
      <c r="M152" s="118">
        <f t="shared" si="320"/>
        <v>11.234207952008997</v>
      </c>
      <c r="N152" s="118">
        <f t="shared" si="320"/>
        <v>11.874557805273511</v>
      </c>
    </row>
    <row r="153" spans="1:15" s="59" customFormat="1" x14ac:dyDescent="0.25">
      <c r="A153" s="44" t="s">
        <v>129</v>
      </c>
      <c r="B153" s="58" t="str">
        <f>IFERROR(B152/A152-1,"nm")</f>
        <v>nm</v>
      </c>
      <c r="C153" s="58">
        <f t="shared" ref="C153:I153" si="321">IFERROR(C152/B152-1,"nm")</f>
        <v>-0.43478260869565222</v>
      </c>
      <c r="D153" s="58">
        <f t="shared" si="321"/>
        <v>-0.23076923076923073</v>
      </c>
      <c r="E153" s="58">
        <f t="shared" si="321"/>
        <v>-0.26666666666666672</v>
      </c>
      <c r="F153" s="58">
        <f t="shared" si="321"/>
        <v>-0.18181818181818177</v>
      </c>
      <c r="G153" s="58">
        <f t="shared" si="321"/>
        <v>-0.33333333333333337</v>
      </c>
      <c r="H153" s="58">
        <f t="shared" si="321"/>
        <v>-0.41666666666666663</v>
      </c>
      <c r="I153" s="58">
        <f t="shared" si="321"/>
        <v>0.28571428571428581</v>
      </c>
      <c r="J153" s="58">
        <f t="shared" ref="J153" si="322">IFERROR(J152/I152-1,"nm")</f>
        <v>5.699999999999994E-2</v>
      </c>
      <c r="K153" s="58">
        <f t="shared" ref="K153" si="323">IFERROR(K152/J152-1,"nm")</f>
        <v>5.699999999999994E-2</v>
      </c>
      <c r="L153" s="58">
        <f t="shared" ref="L153" si="324">IFERROR(L152/K152-1,"nm")</f>
        <v>5.699999999999994E-2</v>
      </c>
      <c r="M153" s="58">
        <f t="shared" ref="M153" si="325">IFERROR(M152/L152-1,"nm")</f>
        <v>5.699999999999994E-2</v>
      </c>
      <c r="N153" s="58">
        <f t="shared" ref="N153" si="326">IFERROR(N152/M152-1,"nm")</f>
        <v>5.7000000000000162E-2</v>
      </c>
    </row>
    <row r="154" spans="1:15" s="59" customFormat="1" x14ac:dyDescent="0.25">
      <c r="A154" s="44" t="s">
        <v>133</v>
      </c>
      <c r="B154" s="58">
        <f>IFERROR(B152/B145,"nm")</f>
        <v>3.481331987891019E-2</v>
      </c>
      <c r="C154" s="58">
        <f t="shared" ref="C154:I154" si="327">IFERROR(C152/C145,"nm")</f>
        <v>1.9948849104859334E-2</v>
      </c>
      <c r="D154" s="58">
        <f t="shared" si="327"/>
        <v>1.4691478942213516E-2</v>
      </c>
      <c r="E154" s="58">
        <f t="shared" si="327"/>
        <v>1.166489925768823E-2</v>
      </c>
      <c r="F154" s="58">
        <f t="shared" si="327"/>
        <v>9.4438614900314802E-3</v>
      </c>
      <c r="G154" s="58">
        <f t="shared" si="327"/>
        <v>6.5005417118093175E-3</v>
      </c>
      <c r="H154" s="58">
        <f t="shared" si="327"/>
        <v>3.1746031746031746E-3</v>
      </c>
      <c r="I154" s="58">
        <f t="shared" si="327"/>
        <v>3.8363171355498722E-3</v>
      </c>
      <c r="J154" s="88">
        <f>I154</f>
        <v>3.8363171355498722E-3</v>
      </c>
      <c r="K154" s="88">
        <f t="shared" ref="K154:N154" si="328">J154</f>
        <v>3.8363171355498722E-3</v>
      </c>
      <c r="L154" s="88">
        <f t="shared" si="328"/>
        <v>3.8363171355498722E-3</v>
      </c>
      <c r="M154" s="88">
        <f t="shared" si="328"/>
        <v>3.8363171355498722E-3</v>
      </c>
      <c r="N154" s="88">
        <f t="shared" si="328"/>
        <v>3.8363171355498722E-3</v>
      </c>
    </row>
    <row r="155" spans="1:15" s="86" customFormat="1" x14ac:dyDescent="0.25">
      <c r="A155" s="55" t="s">
        <v>132</v>
      </c>
      <c r="B155" s="71">
        <f>Historicals!B212</f>
        <v>18</v>
      </c>
      <c r="C155" s="71">
        <f>Historicals!C212</f>
        <v>27</v>
      </c>
      <c r="D155" s="71">
        <f>Historicals!D212</f>
        <v>28</v>
      </c>
      <c r="E155" s="71">
        <f>Historicals!E212</f>
        <v>33</v>
      </c>
      <c r="F155" s="71">
        <f>Historicals!F212</f>
        <v>31</v>
      </c>
      <c r="G155" s="71">
        <f>Historicals!G212</f>
        <v>25</v>
      </c>
      <c r="H155" s="71">
        <f>Historicals!H212</f>
        <v>26</v>
      </c>
      <c r="I155" s="71">
        <f>Historicals!I212</f>
        <v>22</v>
      </c>
      <c r="J155" s="121">
        <f>J158*J162</f>
        <v>23.254000000000001</v>
      </c>
      <c r="K155" s="121">
        <f t="shared" ref="K155:N155" si="329">K158*K162</f>
        <v>24.579477999999998</v>
      </c>
      <c r="L155" s="121">
        <f t="shared" si="329"/>
        <v>25.980508245999996</v>
      </c>
      <c r="M155" s="121">
        <f t="shared" si="329"/>
        <v>27.461397216021997</v>
      </c>
      <c r="N155" s="121">
        <f t="shared" si="329"/>
        <v>29.026696857335249</v>
      </c>
    </row>
    <row r="156" spans="1:15" s="59" customFormat="1" x14ac:dyDescent="0.25">
      <c r="A156" s="44" t="s">
        <v>129</v>
      </c>
      <c r="B156" s="61" t="str">
        <f>IFERROR(B155/A155-1,"nm")</f>
        <v>nm</v>
      </c>
      <c r="C156" s="61">
        <f t="shared" ref="C156:I156" si="330">IFERROR(C155/B155-1,"nm")</f>
        <v>0.5</v>
      </c>
      <c r="D156" s="61">
        <f t="shared" si="330"/>
        <v>3.7037037037036979E-2</v>
      </c>
      <c r="E156" s="61">
        <f t="shared" si="330"/>
        <v>0.1785714285714286</v>
      </c>
      <c r="F156" s="61">
        <f t="shared" si="330"/>
        <v>-6.0606060606060552E-2</v>
      </c>
      <c r="G156" s="61">
        <f t="shared" si="330"/>
        <v>-0.19354838709677424</v>
      </c>
      <c r="H156" s="61">
        <f t="shared" si="330"/>
        <v>4.0000000000000036E-2</v>
      </c>
      <c r="I156" s="61">
        <f t="shared" si="330"/>
        <v>-0.15384615384615385</v>
      </c>
      <c r="J156" s="61">
        <f t="shared" ref="J156" si="331">IFERROR(J155/I155-1,"nm")</f>
        <v>5.7000000000000162E-2</v>
      </c>
      <c r="K156" s="61">
        <f t="shared" ref="K156" si="332">IFERROR(K155/J155-1,"nm")</f>
        <v>5.699999999999994E-2</v>
      </c>
      <c r="L156" s="61">
        <f t="shared" ref="L156" si="333">IFERROR(L155/K155-1,"nm")</f>
        <v>5.699999999999994E-2</v>
      </c>
      <c r="M156" s="61">
        <f t="shared" ref="M156" si="334">IFERROR(M155/L155-1,"nm")</f>
        <v>5.699999999999994E-2</v>
      </c>
      <c r="N156" s="61">
        <f t="shared" ref="N156" si="335">IFERROR(N155/M155-1,"nm")</f>
        <v>5.699999999999994E-2</v>
      </c>
    </row>
    <row r="157" spans="1:15" s="59" customFormat="1" x14ac:dyDescent="0.25">
      <c r="A157" s="44" t="s">
        <v>133</v>
      </c>
      <c r="B157" s="62">
        <f>IFERROR(B155/B145,"nm")</f>
        <v>9.0817356205852677E-3</v>
      </c>
      <c r="C157" s="62">
        <f t="shared" ref="C157:N157" si="336">IFERROR(C155/C145,"nm")</f>
        <v>1.3810741687979539E-2</v>
      </c>
      <c r="D157" s="62">
        <f t="shared" si="336"/>
        <v>1.3712047012732615E-2</v>
      </c>
      <c r="E157" s="62">
        <f t="shared" si="336"/>
        <v>1.7497348886532343E-2</v>
      </c>
      <c r="F157" s="62">
        <f t="shared" si="336"/>
        <v>1.6264428121720881E-2</v>
      </c>
      <c r="G157" s="62">
        <f t="shared" si="336"/>
        <v>1.3542795232936078E-2</v>
      </c>
      <c r="H157" s="62">
        <f t="shared" si="336"/>
        <v>1.1791383219954649E-2</v>
      </c>
      <c r="I157" s="62">
        <f t="shared" si="336"/>
        <v>9.3776641091219103E-3</v>
      </c>
      <c r="J157" s="62">
        <f t="shared" si="336"/>
        <v>9.3776641091219103E-3</v>
      </c>
      <c r="K157" s="62">
        <f t="shared" si="336"/>
        <v>9.3776641091219103E-3</v>
      </c>
      <c r="L157" s="62">
        <f t="shared" si="336"/>
        <v>9.3776641091219103E-3</v>
      </c>
      <c r="M157" s="62">
        <f t="shared" si="336"/>
        <v>9.3776641091219103E-3</v>
      </c>
      <c r="N157" s="62">
        <f t="shared" si="336"/>
        <v>9.3776641091219103E-3</v>
      </c>
    </row>
    <row r="158" spans="1:15" s="59" customFormat="1" x14ac:dyDescent="0.25">
      <c r="A158" s="44" t="s">
        <v>140</v>
      </c>
      <c r="B158" s="62">
        <f>IFERROR(B155/B162,"nm")</f>
        <v>0.14754098360655737</v>
      </c>
      <c r="C158" s="62">
        <f t="shared" ref="C158:I158" si="337">IFERROR(C155/C162,"nm")</f>
        <v>0.216</v>
      </c>
      <c r="D158" s="62">
        <f t="shared" si="337"/>
        <v>0.224</v>
      </c>
      <c r="E158" s="62">
        <f t="shared" si="337"/>
        <v>0.28695652173913044</v>
      </c>
      <c r="F158" s="62">
        <f t="shared" si="337"/>
        <v>0.31</v>
      </c>
      <c r="G158" s="62">
        <f t="shared" si="337"/>
        <v>0.3125</v>
      </c>
      <c r="H158" s="62">
        <f t="shared" si="337"/>
        <v>0.41269841269841268</v>
      </c>
      <c r="I158" s="62">
        <f t="shared" si="337"/>
        <v>0.44897959183673469</v>
      </c>
      <c r="J158" s="87">
        <f>I158</f>
        <v>0.44897959183673469</v>
      </c>
      <c r="K158" s="87">
        <f t="shared" ref="K158:N158" si="338">J158</f>
        <v>0.44897959183673469</v>
      </c>
      <c r="L158" s="87">
        <f t="shared" si="338"/>
        <v>0.44897959183673469</v>
      </c>
      <c r="M158" s="87">
        <f t="shared" si="338"/>
        <v>0.44897959183673469</v>
      </c>
      <c r="N158" s="87">
        <f t="shared" si="338"/>
        <v>0.44897959183673469</v>
      </c>
    </row>
    <row r="159" spans="1:15" s="84" customFormat="1" x14ac:dyDescent="0.25">
      <c r="A159" s="55" t="s">
        <v>130</v>
      </c>
      <c r="B159" s="71">
        <f>B149+B155</f>
        <v>535</v>
      </c>
      <c r="C159" s="71">
        <f t="shared" ref="C159:I159" si="339">C149+C155</f>
        <v>514</v>
      </c>
      <c r="D159" s="71">
        <f t="shared" si="339"/>
        <v>505</v>
      </c>
      <c r="E159" s="71">
        <f t="shared" si="339"/>
        <v>343</v>
      </c>
      <c r="F159" s="71">
        <f t="shared" si="339"/>
        <v>334</v>
      </c>
      <c r="G159" s="71">
        <f t="shared" si="339"/>
        <v>322</v>
      </c>
      <c r="H159" s="71">
        <f t="shared" si="339"/>
        <v>569</v>
      </c>
      <c r="I159" s="71">
        <f t="shared" si="339"/>
        <v>691</v>
      </c>
      <c r="J159" s="121">
        <f>J145*J161</f>
        <v>730.38699999999994</v>
      </c>
      <c r="K159" s="121">
        <f t="shared" ref="K159:N159" si="340">K145*K161</f>
        <v>772.01905899999986</v>
      </c>
      <c r="L159" s="121">
        <f t="shared" si="340"/>
        <v>816.02414536299977</v>
      </c>
      <c r="M159" s="121">
        <f t="shared" si="340"/>
        <v>862.53752164869081</v>
      </c>
      <c r="N159" s="121">
        <f t="shared" si="340"/>
        <v>911.70216038266619</v>
      </c>
    </row>
    <row r="160" spans="1:15" s="59" customFormat="1" x14ac:dyDescent="0.25">
      <c r="A160" s="44" t="s">
        <v>129</v>
      </c>
      <c r="B160" s="61" t="str">
        <f t="shared" ref="B160:I160" si="341">IFERROR(B159/A159-1,"nm")</f>
        <v>nm</v>
      </c>
      <c r="C160" s="61">
        <f t="shared" si="341"/>
        <v>-3.9252336448598157E-2</v>
      </c>
      <c r="D160" s="61">
        <f t="shared" si="341"/>
        <v>-1.7509727626459193E-2</v>
      </c>
      <c r="E160" s="61">
        <f t="shared" si="341"/>
        <v>-0.32079207920792074</v>
      </c>
      <c r="F160" s="61">
        <f t="shared" si="341"/>
        <v>-2.6239067055393583E-2</v>
      </c>
      <c r="G160" s="61">
        <f t="shared" si="341"/>
        <v>-3.59281437125748E-2</v>
      </c>
      <c r="H160" s="61">
        <f t="shared" si="341"/>
        <v>0.76708074534161486</v>
      </c>
      <c r="I160" s="61">
        <f t="shared" si="341"/>
        <v>0.21441124780316345</v>
      </c>
      <c r="J160" s="61">
        <f t="shared" ref="J160" si="342">IFERROR(J159/I159-1,"nm")</f>
        <v>5.699999999999994E-2</v>
      </c>
      <c r="K160" s="61">
        <f t="shared" ref="K160" si="343">IFERROR(K159/J159-1,"nm")</f>
        <v>5.699999999999994E-2</v>
      </c>
      <c r="L160" s="61">
        <f t="shared" ref="L160" si="344">IFERROR(L159/K159-1,"nm")</f>
        <v>5.699999999999994E-2</v>
      </c>
      <c r="M160" s="61">
        <f t="shared" ref="M160" si="345">IFERROR(M159/L159-1,"nm")</f>
        <v>5.7000000000000162E-2</v>
      </c>
      <c r="N160" s="61">
        <f t="shared" ref="N160" si="346">IFERROR(N159/M159-1,"nm")</f>
        <v>5.699999999999994E-2</v>
      </c>
    </row>
    <row r="161" spans="1:15" s="59" customFormat="1" x14ac:dyDescent="0.25">
      <c r="A161" s="44" t="s">
        <v>131</v>
      </c>
      <c r="B161" s="61">
        <f>IFERROR(B159/B145,"nm")</f>
        <v>0.26992936427850656</v>
      </c>
      <c r="C161" s="61">
        <f t="shared" ref="C161:I161" si="347">IFERROR(C159/C145,"nm")</f>
        <v>0.26291560102301792</v>
      </c>
      <c r="D161" s="61">
        <f t="shared" si="347"/>
        <v>0.24730656219392752</v>
      </c>
      <c r="E161" s="61">
        <f t="shared" si="347"/>
        <v>0.18186638388123011</v>
      </c>
      <c r="F161" s="61">
        <f t="shared" si="347"/>
        <v>0.17523609653725078</v>
      </c>
      <c r="G161" s="61">
        <f t="shared" si="347"/>
        <v>0.17443120260021669</v>
      </c>
      <c r="H161" s="61">
        <f t="shared" si="347"/>
        <v>0.25804988662131517</v>
      </c>
      <c r="I161" s="61">
        <f t="shared" si="347"/>
        <v>0.29454390451832907</v>
      </c>
      <c r="J161" s="85">
        <f>I161</f>
        <v>0.29454390451832907</v>
      </c>
      <c r="K161" s="85">
        <f t="shared" ref="K161:N161" si="348">J161</f>
        <v>0.29454390451832907</v>
      </c>
      <c r="L161" s="85">
        <f t="shared" si="348"/>
        <v>0.29454390451832907</v>
      </c>
      <c r="M161" s="85">
        <f t="shared" si="348"/>
        <v>0.29454390451832907</v>
      </c>
      <c r="N161" s="85">
        <f t="shared" si="348"/>
        <v>0.29454390451832907</v>
      </c>
    </row>
    <row r="162" spans="1:15" s="59" customFormat="1" x14ac:dyDescent="0.25">
      <c r="A162" s="55" t="s">
        <v>141</v>
      </c>
      <c r="B162" s="75">
        <f>Historicals!B182</f>
        <v>122</v>
      </c>
      <c r="C162" s="75">
        <f>Historicals!C182</f>
        <v>125</v>
      </c>
      <c r="D162" s="75">
        <f>Historicals!D182</f>
        <v>125</v>
      </c>
      <c r="E162" s="75">
        <f>Historicals!E182</f>
        <v>115</v>
      </c>
      <c r="F162" s="75">
        <f>Historicals!F182</f>
        <v>100</v>
      </c>
      <c r="G162" s="75">
        <f>Historicals!G182</f>
        <v>80</v>
      </c>
      <c r="H162" s="75">
        <f>Historicals!H182</f>
        <v>63</v>
      </c>
      <c r="I162" s="75">
        <f>Historicals!I182</f>
        <v>49</v>
      </c>
      <c r="J162" s="121">
        <f>J145*J164</f>
        <v>51.792999999999999</v>
      </c>
      <c r="K162" s="121">
        <f t="shared" ref="K162:N162" si="349">K145*K164</f>
        <v>54.745200999999994</v>
      </c>
      <c r="L162" s="121">
        <f t="shared" si="349"/>
        <v>57.86567745699999</v>
      </c>
      <c r="M162" s="121">
        <f t="shared" si="349"/>
        <v>61.164021072048989</v>
      </c>
      <c r="N162" s="121">
        <f t="shared" si="349"/>
        <v>64.650370273155787</v>
      </c>
    </row>
    <row r="163" spans="1:15" s="59" customFormat="1" x14ac:dyDescent="0.25">
      <c r="A163" s="44" t="s">
        <v>129</v>
      </c>
      <c r="B163" s="69" t="str">
        <f>IFERROR(B162/A162-1,"nm")</f>
        <v>nm</v>
      </c>
      <c r="C163" s="69">
        <f t="shared" ref="C163:I163" si="350">IFERROR(C162/B162-1,"nm")</f>
        <v>2.4590163934426146E-2</v>
      </c>
      <c r="D163" s="69">
        <f t="shared" si="350"/>
        <v>0</v>
      </c>
      <c r="E163" s="69">
        <f t="shared" si="350"/>
        <v>-7.999999999999996E-2</v>
      </c>
      <c r="F163" s="69">
        <f t="shared" si="350"/>
        <v>-0.13043478260869568</v>
      </c>
      <c r="G163" s="69">
        <f t="shared" si="350"/>
        <v>-0.19999999999999996</v>
      </c>
      <c r="H163" s="69">
        <f t="shared" si="350"/>
        <v>-0.21250000000000002</v>
      </c>
      <c r="I163" s="69">
        <f t="shared" si="350"/>
        <v>-0.22222222222222221</v>
      </c>
      <c r="J163" s="69">
        <f t="shared" ref="J163" si="351">IFERROR(J162/I162-1,"nm")</f>
        <v>5.699999999999994E-2</v>
      </c>
      <c r="K163" s="69">
        <f t="shared" ref="K163" si="352">IFERROR(K162/J162-1,"nm")</f>
        <v>5.699999999999994E-2</v>
      </c>
      <c r="L163" s="69">
        <f t="shared" ref="L163" si="353">IFERROR(L162/K162-1,"nm")</f>
        <v>5.699999999999994E-2</v>
      </c>
      <c r="M163" s="69">
        <f t="shared" ref="M163" si="354">IFERROR(M162/L162-1,"nm")</f>
        <v>5.699999999999994E-2</v>
      </c>
      <c r="N163" s="69">
        <f t="shared" ref="N163" si="355">IFERROR(N162/M162-1,"nm")</f>
        <v>5.7000000000000162E-2</v>
      </c>
    </row>
    <row r="164" spans="1:15" s="59" customFormat="1" x14ac:dyDescent="0.25">
      <c r="A164" s="44" t="s">
        <v>155</v>
      </c>
      <c r="B164" s="69">
        <f>IFERROR(B162/B$145,"nm")</f>
        <v>6.1553985872855703E-2</v>
      </c>
      <c r="C164" s="69">
        <f t="shared" ref="C164:I164" si="356">IFERROR(C162/C$145,"nm")</f>
        <v>6.3938618925831206E-2</v>
      </c>
      <c r="D164" s="69">
        <f t="shared" si="356"/>
        <v>6.1214495592556317E-2</v>
      </c>
      <c r="E164" s="69">
        <f t="shared" si="356"/>
        <v>6.097560975609756E-2</v>
      </c>
      <c r="F164" s="69">
        <f t="shared" si="356"/>
        <v>5.2465897166841552E-2</v>
      </c>
      <c r="G164" s="69">
        <f t="shared" si="356"/>
        <v>4.3336944745395449E-2</v>
      </c>
      <c r="H164" s="69">
        <f t="shared" si="356"/>
        <v>2.8571428571428571E-2</v>
      </c>
      <c r="I164" s="69">
        <f t="shared" si="356"/>
        <v>2.0886615515771527E-2</v>
      </c>
      <c r="J164" s="83">
        <f>I164</f>
        <v>2.0886615515771527E-2</v>
      </c>
      <c r="K164" s="83">
        <f t="shared" ref="K164:N164" si="357">J164</f>
        <v>2.0886615515771527E-2</v>
      </c>
      <c r="L164" s="83">
        <f t="shared" si="357"/>
        <v>2.0886615515771527E-2</v>
      </c>
      <c r="M164" s="83">
        <f t="shared" si="357"/>
        <v>2.0886615515771527E-2</v>
      </c>
      <c r="N164" s="83">
        <f t="shared" si="357"/>
        <v>2.0886615515771527E-2</v>
      </c>
    </row>
    <row r="165" spans="1:15" x14ac:dyDescent="0.25">
      <c r="A165" s="41" t="str">
        <f>+[1]Historicals!A138</f>
        <v>Global Brand Divisions</v>
      </c>
      <c r="B165" s="41"/>
      <c r="C165" s="41"/>
      <c r="D165" s="41"/>
      <c r="E165" s="41"/>
      <c r="F165" s="41"/>
      <c r="G165" s="41"/>
      <c r="H165" s="41"/>
      <c r="I165" s="41"/>
      <c r="J165" s="37"/>
      <c r="K165" s="37"/>
      <c r="L165" s="37"/>
      <c r="M165" s="37"/>
      <c r="N165" s="37"/>
    </row>
    <row r="166" spans="1:15" s="59" customFormat="1" x14ac:dyDescent="0.25">
      <c r="A166" s="55" t="s">
        <v>136</v>
      </c>
      <c r="B166" s="63">
        <f>Historicals!B146</f>
        <v>115</v>
      </c>
      <c r="C166" s="63">
        <f>Historicals!C146</f>
        <v>73</v>
      </c>
      <c r="D166" s="63">
        <f>Historicals!D146</f>
        <v>73</v>
      </c>
      <c r="E166" s="63">
        <f>Historicals!E146</f>
        <v>88</v>
      </c>
      <c r="F166" s="63">
        <f>Historicals!F146</f>
        <v>42</v>
      </c>
      <c r="G166" s="63">
        <f>Historicals!G146</f>
        <v>30</v>
      </c>
      <c r="H166" s="63">
        <f>Historicals!H146</f>
        <v>25</v>
      </c>
      <c r="I166" s="63">
        <f>Historicals!I146</f>
        <v>102</v>
      </c>
      <c r="J166" s="96">
        <f>I166*(1+J167)</f>
        <v>107.81399999999999</v>
      </c>
      <c r="K166" s="96">
        <f t="shared" ref="K166:N166" si="358">J166*(1+K167)</f>
        <v>113.95939799999999</v>
      </c>
      <c r="L166" s="96">
        <f t="shared" si="358"/>
        <v>120.45508368599998</v>
      </c>
      <c r="M166" s="96">
        <f t="shared" si="358"/>
        <v>127.32102345610197</v>
      </c>
      <c r="N166" s="96">
        <f t="shared" si="358"/>
        <v>134.57832179309978</v>
      </c>
    </row>
    <row r="167" spans="1:15" s="59" customFormat="1" x14ac:dyDescent="0.25">
      <c r="A167" s="44" t="s">
        <v>129</v>
      </c>
      <c r="B167" s="58" t="str">
        <f>IFERROR(B166/A166-1,"nm")</f>
        <v>nm</v>
      </c>
      <c r="C167" s="58">
        <f t="shared" ref="C167:I167" si="359">IFERROR(C166/B166-1,"nm")</f>
        <v>-0.36521739130434783</v>
      </c>
      <c r="D167" s="58">
        <f t="shared" si="359"/>
        <v>0</v>
      </c>
      <c r="E167" s="58">
        <f t="shared" si="359"/>
        <v>0.20547945205479445</v>
      </c>
      <c r="F167" s="58">
        <f t="shared" si="359"/>
        <v>-0.52272727272727271</v>
      </c>
      <c r="G167" s="58">
        <f t="shared" si="359"/>
        <v>-0.2857142857142857</v>
      </c>
      <c r="H167" s="58">
        <f t="shared" si="359"/>
        <v>-0.16666666666666663</v>
      </c>
      <c r="I167" s="58">
        <f t="shared" si="359"/>
        <v>3.08</v>
      </c>
      <c r="J167" s="58">
        <f>J168+J169</f>
        <v>5.7000000000000002E-2</v>
      </c>
      <c r="K167" s="58">
        <f t="shared" ref="K167:N167" si="360">K168+K169</f>
        <v>5.7000000000000002E-2</v>
      </c>
      <c r="L167" s="58">
        <f t="shared" si="360"/>
        <v>5.7000000000000002E-2</v>
      </c>
      <c r="M167" s="58">
        <f t="shared" si="360"/>
        <v>5.7000000000000002E-2</v>
      </c>
      <c r="N167" s="58">
        <f t="shared" si="360"/>
        <v>5.7000000000000002E-2</v>
      </c>
    </row>
    <row r="168" spans="1:15" s="59" customFormat="1" x14ac:dyDescent="0.25">
      <c r="A168" s="44" t="s">
        <v>137</v>
      </c>
      <c r="B168" s="58">
        <f>Historicals!B234</f>
        <v>-0.02</v>
      </c>
      <c r="C168" s="58">
        <f>Historicals!C234</f>
        <v>-0.3</v>
      </c>
      <c r="D168" s="58">
        <f>Historicals!D234</f>
        <v>0.02</v>
      </c>
      <c r="E168" s="58">
        <f>Historicals!E234</f>
        <v>0.12</v>
      </c>
      <c r="F168" s="58">
        <f>Historicals!F234</f>
        <v>-0.53</v>
      </c>
      <c r="G168" s="58">
        <f>Historicals!G234</f>
        <v>-0.26</v>
      </c>
      <c r="H168" s="58">
        <f>Historicals!H234</f>
        <v>-0.17</v>
      </c>
      <c r="I168" s="58">
        <f>Historicals!I234</f>
        <v>3.02</v>
      </c>
      <c r="J168" s="58">
        <v>5.7000000000000002E-2</v>
      </c>
      <c r="K168" s="58">
        <v>5.7000000000000002E-2</v>
      </c>
      <c r="L168" s="58">
        <v>5.7000000000000002E-2</v>
      </c>
      <c r="M168" s="58">
        <v>5.7000000000000002E-2</v>
      </c>
      <c r="N168" s="58">
        <v>5.7000000000000002E-2</v>
      </c>
      <c r="O168" s="59" t="s">
        <v>204</v>
      </c>
    </row>
    <row r="169" spans="1:15" s="59" customFormat="1" x14ac:dyDescent="0.25">
      <c r="A169" s="44" t="s">
        <v>138</v>
      </c>
      <c r="B169" s="58" t="str">
        <f>IFERROR(B167-B168,"nm")</f>
        <v>nm</v>
      </c>
      <c r="C169" s="58">
        <f t="shared" ref="C169:I169" si="361">IFERROR(C167-C168,"nm")</f>
        <v>-6.5217391304347838E-2</v>
      </c>
      <c r="D169" s="58">
        <f t="shared" si="361"/>
        <v>-0.02</v>
      </c>
      <c r="E169" s="58">
        <f t="shared" si="361"/>
        <v>8.5479452054794458E-2</v>
      </c>
      <c r="F169" s="58">
        <f t="shared" si="361"/>
        <v>7.2727272727273196E-3</v>
      </c>
      <c r="G169" s="58">
        <f t="shared" si="361"/>
        <v>-2.571428571428569E-2</v>
      </c>
      <c r="H169" s="58">
        <f t="shared" si="361"/>
        <v>3.3333333333333826E-3</v>
      </c>
      <c r="I169" s="58">
        <f t="shared" si="361"/>
        <v>6.0000000000000053E-2</v>
      </c>
      <c r="J169" s="58">
        <v>0</v>
      </c>
      <c r="K169" s="58">
        <v>0</v>
      </c>
      <c r="L169" s="58">
        <v>0</v>
      </c>
      <c r="M169" s="58">
        <v>0</v>
      </c>
      <c r="N169" s="58">
        <v>0</v>
      </c>
    </row>
    <row r="170" spans="1:15" s="59" customFormat="1" x14ac:dyDescent="0.25">
      <c r="A170" s="55" t="s">
        <v>134</v>
      </c>
      <c r="B170" s="64">
        <f>Historicals!B165</f>
        <v>-2267</v>
      </c>
      <c r="C170" s="64">
        <f>Historicals!C165</f>
        <v>-2596</v>
      </c>
      <c r="D170" s="64">
        <f>Historicals!D165</f>
        <v>-2677</v>
      </c>
      <c r="E170" s="64">
        <f>Historicals!E165</f>
        <v>-2658</v>
      </c>
      <c r="F170" s="64">
        <f>Historicals!F165</f>
        <v>-3262</v>
      </c>
      <c r="G170" s="64">
        <f>Historicals!G165</f>
        <v>-3468</v>
      </c>
      <c r="H170" s="64">
        <f>Historicals!H165</f>
        <v>-3656</v>
      </c>
      <c r="I170" s="64">
        <f>Historicals!I165</f>
        <v>-4262</v>
      </c>
      <c r="J170" s="92">
        <f>J180-J176</f>
        <v>-4504.9339999999993</v>
      </c>
      <c r="K170" s="92">
        <f t="shared" ref="K170:N170" si="362">K180-K176</f>
        <v>-4761.7152379999998</v>
      </c>
      <c r="L170" s="92">
        <f t="shared" si="362"/>
        <v>-5033.1330065659986</v>
      </c>
      <c r="M170" s="92">
        <f t="shared" si="362"/>
        <v>-5320.0215879402604</v>
      </c>
      <c r="N170" s="92">
        <f t="shared" si="362"/>
        <v>-5623.2628184528548</v>
      </c>
    </row>
    <row r="171" spans="1:15" s="59" customFormat="1" x14ac:dyDescent="0.25">
      <c r="A171" s="44" t="s">
        <v>129</v>
      </c>
      <c r="B171" s="65" t="str">
        <f>IFERROR(B170/A170-1,"nm")</f>
        <v>nm</v>
      </c>
      <c r="C171" s="61">
        <f t="shared" ref="C171:I171" si="363">IFERROR(C170/B170-1,"nm")</f>
        <v>0.145125716806352</v>
      </c>
      <c r="D171" s="61">
        <f t="shared" si="363"/>
        <v>3.1201848998459125E-2</v>
      </c>
      <c r="E171" s="61">
        <f t="shared" si="363"/>
        <v>-7.097497198356395E-3</v>
      </c>
      <c r="F171" s="61">
        <f t="shared" si="363"/>
        <v>0.22723852520692245</v>
      </c>
      <c r="G171" s="61">
        <f t="shared" si="363"/>
        <v>6.3151440833844275E-2</v>
      </c>
      <c r="H171" s="61">
        <f t="shared" si="363"/>
        <v>5.4209919261822392E-2</v>
      </c>
      <c r="I171" s="61">
        <f t="shared" si="363"/>
        <v>0.16575492341356668</v>
      </c>
      <c r="J171" s="61">
        <f t="shared" ref="J171" si="364">IFERROR(J170/I170-1,"nm")</f>
        <v>5.699999999999994E-2</v>
      </c>
      <c r="K171" s="61">
        <f t="shared" ref="K171" si="365">IFERROR(K170/J170-1,"nm")</f>
        <v>5.7000000000000162E-2</v>
      </c>
      <c r="L171" s="61">
        <f t="shared" ref="L171" si="366">IFERROR(L170/K170-1,"nm")</f>
        <v>5.6999999999999718E-2</v>
      </c>
      <c r="M171" s="61">
        <f t="shared" ref="M171" si="367">IFERROR(M170/L170-1,"nm")</f>
        <v>5.699999999999994E-2</v>
      </c>
      <c r="N171" s="61">
        <f t="shared" ref="N171" si="368">IFERROR(N170/M170-1,"nm")</f>
        <v>5.699999999999994E-2</v>
      </c>
    </row>
    <row r="172" spans="1:15" s="59" customFormat="1" x14ac:dyDescent="0.25">
      <c r="A172" s="44" t="s">
        <v>131</v>
      </c>
      <c r="B172" s="66">
        <f>IFERROR(B170/B166,"nm")</f>
        <v>-19.713043478260868</v>
      </c>
      <c r="C172" s="66">
        <f t="shared" ref="C172:N172" si="369">IFERROR(C170/C166,"nm")</f>
        <v>-35.561643835616437</v>
      </c>
      <c r="D172" s="66">
        <f t="shared" si="369"/>
        <v>-36.671232876712331</v>
      </c>
      <c r="E172" s="66">
        <f t="shared" si="369"/>
        <v>-30.204545454545453</v>
      </c>
      <c r="F172" s="66">
        <f t="shared" si="369"/>
        <v>-77.666666666666671</v>
      </c>
      <c r="G172" s="66">
        <f t="shared" si="369"/>
        <v>-115.6</v>
      </c>
      <c r="H172" s="66">
        <f t="shared" si="369"/>
        <v>-146.24</v>
      </c>
      <c r="I172" s="66">
        <f t="shared" si="369"/>
        <v>-41.784313725490193</v>
      </c>
      <c r="J172" s="66">
        <f t="shared" si="369"/>
        <v>-41.784313725490193</v>
      </c>
      <c r="K172" s="66">
        <f t="shared" si="369"/>
        <v>-41.784313725490193</v>
      </c>
      <c r="L172" s="66">
        <f t="shared" si="369"/>
        <v>-41.784313725490193</v>
      </c>
      <c r="M172" s="66">
        <f t="shared" si="369"/>
        <v>-41.784313725490193</v>
      </c>
      <c r="N172" s="66">
        <f t="shared" si="369"/>
        <v>-41.784313725490193</v>
      </c>
    </row>
    <row r="173" spans="1:15" s="59" customFormat="1" x14ac:dyDescent="0.25">
      <c r="A173" s="55" t="s">
        <v>154</v>
      </c>
      <c r="B173" s="60">
        <f>Historicals!B195</f>
        <v>225</v>
      </c>
      <c r="C173" s="60">
        <f>Historicals!C195</f>
        <v>258</v>
      </c>
      <c r="D173" s="60">
        <f>Historicals!D195</f>
        <v>278</v>
      </c>
      <c r="E173" s="60">
        <f>Historicals!E195</f>
        <v>286</v>
      </c>
      <c r="F173" s="60">
        <f>Historicals!F195</f>
        <v>278</v>
      </c>
      <c r="G173" s="60">
        <f>Historicals!G195</f>
        <v>438</v>
      </c>
      <c r="H173" s="60">
        <f>Historicals!H195</f>
        <v>278</v>
      </c>
      <c r="I173" s="60">
        <f>Historicals!I195</f>
        <v>222</v>
      </c>
      <c r="J173" s="91">
        <f>J166*J175</f>
        <v>234.65399999999997</v>
      </c>
      <c r="K173" s="91">
        <f t="shared" ref="K173:N173" si="370">K166*K175</f>
        <v>248.02927799999998</v>
      </c>
      <c r="L173" s="91">
        <f t="shared" si="370"/>
        <v>262.16694684599992</v>
      </c>
      <c r="M173" s="91">
        <f t="shared" si="370"/>
        <v>277.11046281622191</v>
      </c>
      <c r="N173" s="91">
        <f t="shared" si="370"/>
        <v>292.90575919674654</v>
      </c>
    </row>
    <row r="174" spans="1:15" s="59" customFormat="1" x14ac:dyDescent="0.25">
      <c r="A174" s="44" t="s">
        <v>129</v>
      </c>
      <c r="B174" s="61" t="str">
        <f>IFERROR(B173/A173-1,"nm")</f>
        <v>nm</v>
      </c>
      <c r="C174" s="61">
        <f t="shared" ref="C174:I174" si="371">IFERROR(C173/B173-1,"nm")</f>
        <v>0.14666666666666672</v>
      </c>
      <c r="D174" s="61">
        <f t="shared" si="371"/>
        <v>7.7519379844961156E-2</v>
      </c>
      <c r="E174" s="61">
        <f t="shared" si="371"/>
        <v>2.877697841726623E-2</v>
      </c>
      <c r="F174" s="61">
        <f t="shared" si="371"/>
        <v>-2.7972027972028024E-2</v>
      </c>
      <c r="G174" s="61">
        <f t="shared" si="371"/>
        <v>0.57553956834532372</v>
      </c>
      <c r="H174" s="61">
        <f t="shared" si="371"/>
        <v>-0.36529680365296802</v>
      </c>
      <c r="I174" s="61">
        <f t="shared" si="371"/>
        <v>-0.20143884892086328</v>
      </c>
      <c r="J174" s="61">
        <f t="shared" ref="J174" si="372">IFERROR(J173/I173-1,"nm")</f>
        <v>5.699999999999994E-2</v>
      </c>
      <c r="K174" s="61">
        <f t="shared" ref="K174" si="373">IFERROR(K173/J173-1,"nm")</f>
        <v>5.699999999999994E-2</v>
      </c>
      <c r="L174" s="61">
        <f t="shared" ref="L174" si="374">IFERROR(L173/K173-1,"nm")</f>
        <v>5.6999999999999718E-2</v>
      </c>
      <c r="M174" s="61">
        <f t="shared" ref="M174" si="375">IFERROR(M173/L173-1,"nm")</f>
        <v>5.699999999999994E-2</v>
      </c>
      <c r="N174" s="61">
        <f t="shared" ref="N174" si="376">IFERROR(N173/M173-1,"nm")</f>
        <v>5.699999999999994E-2</v>
      </c>
    </row>
    <row r="175" spans="1:15" s="59" customFormat="1" x14ac:dyDescent="0.25">
      <c r="A175" s="44" t="s">
        <v>131</v>
      </c>
      <c r="B175" s="61">
        <f>IFERROR(B173/B166,"nm")</f>
        <v>1.9565217391304348</v>
      </c>
      <c r="C175" s="61">
        <f t="shared" ref="C175:I175" si="377">IFERROR(C173/C166,"nm")</f>
        <v>3.5342465753424657</v>
      </c>
      <c r="D175" s="61">
        <f t="shared" si="377"/>
        <v>3.8082191780821919</v>
      </c>
      <c r="E175" s="61">
        <f t="shared" si="377"/>
        <v>3.25</v>
      </c>
      <c r="F175" s="61">
        <f t="shared" si="377"/>
        <v>6.6190476190476186</v>
      </c>
      <c r="G175" s="61">
        <f t="shared" si="377"/>
        <v>14.6</v>
      </c>
      <c r="H175" s="61">
        <f t="shared" si="377"/>
        <v>11.12</v>
      </c>
      <c r="I175" s="61">
        <f t="shared" si="377"/>
        <v>2.1764705882352939</v>
      </c>
      <c r="J175" s="85">
        <f>I175</f>
        <v>2.1764705882352939</v>
      </c>
      <c r="K175" s="85">
        <f t="shared" ref="K175:N175" si="378">J175</f>
        <v>2.1764705882352939</v>
      </c>
      <c r="L175" s="85">
        <f t="shared" si="378"/>
        <v>2.1764705882352939</v>
      </c>
      <c r="M175" s="85">
        <f t="shared" si="378"/>
        <v>2.1764705882352939</v>
      </c>
      <c r="N175" s="85">
        <f t="shared" si="378"/>
        <v>2.1764705882352939</v>
      </c>
    </row>
    <row r="176" spans="1:15" s="59" customFormat="1" x14ac:dyDescent="0.25">
      <c r="A176" s="55" t="s">
        <v>132</v>
      </c>
      <c r="B176" s="60">
        <f>Historicals!B210</f>
        <v>210</v>
      </c>
      <c r="C176" s="60">
        <f>Historicals!C210</f>
        <v>230</v>
      </c>
      <c r="D176" s="60">
        <f>Historicals!D210</f>
        <v>233</v>
      </c>
      <c r="E176" s="60">
        <f>Historicals!E210</f>
        <v>217</v>
      </c>
      <c r="F176" s="60">
        <f>Historicals!F210</f>
        <v>195</v>
      </c>
      <c r="G176" s="60">
        <f>Historicals!G210</f>
        <v>214</v>
      </c>
      <c r="H176" s="60">
        <f>Historicals!H210</f>
        <v>222</v>
      </c>
      <c r="I176" s="60">
        <f>Historicals!I210</f>
        <v>220</v>
      </c>
      <c r="J176" s="92">
        <f>J179*J183</f>
        <v>232.53999999999996</v>
      </c>
      <c r="K176" s="92">
        <f t="shared" ref="K176:N176" si="379">K179*K183</f>
        <v>245.79477999999997</v>
      </c>
      <c r="L176" s="92">
        <f t="shared" si="379"/>
        <v>259.80508245999994</v>
      </c>
      <c r="M176" s="92">
        <f t="shared" si="379"/>
        <v>274.61397216021993</v>
      </c>
      <c r="N176" s="92">
        <f t="shared" si="379"/>
        <v>290.26696857335241</v>
      </c>
    </row>
    <row r="177" spans="1:15" s="59" customFormat="1" x14ac:dyDescent="0.25">
      <c r="A177" s="44" t="s">
        <v>129</v>
      </c>
      <c r="B177" s="61" t="str">
        <f>IFERROR(B176/A176-1,"nm")</f>
        <v>nm</v>
      </c>
      <c r="C177" s="61">
        <f t="shared" ref="C177:I177" si="380">IFERROR(C176/B176-1,"nm")</f>
        <v>9.5238095238095344E-2</v>
      </c>
      <c r="D177" s="61">
        <f t="shared" si="380"/>
        <v>1.304347826086949E-2</v>
      </c>
      <c r="E177" s="61">
        <f t="shared" si="380"/>
        <v>-6.8669527896995763E-2</v>
      </c>
      <c r="F177" s="61">
        <f t="shared" si="380"/>
        <v>-0.10138248847926268</v>
      </c>
      <c r="G177" s="61">
        <f t="shared" si="380"/>
        <v>9.7435897435897534E-2</v>
      </c>
      <c r="H177" s="61">
        <f t="shared" si="380"/>
        <v>3.7383177570093462E-2</v>
      </c>
      <c r="I177" s="61">
        <f t="shared" si="380"/>
        <v>-9.009009009009028E-3</v>
      </c>
      <c r="J177" s="61">
        <f t="shared" ref="J177" si="381">IFERROR(J176/I176-1,"nm")</f>
        <v>5.699999999999994E-2</v>
      </c>
      <c r="K177" s="61">
        <f t="shared" ref="K177" si="382">IFERROR(K176/J176-1,"nm")</f>
        <v>5.7000000000000162E-2</v>
      </c>
      <c r="L177" s="61">
        <f t="shared" ref="L177" si="383">IFERROR(L176/K176-1,"nm")</f>
        <v>5.699999999999994E-2</v>
      </c>
      <c r="M177" s="61">
        <f t="shared" ref="M177" si="384">IFERROR(M176/L176-1,"nm")</f>
        <v>5.699999999999994E-2</v>
      </c>
      <c r="N177" s="61">
        <f t="shared" ref="N177" si="385">IFERROR(N176/M176-1,"nm")</f>
        <v>5.6999999999999718E-2</v>
      </c>
    </row>
    <row r="178" spans="1:15" s="59" customFormat="1" x14ac:dyDescent="0.25">
      <c r="A178" s="44" t="s">
        <v>133</v>
      </c>
      <c r="B178" s="61">
        <f>IFERROR(B176/B166,"nm")</f>
        <v>1.826086956521739</v>
      </c>
      <c r="C178" s="61">
        <f t="shared" ref="C178:I178" si="386">IFERROR(C176/C166,"nm")</f>
        <v>3.1506849315068495</v>
      </c>
      <c r="D178" s="61">
        <f t="shared" si="386"/>
        <v>3.1917808219178081</v>
      </c>
      <c r="E178" s="61">
        <f t="shared" si="386"/>
        <v>2.4659090909090908</v>
      </c>
      <c r="F178" s="61">
        <f t="shared" si="386"/>
        <v>4.6428571428571432</v>
      </c>
      <c r="G178" s="61">
        <f t="shared" si="386"/>
        <v>7.1333333333333337</v>
      </c>
      <c r="H178" s="61">
        <f t="shared" si="386"/>
        <v>8.8800000000000008</v>
      </c>
      <c r="I178" s="61">
        <f t="shared" si="386"/>
        <v>2.1568627450980391</v>
      </c>
      <c r="J178" s="85">
        <f>I178</f>
        <v>2.1568627450980391</v>
      </c>
      <c r="K178" s="85">
        <f t="shared" ref="K178:N178" si="387">J178</f>
        <v>2.1568627450980391</v>
      </c>
      <c r="L178" s="85">
        <f t="shared" si="387"/>
        <v>2.1568627450980391</v>
      </c>
      <c r="M178" s="85">
        <f t="shared" si="387"/>
        <v>2.1568627450980391</v>
      </c>
      <c r="N178" s="85">
        <f t="shared" si="387"/>
        <v>2.1568627450980391</v>
      </c>
    </row>
    <row r="179" spans="1:15" s="59" customFormat="1" x14ac:dyDescent="0.25">
      <c r="A179" s="44" t="s">
        <v>140</v>
      </c>
      <c r="B179" s="61">
        <f>IFERROR(B176/B183,"nm")</f>
        <v>0.43388429752066116</v>
      </c>
      <c r="C179" s="61">
        <f t="shared" ref="C179:I179" si="388">IFERROR(C176/C183,"nm")</f>
        <v>0.45009784735812131</v>
      </c>
      <c r="D179" s="61">
        <f t="shared" si="388"/>
        <v>0.43714821763602252</v>
      </c>
      <c r="E179" s="61">
        <f t="shared" si="388"/>
        <v>0.36348408710217756</v>
      </c>
      <c r="F179" s="61">
        <f t="shared" si="388"/>
        <v>0.2932330827067669</v>
      </c>
      <c r="G179" s="61">
        <f t="shared" si="388"/>
        <v>0.25783132530120484</v>
      </c>
      <c r="H179" s="61">
        <f t="shared" si="388"/>
        <v>0.2846153846153846</v>
      </c>
      <c r="I179" s="61">
        <f t="shared" si="388"/>
        <v>0.27883396704689478</v>
      </c>
      <c r="J179" s="85">
        <f>I179</f>
        <v>0.27883396704689478</v>
      </c>
      <c r="K179" s="85">
        <f t="shared" ref="K179:N179" si="389">J179</f>
        <v>0.27883396704689478</v>
      </c>
      <c r="L179" s="85">
        <f t="shared" si="389"/>
        <v>0.27883396704689478</v>
      </c>
      <c r="M179" s="85">
        <f t="shared" si="389"/>
        <v>0.27883396704689478</v>
      </c>
      <c r="N179" s="85">
        <f t="shared" si="389"/>
        <v>0.27883396704689478</v>
      </c>
    </row>
    <row r="180" spans="1:15" s="59" customFormat="1" x14ac:dyDescent="0.25">
      <c r="A180" s="55" t="s">
        <v>130</v>
      </c>
      <c r="B180" s="60">
        <f>B170+B176</f>
        <v>-2057</v>
      </c>
      <c r="C180" s="60">
        <f t="shared" ref="C180:I180" si="390">C170+C176</f>
        <v>-2366</v>
      </c>
      <c r="D180" s="60">
        <f t="shared" si="390"/>
        <v>-2444</v>
      </c>
      <c r="E180" s="60">
        <f t="shared" si="390"/>
        <v>-2441</v>
      </c>
      <c r="F180" s="60">
        <f t="shared" si="390"/>
        <v>-3067</v>
      </c>
      <c r="G180" s="60">
        <f t="shared" si="390"/>
        <v>-3254</v>
      </c>
      <c r="H180" s="60">
        <f t="shared" si="390"/>
        <v>-3434</v>
      </c>
      <c r="I180" s="60">
        <f t="shared" si="390"/>
        <v>-4042</v>
      </c>
      <c r="J180" s="92">
        <f>J166*J182</f>
        <v>-4272.3939999999993</v>
      </c>
      <c r="K180" s="92">
        <f t="shared" ref="K180:N180" si="391">K166*K182</f>
        <v>-4515.9204579999996</v>
      </c>
      <c r="L180" s="92">
        <f t="shared" si="391"/>
        <v>-4773.327924105999</v>
      </c>
      <c r="M180" s="92">
        <f t="shared" si="391"/>
        <v>-5045.40761578004</v>
      </c>
      <c r="N180" s="92">
        <f t="shared" si="391"/>
        <v>-5332.9958498795022</v>
      </c>
    </row>
    <row r="181" spans="1:15" s="59" customFormat="1" x14ac:dyDescent="0.25">
      <c r="A181" s="44" t="s">
        <v>129</v>
      </c>
      <c r="B181" s="61" t="str">
        <f>IFERROR(B180/A180-1,"nm")</f>
        <v>nm</v>
      </c>
      <c r="C181" s="61">
        <f t="shared" ref="C181:I181" si="392">IFERROR(C180/B180-1,"nm")</f>
        <v>0.15021876519202726</v>
      </c>
      <c r="D181" s="61">
        <f t="shared" si="392"/>
        <v>3.2967032967033072E-2</v>
      </c>
      <c r="E181" s="61">
        <f t="shared" si="392"/>
        <v>-1.2274959083469206E-3</v>
      </c>
      <c r="F181" s="61">
        <f t="shared" si="392"/>
        <v>0.25645227365833678</v>
      </c>
      <c r="G181" s="61">
        <f t="shared" si="392"/>
        <v>6.0971633518095869E-2</v>
      </c>
      <c r="H181" s="61">
        <f t="shared" si="392"/>
        <v>5.5316533497234088E-2</v>
      </c>
      <c r="I181" s="61">
        <f t="shared" si="392"/>
        <v>0.1770529994175889</v>
      </c>
      <c r="J181" s="61">
        <f t="shared" ref="J181" si="393">IFERROR(J180/I180-1,"nm")</f>
        <v>5.699999999999994E-2</v>
      </c>
      <c r="K181" s="61">
        <f t="shared" ref="K181" si="394">IFERROR(K180/J180-1,"nm")</f>
        <v>5.7000000000000162E-2</v>
      </c>
      <c r="L181" s="61">
        <f t="shared" ref="L181" si="395">IFERROR(L180/K180-1,"nm")</f>
        <v>5.699999999999994E-2</v>
      </c>
      <c r="M181" s="61">
        <f t="shared" ref="M181" si="396">IFERROR(M180/L180-1,"nm")</f>
        <v>5.6999999999999718E-2</v>
      </c>
      <c r="N181" s="61">
        <f t="shared" ref="N181" si="397">IFERROR(N180/M180-1,"nm")</f>
        <v>5.699999999999994E-2</v>
      </c>
    </row>
    <row r="182" spans="1:15" s="59" customFormat="1" x14ac:dyDescent="0.25">
      <c r="A182" s="44" t="s">
        <v>131</v>
      </c>
      <c r="B182" s="61">
        <f>IFERROR(B180/B166,"nm")</f>
        <v>-17.88695652173913</v>
      </c>
      <c r="C182" s="61">
        <f t="shared" ref="C182:I182" si="398">IFERROR(C180/C166,"nm")</f>
        <v>-32.410958904109592</v>
      </c>
      <c r="D182" s="61">
        <f t="shared" si="398"/>
        <v>-33.479452054794521</v>
      </c>
      <c r="E182" s="61">
        <f t="shared" si="398"/>
        <v>-27.738636363636363</v>
      </c>
      <c r="F182" s="61">
        <f t="shared" si="398"/>
        <v>-73.023809523809518</v>
      </c>
      <c r="G182" s="61">
        <f t="shared" si="398"/>
        <v>-108.46666666666667</v>
      </c>
      <c r="H182" s="61">
        <f t="shared" si="398"/>
        <v>-137.36000000000001</v>
      </c>
      <c r="I182" s="61">
        <f t="shared" si="398"/>
        <v>-39.627450980392155</v>
      </c>
      <c r="J182" s="85">
        <f>I182</f>
        <v>-39.627450980392155</v>
      </c>
      <c r="K182" s="85">
        <f t="shared" ref="K182:N182" si="399">J182</f>
        <v>-39.627450980392155</v>
      </c>
      <c r="L182" s="85">
        <f t="shared" si="399"/>
        <v>-39.627450980392155</v>
      </c>
      <c r="M182" s="85">
        <f t="shared" si="399"/>
        <v>-39.627450980392155</v>
      </c>
      <c r="N182" s="85">
        <f t="shared" si="399"/>
        <v>-39.627450980392155</v>
      </c>
    </row>
    <row r="183" spans="1:15" s="59" customFormat="1" x14ac:dyDescent="0.25">
      <c r="A183" s="55" t="s">
        <v>141</v>
      </c>
      <c r="B183" s="75">
        <f>Historicals!B180</f>
        <v>484</v>
      </c>
      <c r="C183" s="75">
        <f>Historicals!C180</f>
        <v>511</v>
      </c>
      <c r="D183" s="75">
        <f>Historicals!D180</f>
        <v>533</v>
      </c>
      <c r="E183" s="75">
        <f>Historicals!E180</f>
        <v>597</v>
      </c>
      <c r="F183" s="75">
        <f>Historicals!F180</f>
        <v>665</v>
      </c>
      <c r="G183" s="75">
        <f>Historicals!G180</f>
        <v>830</v>
      </c>
      <c r="H183" s="75">
        <f>Historicals!H180</f>
        <v>780</v>
      </c>
      <c r="I183" s="75">
        <f>Historicals!I180</f>
        <v>789</v>
      </c>
      <c r="J183" s="121">
        <f>J166*J185</f>
        <v>833.97299999999996</v>
      </c>
      <c r="K183" s="121">
        <f t="shared" ref="K183:N183" si="400">K166*K185</f>
        <v>881.50946099999999</v>
      </c>
      <c r="L183" s="121">
        <f t="shared" si="400"/>
        <v>931.7555002769999</v>
      </c>
      <c r="M183" s="121">
        <f t="shared" si="400"/>
        <v>984.86556379278875</v>
      </c>
      <c r="N183" s="121">
        <f t="shared" si="400"/>
        <v>1041.0029009289776</v>
      </c>
    </row>
    <row r="184" spans="1:15" s="59" customFormat="1" x14ac:dyDescent="0.25">
      <c r="A184" s="44" t="s">
        <v>129</v>
      </c>
      <c r="B184" s="69" t="str">
        <f>IFERROR(B183/A183-1,"nm")</f>
        <v>nm</v>
      </c>
      <c r="C184" s="69">
        <f t="shared" ref="C184:I184" si="401">IFERROR(C183/B183-1,"nm")</f>
        <v>5.5785123966942241E-2</v>
      </c>
      <c r="D184" s="69">
        <f t="shared" si="401"/>
        <v>4.3052837573385627E-2</v>
      </c>
      <c r="E184" s="69">
        <f t="shared" si="401"/>
        <v>0.12007504690431525</v>
      </c>
      <c r="F184" s="69">
        <f t="shared" si="401"/>
        <v>0.11390284757118918</v>
      </c>
      <c r="G184" s="69">
        <f t="shared" si="401"/>
        <v>0.24812030075187974</v>
      </c>
      <c r="H184" s="69">
        <f t="shared" si="401"/>
        <v>-6.0240963855421659E-2</v>
      </c>
      <c r="I184" s="69">
        <f t="shared" si="401"/>
        <v>1.1538461538461497E-2</v>
      </c>
      <c r="J184" s="69">
        <f t="shared" ref="J184" si="402">IFERROR(J183/I183-1,"nm")</f>
        <v>5.699999999999994E-2</v>
      </c>
      <c r="K184" s="69">
        <f t="shared" ref="K184" si="403">IFERROR(K183/J183-1,"nm")</f>
        <v>5.699999999999994E-2</v>
      </c>
      <c r="L184" s="69">
        <f t="shared" ref="L184" si="404">IFERROR(L183/K183-1,"nm")</f>
        <v>5.699999999999994E-2</v>
      </c>
      <c r="M184" s="69">
        <f t="shared" ref="M184" si="405">IFERROR(M183/L183-1,"nm")</f>
        <v>5.699999999999994E-2</v>
      </c>
      <c r="N184" s="69">
        <f t="shared" ref="N184" si="406">IFERROR(N183/M183-1,"nm")</f>
        <v>5.699999999999994E-2</v>
      </c>
    </row>
    <row r="185" spans="1:15" s="59" customFormat="1" x14ac:dyDescent="0.25">
      <c r="A185" s="44" t="s">
        <v>155</v>
      </c>
      <c r="B185" s="69">
        <f>IFERROR(B183/B$166,"nm")</f>
        <v>4.2086956521739127</v>
      </c>
      <c r="C185" s="69">
        <f t="shared" ref="C185:I185" si="407">IFERROR(C183/C$166,"nm")</f>
        <v>7</v>
      </c>
      <c r="D185" s="69">
        <f t="shared" si="407"/>
        <v>7.3013698630136989</v>
      </c>
      <c r="E185" s="69">
        <f t="shared" si="407"/>
        <v>6.7840909090909092</v>
      </c>
      <c r="F185" s="69">
        <f t="shared" si="407"/>
        <v>15.833333333333334</v>
      </c>
      <c r="G185" s="69">
        <f t="shared" si="407"/>
        <v>27.666666666666668</v>
      </c>
      <c r="H185" s="69">
        <f t="shared" si="407"/>
        <v>31.2</v>
      </c>
      <c r="I185" s="69">
        <f t="shared" si="407"/>
        <v>7.7352941176470589</v>
      </c>
      <c r="J185" s="89">
        <f>I185</f>
        <v>7.7352941176470589</v>
      </c>
      <c r="K185" s="89">
        <f t="shared" ref="K185:N185" si="408">J185</f>
        <v>7.7352941176470589</v>
      </c>
      <c r="L185" s="89">
        <f t="shared" si="408"/>
        <v>7.7352941176470589</v>
      </c>
      <c r="M185" s="89">
        <f t="shared" si="408"/>
        <v>7.7352941176470589</v>
      </c>
      <c r="N185" s="89">
        <f t="shared" si="408"/>
        <v>7.7352941176470589</v>
      </c>
    </row>
    <row r="186" spans="1:15" x14ac:dyDescent="0.25">
      <c r="A186" s="41" t="s">
        <v>108</v>
      </c>
      <c r="B186" s="41"/>
      <c r="C186" s="41"/>
      <c r="D186" s="41"/>
      <c r="E186" s="41"/>
      <c r="F186" s="41"/>
      <c r="G186" s="41"/>
      <c r="H186" s="41"/>
      <c r="I186" s="41"/>
      <c r="J186" s="37"/>
      <c r="K186" s="37"/>
      <c r="L186" s="37"/>
      <c r="M186" s="37"/>
      <c r="N186" s="37"/>
    </row>
    <row r="187" spans="1:15" x14ac:dyDescent="0.25">
      <c r="A187" s="10" t="s">
        <v>136</v>
      </c>
      <c r="B187" s="67">
        <f>Historicals!B153</f>
        <v>-82</v>
      </c>
      <c r="C187" s="67">
        <f>Historicals!C153</f>
        <v>-86</v>
      </c>
      <c r="D187" s="67">
        <f>Historicals!D153</f>
        <v>75</v>
      </c>
      <c r="E187" s="67">
        <f>Historicals!E153</f>
        <v>26</v>
      </c>
      <c r="F187" s="67">
        <f>Historicals!F153</f>
        <v>-7</v>
      </c>
      <c r="G187" s="67">
        <f>Historicals!G153</f>
        <v>-11</v>
      </c>
      <c r="H187" s="67">
        <f>Historicals!H153</f>
        <v>40</v>
      </c>
      <c r="I187" s="67">
        <f>Historicals!I153</f>
        <v>-72</v>
      </c>
      <c r="J187" s="96">
        <f>I187*(1+J188)</f>
        <v>-76.103999999999999</v>
      </c>
      <c r="K187" s="96">
        <f t="shared" ref="K187:N187" si="409">J187*(1+K188)</f>
        <v>-80.44192799999999</v>
      </c>
      <c r="L187" s="96">
        <f t="shared" si="409"/>
        <v>-85.027117895999979</v>
      </c>
      <c r="M187" s="96">
        <f t="shared" si="409"/>
        <v>-89.873663616071966</v>
      </c>
      <c r="N187" s="96">
        <f t="shared" si="409"/>
        <v>-94.996462442188061</v>
      </c>
    </row>
    <row r="188" spans="1:15" x14ac:dyDescent="0.25">
      <c r="A188" s="56" t="s">
        <v>129</v>
      </c>
      <c r="B188" s="45" t="str">
        <f>IFERROR(B187/A187-1,"nm")</f>
        <v>nm</v>
      </c>
      <c r="C188" s="45">
        <f t="shared" ref="C188:I188" si="410">IFERROR(C187/B187-1,"nm")</f>
        <v>4.8780487804878092E-2</v>
      </c>
      <c r="D188" s="45">
        <f t="shared" si="410"/>
        <v>-1.8720930232558139</v>
      </c>
      <c r="E188" s="45">
        <f t="shared" si="410"/>
        <v>-0.65333333333333332</v>
      </c>
      <c r="F188" s="45">
        <f t="shared" si="410"/>
        <v>-1.2692307692307692</v>
      </c>
      <c r="G188" s="45">
        <f t="shared" si="410"/>
        <v>0.5714285714285714</v>
      </c>
      <c r="H188" s="45">
        <f t="shared" si="410"/>
        <v>-4.6363636363636367</v>
      </c>
      <c r="I188" s="45">
        <f t="shared" si="410"/>
        <v>-2.8</v>
      </c>
      <c r="J188" s="77">
        <f>J189+J190</f>
        <v>5.7000000000000002E-2</v>
      </c>
      <c r="K188" s="77">
        <f t="shared" ref="K188:N188" si="411">K189+K190</f>
        <v>5.7000000000000002E-2</v>
      </c>
      <c r="L188" s="77">
        <f t="shared" si="411"/>
        <v>5.7000000000000002E-2</v>
      </c>
      <c r="M188" s="77">
        <f t="shared" si="411"/>
        <v>5.7000000000000002E-2</v>
      </c>
      <c r="N188" s="77">
        <f t="shared" si="411"/>
        <v>5.7000000000000002E-2</v>
      </c>
    </row>
    <row r="189" spans="1:15" x14ac:dyDescent="0.25">
      <c r="A189" s="56" t="s">
        <v>137</v>
      </c>
      <c r="B189" s="68">
        <f>Historicals!B241</f>
        <v>0</v>
      </c>
      <c r="C189" s="68">
        <f>Historicals!C241</f>
        <v>0</v>
      </c>
      <c r="D189" s="68">
        <f>Historicals!D241</f>
        <v>0</v>
      </c>
      <c r="E189" s="68">
        <f>Historicals!E241</f>
        <v>0</v>
      </c>
      <c r="F189" s="68">
        <f>Historicals!F241</f>
        <v>0</v>
      </c>
      <c r="G189" s="68">
        <f>Historicals!G241</f>
        <v>0</v>
      </c>
      <c r="H189" s="68">
        <f>Historicals!H241</f>
        <v>0</v>
      </c>
      <c r="I189" s="68">
        <f>Historicals!I241</f>
        <v>0</v>
      </c>
      <c r="J189" s="29">
        <v>5.7000000000000002E-2</v>
      </c>
      <c r="K189" s="29">
        <v>5.7000000000000002E-2</v>
      </c>
      <c r="L189" s="29">
        <v>5.7000000000000002E-2</v>
      </c>
      <c r="M189" s="29">
        <v>5.7000000000000002E-2</v>
      </c>
      <c r="N189" s="29">
        <v>5.7000000000000002E-2</v>
      </c>
      <c r="O189" t="s">
        <v>204</v>
      </c>
    </row>
    <row r="190" spans="1:15" x14ac:dyDescent="0.25">
      <c r="A190" s="56" t="s">
        <v>138</v>
      </c>
      <c r="B190" s="45" t="str">
        <f>IFERROR(B188-B189,"nm")</f>
        <v>nm</v>
      </c>
      <c r="C190" s="45">
        <f t="shared" ref="C190:I190" si="412">IFERROR(C188-C189,"nm")</f>
        <v>4.8780487804878092E-2</v>
      </c>
      <c r="D190" s="45">
        <f t="shared" si="412"/>
        <v>-1.8720930232558139</v>
      </c>
      <c r="E190" s="45">
        <f t="shared" si="412"/>
        <v>-0.65333333333333332</v>
      </c>
      <c r="F190" s="45">
        <f t="shared" si="412"/>
        <v>-1.2692307692307692</v>
      </c>
      <c r="G190" s="45">
        <f t="shared" si="412"/>
        <v>0.5714285714285714</v>
      </c>
      <c r="H190" s="45">
        <f t="shared" si="412"/>
        <v>-4.6363636363636367</v>
      </c>
      <c r="I190" s="45">
        <f t="shared" si="412"/>
        <v>-2.8</v>
      </c>
      <c r="J190" s="29">
        <v>0</v>
      </c>
      <c r="K190" s="29">
        <v>0</v>
      </c>
      <c r="L190" s="29">
        <v>0</v>
      </c>
      <c r="M190" s="29">
        <v>0</v>
      </c>
      <c r="N190" s="29">
        <v>0</v>
      </c>
    </row>
    <row r="191" spans="1:15" x14ac:dyDescent="0.25">
      <c r="A191" s="55" t="s">
        <v>134</v>
      </c>
      <c r="B191" s="67">
        <f>Historicals!B168</f>
        <v>-1097</v>
      </c>
      <c r="C191" s="67">
        <f>Historicals!C168</f>
        <v>-1173</v>
      </c>
      <c r="D191" s="67">
        <f>Historicals!D168</f>
        <v>-724</v>
      </c>
      <c r="E191" s="67">
        <f>Historicals!E168</f>
        <v>-1456</v>
      </c>
      <c r="F191" s="67">
        <f>Historicals!F168</f>
        <v>-1810</v>
      </c>
      <c r="G191" s="67">
        <f>Historicals!G168</f>
        <v>-1967</v>
      </c>
      <c r="H191" s="67">
        <f>Historicals!H168</f>
        <v>-2261</v>
      </c>
      <c r="I191" s="67">
        <f>Historicals!I168</f>
        <v>-2219</v>
      </c>
      <c r="J191" s="90">
        <f>J201-J197</f>
        <v>-2345.4829999999997</v>
      </c>
      <c r="K191" s="90">
        <f t="shared" ref="K191:N191" si="413">K201-K197</f>
        <v>-2479.1755309999994</v>
      </c>
      <c r="L191" s="90">
        <f t="shared" si="413"/>
        <v>-2620.4885362669993</v>
      </c>
      <c r="M191" s="90">
        <f t="shared" si="413"/>
        <v>-2769.8563828342176</v>
      </c>
      <c r="N191" s="90">
        <f t="shared" si="413"/>
        <v>-2927.7381966557678</v>
      </c>
    </row>
    <row r="192" spans="1:15" s="59" customFormat="1" x14ac:dyDescent="0.25">
      <c r="A192" s="44" t="s">
        <v>129</v>
      </c>
      <c r="B192" s="58">
        <f>B11-Historicals!B10-Historicals!B8</f>
        <v>0</v>
      </c>
      <c r="C192" s="58">
        <f>C11-Historicals!C10-Historicals!C8</f>
        <v>0</v>
      </c>
      <c r="D192" s="58">
        <f>D11-Historicals!D10-Historicals!D8</f>
        <v>0</v>
      </c>
      <c r="E192" s="58">
        <f>E11-Historicals!E10-Historicals!E8</f>
        <v>0</v>
      </c>
      <c r="F192" s="58">
        <f>F11-Historicals!F10-Historicals!F8</f>
        <v>0</v>
      </c>
      <c r="G192" s="58">
        <f>G11-Historicals!G10-Historicals!G8</f>
        <v>0</v>
      </c>
      <c r="H192" s="58">
        <f>H11-Historicals!H10-Historicals!H8</f>
        <v>0</v>
      </c>
      <c r="I192" s="58">
        <f>I11-Historicals!I10-Historicals!I8</f>
        <v>0</v>
      </c>
      <c r="J192" s="97">
        <f>IFERROR(J191/I191-1,"nm")</f>
        <v>5.699999999999994E-2</v>
      </c>
      <c r="K192" s="97">
        <f t="shared" ref="K192:N192" si="414">IFERROR(K191/J191-1,"nm")</f>
        <v>5.699999999999994E-2</v>
      </c>
      <c r="L192" s="97">
        <f t="shared" si="414"/>
        <v>5.699999999999994E-2</v>
      </c>
      <c r="M192" s="97">
        <f t="shared" si="414"/>
        <v>5.6999999999999718E-2</v>
      </c>
      <c r="N192" s="97">
        <f t="shared" si="414"/>
        <v>5.699999999999994E-2</v>
      </c>
    </row>
    <row r="193" spans="1:14" s="59" customFormat="1" x14ac:dyDescent="0.25">
      <c r="A193" s="44" t="s">
        <v>131</v>
      </c>
      <c r="B193" s="58">
        <f>IFERROR(B191/B$187,"nm")</f>
        <v>13.378048780487806</v>
      </c>
      <c r="C193" s="58">
        <f t="shared" ref="C193:I193" si="415">IFERROR(C191/C$187,"nm")</f>
        <v>13.63953488372093</v>
      </c>
      <c r="D193" s="58">
        <f t="shared" si="415"/>
        <v>-9.6533333333333342</v>
      </c>
      <c r="E193" s="58">
        <f t="shared" si="415"/>
        <v>-56</v>
      </c>
      <c r="F193" s="58">
        <f t="shared" si="415"/>
        <v>258.57142857142856</v>
      </c>
      <c r="G193" s="58">
        <f t="shared" si="415"/>
        <v>178.81818181818181</v>
      </c>
      <c r="H193" s="58">
        <f t="shared" si="415"/>
        <v>-56.524999999999999</v>
      </c>
      <c r="I193" s="58">
        <f t="shared" si="415"/>
        <v>30.819444444444443</v>
      </c>
      <c r="J193" s="82">
        <f>I193</f>
        <v>30.819444444444443</v>
      </c>
      <c r="K193" s="82">
        <f t="shared" ref="K193:N193" si="416">J193</f>
        <v>30.819444444444443</v>
      </c>
      <c r="L193" s="82">
        <f t="shared" si="416"/>
        <v>30.819444444444443</v>
      </c>
      <c r="M193" s="82">
        <f t="shared" si="416"/>
        <v>30.819444444444443</v>
      </c>
      <c r="N193" s="82">
        <f t="shared" si="416"/>
        <v>30.819444444444443</v>
      </c>
    </row>
    <row r="194" spans="1:14" x14ac:dyDescent="0.25">
      <c r="A194" s="55" t="s">
        <v>135</v>
      </c>
      <c r="B194" s="67">
        <f>Historicals!B198</f>
        <v>104</v>
      </c>
      <c r="C194" s="67">
        <f>Historicals!C198</f>
        <v>264</v>
      </c>
      <c r="D194" s="67">
        <f>Historicals!D198</f>
        <v>291</v>
      </c>
      <c r="E194" s="67">
        <f>Historicals!E198</f>
        <v>159</v>
      </c>
      <c r="F194" s="67">
        <f>Historicals!F198</f>
        <v>377</v>
      </c>
      <c r="G194" s="67">
        <f>Historicals!G198</f>
        <v>318</v>
      </c>
      <c r="H194" s="67">
        <f>Historicals!H198</f>
        <v>11</v>
      </c>
      <c r="I194" s="67">
        <f>Historicals!I198</f>
        <v>50</v>
      </c>
      <c r="J194" s="67">
        <f>J187*J196</f>
        <v>52.849999999999994</v>
      </c>
      <c r="K194" s="67">
        <f t="shared" ref="K194:N194" si="417">K187*K196</f>
        <v>55.862449999999988</v>
      </c>
      <c r="L194" s="67">
        <f t="shared" si="417"/>
        <v>59.046609649999986</v>
      </c>
      <c r="M194" s="67">
        <f t="shared" si="417"/>
        <v>62.412266400049973</v>
      </c>
      <c r="N194" s="67">
        <f t="shared" si="417"/>
        <v>65.969765584852823</v>
      </c>
    </row>
    <row r="195" spans="1:14" s="59" customFormat="1" x14ac:dyDescent="0.25">
      <c r="A195" s="44" t="s">
        <v>129</v>
      </c>
      <c r="B195" s="69" t="str">
        <f>IFERROR(B194/A194-1,"nm")</f>
        <v>nm</v>
      </c>
      <c r="C195" s="69">
        <f t="shared" ref="C195:I195" si="418">IFERROR(C194/B194-1,"nm")</f>
        <v>1.5384615384615383</v>
      </c>
      <c r="D195" s="69">
        <f t="shared" si="418"/>
        <v>0.10227272727272729</v>
      </c>
      <c r="E195" s="69">
        <f t="shared" si="418"/>
        <v>-0.45360824742268047</v>
      </c>
      <c r="F195" s="69">
        <f t="shared" si="418"/>
        <v>1.3710691823899372</v>
      </c>
      <c r="G195" s="69">
        <f t="shared" si="418"/>
        <v>-0.156498673740053</v>
      </c>
      <c r="H195" s="69">
        <f t="shared" si="418"/>
        <v>-0.96540880503144655</v>
      </c>
      <c r="I195" s="69">
        <f t="shared" si="418"/>
        <v>3.5454545454545459</v>
      </c>
      <c r="J195" s="69">
        <f t="shared" ref="J195" si="419">IFERROR(J194/I194-1,"nm")</f>
        <v>5.699999999999994E-2</v>
      </c>
      <c r="K195" s="69">
        <f t="shared" ref="K195" si="420">IFERROR(K194/J194-1,"nm")</f>
        <v>5.699999999999994E-2</v>
      </c>
      <c r="L195" s="69">
        <f t="shared" ref="L195" si="421">IFERROR(L194/K194-1,"nm")</f>
        <v>5.699999999999994E-2</v>
      </c>
      <c r="M195" s="69">
        <f t="shared" ref="M195" si="422">IFERROR(M194/L194-1,"nm")</f>
        <v>5.6999999999999718E-2</v>
      </c>
      <c r="N195" s="69">
        <f t="shared" ref="N195" si="423">IFERROR(N194/M194-1,"nm")</f>
        <v>5.699999999999994E-2</v>
      </c>
    </row>
    <row r="196" spans="1:14" x14ac:dyDescent="0.25">
      <c r="A196" s="44" t="s">
        <v>133</v>
      </c>
      <c r="B196" s="70">
        <f>IFERROR(B194/B187,"nm")</f>
        <v>-1.2682926829268293</v>
      </c>
      <c r="C196" s="70">
        <f t="shared" ref="C196:I196" si="424">IFERROR(C194/C187,"nm")</f>
        <v>-3.0697674418604652</v>
      </c>
      <c r="D196" s="70">
        <f t="shared" si="424"/>
        <v>3.88</v>
      </c>
      <c r="E196" s="70">
        <f t="shared" si="424"/>
        <v>6.115384615384615</v>
      </c>
      <c r="F196" s="70">
        <f t="shared" si="424"/>
        <v>-53.857142857142854</v>
      </c>
      <c r="G196" s="70">
        <f t="shared" si="424"/>
        <v>-28.90909090909091</v>
      </c>
      <c r="H196" s="70">
        <f t="shared" si="424"/>
        <v>0.27500000000000002</v>
      </c>
      <c r="I196" s="70">
        <f t="shared" si="424"/>
        <v>-0.69444444444444442</v>
      </c>
      <c r="J196" s="85">
        <f>I196</f>
        <v>-0.69444444444444442</v>
      </c>
      <c r="K196" s="85">
        <f t="shared" ref="K196:N196" si="425">J196</f>
        <v>-0.69444444444444442</v>
      </c>
      <c r="L196" s="85">
        <f t="shared" si="425"/>
        <v>-0.69444444444444442</v>
      </c>
      <c r="M196" s="85">
        <f t="shared" si="425"/>
        <v>-0.69444444444444442</v>
      </c>
      <c r="N196" s="85">
        <f t="shared" si="425"/>
        <v>-0.69444444444444442</v>
      </c>
    </row>
    <row r="197" spans="1:14" x14ac:dyDescent="0.25">
      <c r="A197" s="55" t="s">
        <v>132</v>
      </c>
      <c r="B197" s="67">
        <f>Historicals!B213</f>
        <v>75</v>
      </c>
      <c r="C197" s="67">
        <f>Historicals!C213</f>
        <v>84</v>
      </c>
      <c r="D197" s="67">
        <f>Historicals!D213</f>
        <v>91</v>
      </c>
      <c r="E197" s="67">
        <f>Historicals!E213</f>
        <v>110</v>
      </c>
      <c r="F197" s="67">
        <f>Historicals!F213</f>
        <v>116</v>
      </c>
      <c r="G197" s="67">
        <f>Historicals!G213</f>
        <v>112</v>
      </c>
      <c r="H197" s="67">
        <f>Historicals!H213</f>
        <v>141</v>
      </c>
      <c r="I197" s="67">
        <f>Historicals!I213</f>
        <v>134</v>
      </c>
      <c r="J197" s="67">
        <f>J200*J204</f>
        <v>141.63800000000001</v>
      </c>
      <c r="K197" s="67">
        <f t="shared" ref="K197:N197" si="426">K200*K204</f>
        <v>149.71136599999997</v>
      </c>
      <c r="L197" s="67">
        <f t="shared" si="426"/>
        <v>158.24491386199995</v>
      </c>
      <c r="M197" s="67">
        <f t="shared" si="426"/>
        <v>167.26487395213394</v>
      </c>
      <c r="N197" s="67">
        <f t="shared" si="426"/>
        <v>176.79897176740556</v>
      </c>
    </row>
    <row r="198" spans="1:14" x14ac:dyDescent="0.25">
      <c r="A198" s="44" t="s">
        <v>129</v>
      </c>
      <c r="B198" s="61" t="str">
        <f>IFERROR(B197/A197-1,"nm")</f>
        <v>nm</v>
      </c>
      <c r="C198" s="61">
        <f t="shared" ref="C198:I198" si="427">IFERROR(C197/B197-1,"nm")</f>
        <v>0.12000000000000011</v>
      </c>
      <c r="D198" s="61">
        <f t="shared" si="427"/>
        <v>8.3333333333333259E-2</v>
      </c>
      <c r="E198" s="61">
        <f t="shared" si="427"/>
        <v>0.20879120879120872</v>
      </c>
      <c r="F198" s="61">
        <f t="shared" si="427"/>
        <v>5.4545454545454453E-2</v>
      </c>
      <c r="G198" s="61">
        <f t="shared" si="427"/>
        <v>-3.4482758620689613E-2</v>
      </c>
      <c r="H198" s="61">
        <f t="shared" si="427"/>
        <v>0.2589285714285714</v>
      </c>
      <c r="I198" s="61">
        <f t="shared" si="427"/>
        <v>-4.9645390070921946E-2</v>
      </c>
      <c r="J198" s="61">
        <f t="shared" ref="J198" si="428">IFERROR(J197/I197-1,"nm")</f>
        <v>5.699999999999994E-2</v>
      </c>
      <c r="K198" s="61">
        <f t="shared" ref="K198" si="429">IFERROR(K197/J197-1,"nm")</f>
        <v>5.6999999999999718E-2</v>
      </c>
      <c r="L198" s="61">
        <f t="shared" ref="L198" si="430">IFERROR(L197/K197-1,"nm")</f>
        <v>5.699999999999994E-2</v>
      </c>
      <c r="M198" s="61">
        <f t="shared" ref="M198" si="431">IFERROR(M197/L197-1,"nm")</f>
        <v>5.699999999999994E-2</v>
      </c>
      <c r="N198" s="61">
        <f t="shared" ref="N198" si="432">IFERROR(N197/M197-1,"nm")</f>
        <v>5.699999999999994E-2</v>
      </c>
    </row>
    <row r="199" spans="1:14" x14ac:dyDescent="0.25">
      <c r="A199" s="44" t="s">
        <v>133</v>
      </c>
      <c r="B199" s="70">
        <f>IFERROR(B197/B187,"nm")</f>
        <v>-0.91463414634146345</v>
      </c>
      <c r="C199" s="70">
        <f t="shared" ref="C199:I199" si="433">IFERROR(C197/C187,"nm")</f>
        <v>-0.97674418604651159</v>
      </c>
      <c r="D199" s="70">
        <f t="shared" si="433"/>
        <v>1.2133333333333334</v>
      </c>
      <c r="E199" s="70">
        <f t="shared" si="433"/>
        <v>4.2307692307692308</v>
      </c>
      <c r="F199" s="70">
        <f t="shared" si="433"/>
        <v>-16.571428571428573</v>
      </c>
      <c r="G199" s="70">
        <f t="shared" si="433"/>
        <v>-10.181818181818182</v>
      </c>
      <c r="H199" s="70">
        <f t="shared" si="433"/>
        <v>3.5249999999999999</v>
      </c>
      <c r="I199" s="70">
        <f t="shared" si="433"/>
        <v>-1.8611111111111112</v>
      </c>
      <c r="J199" s="93">
        <f>I199</f>
        <v>-1.8611111111111112</v>
      </c>
      <c r="K199" s="93">
        <f t="shared" ref="K199:N199" si="434">J199</f>
        <v>-1.8611111111111112</v>
      </c>
      <c r="L199" s="93">
        <f t="shared" si="434"/>
        <v>-1.8611111111111112</v>
      </c>
      <c r="M199" s="93">
        <f t="shared" si="434"/>
        <v>-1.8611111111111112</v>
      </c>
      <c r="N199" s="93">
        <f t="shared" si="434"/>
        <v>-1.8611111111111112</v>
      </c>
    </row>
    <row r="200" spans="1:14" x14ac:dyDescent="0.25">
      <c r="A200" s="44" t="s">
        <v>140</v>
      </c>
      <c r="B200" s="70">
        <f>IFERROR(B197/B204,"nm")</f>
        <v>0.10518934081346423</v>
      </c>
      <c r="C200" s="70">
        <f t="shared" ref="C200:I200" si="435">IFERROR(C197/C204,"nm")</f>
        <v>8.9647812166488788E-2</v>
      </c>
      <c r="D200" s="70">
        <f t="shared" si="435"/>
        <v>7.3505654281098551E-2</v>
      </c>
      <c r="E200" s="70">
        <f t="shared" si="435"/>
        <v>7.586206896551724E-2</v>
      </c>
      <c r="F200" s="70">
        <f t="shared" si="435"/>
        <v>6.9336521219366412E-2</v>
      </c>
      <c r="G200" s="70">
        <f t="shared" si="435"/>
        <v>5.845511482254697E-2</v>
      </c>
      <c r="H200" s="70">
        <f t="shared" si="435"/>
        <v>7.5401069518716571E-2</v>
      </c>
      <c r="I200" s="70">
        <f t="shared" si="435"/>
        <v>7.374793615850303E-2</v>
      </c>
      <c r="J200" s="93">
        <f>I200</f>
        <v>7.374793615850303E-2</v>
      </c>
      <c r="K200" s="93">
        <f t="shared" ref="K200:N200" si="436">J200</f>
        <v>7.374793615850303E-2</v>
      </c>
      <c r="L200" s="93">
        <f t="shared" si="436"/>
        <v>7.374793615850303E-2</v>
      </c>
      <c r="M200" s="93">
        <f t="shared" si="436"/>
        <v>7.374793615850303E-2</v>
      </c>
      <c r="N200" s="93">
        <f t="shared" si="436"/>
        <v>7.374793615850303E-2</v>
      </c>
    </row>
    <row r="201" spans="1:14" x14ac:dyDescent="0.25">
      <c r="A201" s="55" t="s">
        <v>130</v>
      </c>
      <c r="B201">
        <f>B191+B197</f>
        <v>-1022</v>
      </c>
      <c r="C201">
        <f t="shared" ref="C201:I201" si="437">C191+C197</f>
        <v>-1089</v>
      </c>
      <c r="D201">
        <f t="shared" si="437"/>
        <v>-633</v>
      </c>
      <c r="E201">
        <f t="shared" si="437"/>
        <v>-1346</v>
      </c>
      <c r="F201">
        <f t="shared" si="437"/>
        <v>-1694</v>
      </c>
      <c r="G201">
        <f t="shared" si="437"/>
        <v>-1855</v>
      </c>
      <c r="H201">
        <f t="shared" si="437"/>
        <v>-2120</v>
      </c>
      <c r="I201">
        <f t="shared" si="437"/>
        <v>-2085</v>
      </c>
      <c r="J201" s="117">
        <f>J187*J203</f>
        <v>-2203.8449999999998</v>
      </c>
      <c r="K201" s="117">
        <f t="shared" ref="K201:N201" si="438">K187*K203</f>
        <v>-2329.4641649999994</v>
      </c>
      <c r="L201" s="117">
        <f t="shared" si="438"/>
        <v>-2462.2436224049993</v>
      </c>
      <c r="M201" s="117">
        <f t="shared" si="438"/>
        <v>-2602.5915088820839</v>
      </c>
      <c r="N201" s="117">
        <f t="shared" si="438"/>
        <v>-2750.9392248883623</v>
      </c>
    </row>
    <row r="202" spans="1:14" x14ac:dyDescent="0.25">
      <c r="A202" s="44" t="s">
        <v>129</v>
      </c>
      <c r="B202" s="61" t="str">
        <f>IFERROR(B201/A201-1,"nm")</f>
        <v>nm</v>
      </c>
      <c r="C202" s="61">
        <f t="shared" ref="C202:I202" si="439">IFERROR(C201/B201-1,"nm")</f>
        <v>6.5557729941291498E-2</v>
      </c>
      <c r="D202" s="61">
        <f t="shared" si="439"/>
        <v>-0.41873278236914602</v>
      </c>
      <c r="E202" s="61">
        <f t="shared" si="439"/>
        <v>1.126382306477093</v>
      </c>
      <c r="F202" s="61">
        <f t="shared" si="439"/>
        <v>0.25854383358098065</v>
      </c>
      <c r="G202" s="61">
        <f t="shared" si="439"/>
        <v>9.5041322314049603E-2</v>
      </c>
      <c r="H202" s="61">
        <f t="shared" si="439"/>
        <v>0.14285714285714279</v>
      </c>
      <c r="I202" s="61">
        <f t="shared" si="439"/>
        <v>-1.650943396226412E-2</v>
      </c>
      <c r="J202" s="61">
        <f t="shared" ref="J202" si="440">IFERROR(J201/I201-1,"nm")</f>
        <v>5.699999999999994E-2</v>
      </c>
      <c r="K202" s="61">
        <f t="shared" ref="K202" si="441">IFERROR(K201/J201-1,"nm")</f>
        <v>5.699999999999994E-2</v>
      </c>
      <c r="L202" s="61">
        <f t="shared" ref="L202" si="442">IFERROR(L201/K201-1,"nm")</f>
        <v>5.699999999999994E-2</v>
      </c>
      <c r="M202" s="61">
        <f t="shared" ref="M202" si="443">IFERROR(M201/L201-1,"nm")</f>
        <v>5.699999999999994E-2</v>
      </c>
      <c r="N202" s="61">
        <f t="shared" ref="N202" si="444">IFERROR(N201/M201-1,"nm")</f>
        <v>5.699999999999994E-2</v>
      </c>
    </row>
    <row r="203" spans="1:14" x14ac:dyDescent="0.25">
      <c r="A203" s="44" t="s">
        <v>131</v>
      </c>
      <c r="B203" s="70">
        <f>IFERROR(B201/B187,"nm")</f>
        <v>12.463414634146341</v>
      </c>
      <c r="C203" s="70">
        <f t="shared" ref="C203:I203" si="445">IFERROR(C201/C187,"nm")</f>
        <v>12.662790697674419</v>
      </c>
      <c r="D203" s="70">
        <f t="shared" si="445"/>
        <v>-8.44</v>
      </c>
      <c r="E203" s="70">
        <f t="shared" si="445"/>
        <v>-51.769230769230766</v>
      </c>
      <c r="F203" s="70">
        <f t="shared" si="445"/>
        <v>242</v>
      </c>
      <c r="G203" s="70">
        <f t="shared" si="445"/>
        <v>168.63636363636363</v>
      </c>
      <c r="H203" s="70">
        <f t="shared" si="445"/>
        <v>-53</v>
      </c>
      <c r="I203" s="70">
        <f t="shared" si="445"/>
        <v>28.958333333333332</v>
      </c>
      <c r="J203" s="93">
        <f>I203</f>
        <v>28.958333333333332</v>
      </c>
      <c r="K203" s="93">
        <f t="shared" ref="K203:N203" si="446">J203</f>
        <v>28.958333333333332</v>
      </c>
      <c r="L203" s="93">
        <f t="shared" si="446"/>
        <v>28.958333333333332</v>
      </c>
      <c r="M203" s="93">
        <f t="shared" si="446"/>
        <v>28.958333333333332</v>
      </c>
      <c r="N203" s="93">
        <f t="shared" si="446"/>
        <v>28.958333333333332</v>
      </c>
    </row>
    <row r="204" spans="1:14" x14ac:dyDescent="0.25">
      <c r="A204" s="55" t="s">
        <v>141</v>
      </c>
      <c r="B204" s="1">
        <f>Historicals!B183</f>
        <v>713</v>
      </c>
      <c r="C204" s="1">
        <f>Historicals!C183</f>
        <v>937</v>
      </c>
      <c r="D204" s="1">
        <f>Historicals!D183</f>
        <v>1238</v>
      </c>
      <c r="E204" s="1">
        <f>Historicals!E183</f>
        <v>1450</v>
      </c>
      <c r="F204" s="1">
        <f>Historicals!F183</f>
        <v>1673</v>
      </c>
      <c r="G204" s="1">
        <f>Historicals!G183</f>
        <v>1916</v>
      </c>
      <c r="H204" s="1">
        <f>Historicals!H183</f>
        <v>1870</v>
      </c>
      <c r="I204" s="1">
        <f>Historicals!I183</f>
        <v>1817</v>
      </c>
      <c r="J204" s="46">
        <f>J206*J187</f>
        <v>1920.569</v>
      </c>
      <c r="K204" s="46">
        <f t="shared" ref="K204:N204" si="447">K206*K187</f>
        <v>2030.0414329999996</v>
      </c>
      <c r="L204" s="46">
        <f t="shared" si="447"/>
        <v>2145.7537946809994</v>
      </c>
      <c r="M204" s="46">
        <f t="shared" si="447"/>
        <v>2268.061760977816</v>
      </c>
      <c r="N204" s="46">
        <f t="shared" si="447"/>
        <v>2397.3412813535515</v>
      </c>
    </row>
    <row r="205" spans="1:14" x14ac:dyDescent="0.25">
      <c r="A205" s="44" t="s">
        <v>129</v>
      </c>
      <c r="B205" s="69" t="str">
        <f>IFERROR(B204/A$204-1,"nm")</f>
        <v>nm</v>
      </c>
      <c r="C205" s="69">
        <f t="shared" ref="C205:I205" si="448">IFERROR(C204/B$204-1,"nm")</f>
        <v>0.31416549789621318</v>
      </c>
      <c r="D205" s="69">
        <f t="shared" si="448"/>
        <v>0.32123799359658478</v>
      </c>
      <c r="E205" s="69">
        <f t="shared" si="448"/>
        <v>0.17124394184168024</v>
      </c>
      <c r="F205" s="69">
        <f t="shared" si="448"/>
        <v>0.15379310344827579</v>
      </c>
      <c r="G205" s="69">
        <f t="shared" si="448"/>
        <v>0.14524805738194857</v>
      </c>
      <c r="H205" s="69">
        <f t="shared" si="448"/>
        <v>-2.4008350730688965E-2</v>
      </c>
      <c r="I205" s="69">
        <f t="shared" si="448"/>
        <v>-2.8342245989304793E-2</v>
      </c>
      <c r="J205" s="69">
        <f t="shared" ref="J205" si="449">IFERROR(J204/I$204-1,"nm")</f>
        <v>5.699999999999994E-2</v>
      </c>
      <c r="K205" s="69">
        <f t="shared" ref="K205" si="450">IFERROR(K204/J$204-1,"nm")</f>
        <v>5.699999999999994E-2</v>
      </c>
      <c r="L205" s="69">
        <f t="shared" ref="L205" si="451">IFERROR(L204/K$204-1,"nm")</f>
        <v>5.699999999999994E-2</v>
      </c>
      <c r="M205" s="69">
        <f t="shared" ref="M205" si="452">IFERROR(M204/L$204-1,"nm")</f>
        <v>5.699999999999994E-2</v>
      </c>
      <c r="N205" s="69">
        <f t="shared" ref="N205" si="453">IFERROR(N204/M$204-1,"nm")</f>
        <v>5.699999999999994E-2</v>
      </c>
    </row>
    <row r="206" spans="1:14" x14ac:dyDescent="0.25">
      <c r="A206" s="44" t="s">
        <v>155</v>
      </c>
      <c r="B206" s="70">
        <f>IFERROR(B204/B$187,"nm")</f>
        <v>-8.6951219512195124</v>
      </c>
      <c r="C206" s="70">
        <f t="shared" ref="C206:I206" si="454">IFERROR(C204/C$187,"nm")</f>
        <v>-10.895348837209303</v>
      </c>
      <c r="D206" s="70">
        <f t="shared" si="454"/>
        <v>16.506666666666668</v>
      </c>
      <c r="E206" s="70">
        <f t="shared" si="454"/>
        <v>55.769230769230766</v>
      </c>
      <c r="F206" s="70">
        <f t="shared" si="454"/>
        <v>-239</v>
      </c>
      <c r="G206" s="70">
        <f t="shared" si="454"/>
        <v>-174.18181818181819</v>
      </c>
      <c r="H206" s="70">
        <f t="shared" si="454"/>
        <v>46.75</v>
      </c>
      <c r="I206" s="70">
        <f t="shared" si="454"/>
        <v>-25.236111111111111</v>
      </c>
      <c r="J206" s="93">
        <f>I206</f>
        <v>-25.236111111111111</v>
      </c>
      <c r="K206" s="93">
        <f t="shared" ref="K206:N206" si="455">J206</f>
        <v>-25.236111111111111</v>
      </c>
      <c r="L206" s="93">
        <f t="shared" si="455"/>
        <v>-25.236111111111111</v>
      </c>
      <c r="M206" s="93">
        <f t="shared" si="455"/>
        <v>-25.236111111111111</v>
      </c>
      <c r="N206" s="93">
        <f t="shared" si="455"/>
        <v>-25.236111111111111</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0"/>
  <sheetViews>
    <sheetView tabSelected="1" topLeftCell="B52" workbookViewId="0">
      <selection activeCell="O71" sqref="O71"/>
    </sheetView>
  </sheetViews>
  <sheetFormatPr defaultColWidth="9.140625" defaultRowHeight="15" x14ac:dyDescent="0.25"/>
  <cols>
    <col min="1" max="1" width="48.7109375" style="54" customWidth="1"/>
    <col min="2" max="8" width="11.7109375" style="54" customWidth="1"/>
    <col min="9" max="9" width="9.5703125" style="54" bestFit="1" customWidth="1"/>
    <col min="10" max="11" width="10.5703125" style="54" bestFit="1" customWidth="1"/>
    <col min="12" max="14" width="11.5703125" style="54" bestFit="1" customWidth="1"/>
    <col min="15" max="15" width="48.85546875" style="54" customWidth="1"/>
    <col min="16" max="16" width="36.5703125" style="54" customWidth="1"/>
    <col min="17" max="17" width="52.28515625" style="54" customWidth="1"/>
    <col min="18" max="18" width="22.28515625" style="54" customWidth="1"/>
    <col min="19" max="19" width="39.85546875" style="54" customWidth="1"/>
    <col min="20" max="16384" width="9.140625" style="54"/>
  </cols>
  <sheetData>
    <row r="1" spans="1:18" ht="60" customHeight="1" x14ac:dyDescent="0.3">
      <c r="A1" s="133" t="s">
        <v>116</v>
      </c>
      <c r="B1" s="134">
        <f t="shared" ref="B1:G1" si="0">+C1-1</f>
        <v>2015</v>
      </c>
      <c r="C1" s="134">
        <f t="shared" si="0"/>
        <v>2016</v>
      </c>
      <c r="D1" s="134">
        <f t="shared" si="0"/>
        <v>2017</v>
      </c>
      <c r="E1" s="134">
        <f t="shared" si="0"/>
        <v>2018</v>
      </c>
      <c r="F1" s="134">
        <f t="shared" si="0"/>
        <v>2019</v>
      </c>
      <c r="G1" s="134">
        <f t="shared" si="0"/>
        <v>2020</v>
      </c>
      <c r="H1" s="134">
        <f>+I1-1</f>
        <v>2021</v>
      </c>
      <c r="I1" s="134">
        <v>2022</v>
      </c>
      <c r="J1" s="81">
        <v>2023</v>
      </c>
      <c r="K1" s="81">
        <v>2024</v>
      </c>
      <c r="L1" s="81">
        <v>2025</v>
      </c>
      <c r="M1" s="81">
        <v>2026</v>
      </c>
      <c r="N1" s="81">
        <v>2027</v>
      </c>
      <c r="O1" s="135"/>
      <c r="P1" s="81"/>
      <c r="Q1" s="81"/>
      <c r="R1" s="81"/>
    </row>
    <row r="2" spans="1:18" x14ac:dyDescent="0.25">
      <c r="A2" s="136" t="s">
        <v>156</v>
      </c>
      <c r="B2" s="136"/>
      <c r="C2" s="136"/>
      <c r="D2" s="136"/>
      <c r="E2" s="136"/>
      <c r="F2" s="136"/>
      <c r="G2" s="136"/>
      <c r="H2" s="136"/>
      <c r="I2" s="136"/>
      <c r="J2" s="81"/>
      <c r="K2" s="81"/>
      <c r="L2" s="81"/>
      <c r="M2" s="81"/>
      <c r="N2" s="81"/>
      <c r="O2" s="81"/>
      <c r="P2" s="81"/>
      <c r="Q2" s="81"/>
      <c r="R2" s="81"/>
    </row>
    <row r="3" spans="1:18" x14ac:dyDescent="0.25">
      <c r="A3" s="81" t="s">
        <v>136</v>
      </c>
      <c r="B3" s="104">
        <f>'Segmental forecast'!B3</f>
        <v>30601</v>
      </c>
      <c r="C3" s="104">
        <f>'Segmental forecast'!C3</f>
        <v>32376</v>
      </c>
      <c r="D3" s="104">
        <f>'Segmental forecast'!D3</f>
        <v>34350</v>
      </c>
      <c r="E3" s="104">
        <f>'Segmental forecast'!E3</f>
        <v>36397</v>
      </c>
      <c r="F3" s="104">
        <f>'Segmental forecast'!F3</f>
        <v>39117</v>
      </c>
      <c r="G3" s="104">
        <f>'Segmental forecast'!G3</f>
        <v>37403</v>
      </c>
      <c r="H3" s="104">
        <f>'Segmental forecast'!H3</f>
        <v>44538</v>
      </c>
      <c r="I3" s="104">
        <f>'Segmental forecast'!I3</f>
        <v>46710</v>
      </c>
      <c r="J3" s="104">
        <f>'Segmental forecast'!J3</f>
        <v>50007.132000000005</v>
      </c>
      <c r="K3" s="104">
        <f>'Segmental forecast'!K3</f>
        <v>54724.521624000001</v>
      </c>
      <c r="L3" s="104">
        <f>'Segmental forecast'!L3</f>
        <v>60171.728270567997</v>
      </c>
      <c r="M3" s="104">
        <f>'Segmental forecast'!M3</f>
        <v>66504.67196813038</v>
      </c>
      <c r="N3" s="104">
        <f>'Segmental forecast'!N3</f>
        <v>73916.651711490224</v>
      </c>
      <c r="O3" s="104"/>
      <c r="P3" s="104"/>
      <c r="Q3" s="104"/>
      <c r="R3" s="104"/>
    </row>
    <row r="4" spans="1:18" x14ac:dyDescent="0.25">
      <c r="A4" s="137" t="s">
        <v>129</v>
      </c>
      <c r="B4" s="111" t="str">
        <f>IFERROR(B3/A3-1,"nm")</f>
        <v>nm</v>
      </c>
      <c r="C4" s="111">
        <f t="shared" ref="C4:I4" si="1">IFERROR(C3/B3-1,"nm")</f>
        <v>5.8004640371229765E-2</v>
      </c>
      <c r="D4" s="111">
        <f t="shared" si="1"/>
        <v>6.0971089696071123E-2</v>
      </c>
      <c r="E4" s="111">
        <f t="shared" si="1"/>
        <v>5.95924308588065E-2</v>
      </c>
      <c r="F4" s="111">
        <f t="shared" si="1"/>
        <v>7.4731433909388079E-2</v>
      </c>
      <c r="G4" s="111">
        <f t="shared" si="1"/>
        <v>-4.3817266150267153E-2</v>
      </c>
      <c r="H4" s="111">
        <f t="shared" si="1"/>
        <v>0.19076009945726269</v>
      </c>
      <c r="I4" s="111">
        <f t="shared" si="1"/>
        <v>4.8767344739323759E-2</v>
      </c>
      <c r="J4" s="111"/>
      <c r="K4" s="111"/>
      <c r="L4" s="111"/>
      <c r="M4" s="111"/>
      <c r="N4" s="111"/>
      <c r="O4" s="111"/>
      <c r="P4" s="111"/>
      <c r="Q4" s="111"/>
      <c r="R4" s="111"/>
    </row>
    <row r="5" spans="1:18" x14ac:dyDescent="0.25">
      <c r="A5" s="81" t="s">
        <v>157</v>
      </c>
      <c r="B5" s="104">
        <f>'Segmental forecast'!B5</f>
        <v>4839</v>
      </c>
      <c r="C5" s="104">
        <f>'Segmental forecast'!C5</f>
        <v>5291</v>
      </c>
      <c r="D5" s="104">
        <f>'Segmental forecast'!D5</f>
        <v>5651</v>
      </c>
      <c r="E5" s="104">
        <f>'Segmental forecast'!E5</f>
        <v>5126</v>
      </c>
      <c r="F5" s="104">
        <f>'Segmental forecast'!F5</f>
        <v>5555</v>
      </c>
      <c r="G5" s="104">
        <f>'Segmental forecast'!G5</f>
        <v>3697</v>
      </c>
      <c r="H5" s="104">
        <f>'Segmental forecast'!H5</f>
        <v>7667</v>
      </c>
      <c r="I5" s="104">
        <f>'Segmental forecast'!I5</f>
        <v>7573</v>
      </c>
      <c r="J5" s="104">
        <f>'Segmental forecast'!J5</f>
        <v>7877.478000000001</v>
      </c>
      <c r="K5" s="104">
        <f>'Segmental forecast'!K5</f>
        <v>9469.6203360000018</v>
      </c>
      <c r="L5" s="104">
        <f>'Segmental forecast'!L5</f>
        <v>13157.079723852001</v>
      </c>
      <c r="M5" s="104">
        <f>'Segmental forecast'!M5</f>
        <v>20327.448854616567</v>
      </c>
      <c r="N5" s="104">
        <f>'Segmental forecast'!N5</f>
        <v>33352.299014556105</v>
      </c>
      <c r="O5" s="104"/>
      <c r="P5" s="104"/>
      <c r="Q5" s="104"/>
      <c r="R5" s="104"/>
    </row>
    <row r="6" spans="1:18" x14ac:dyDescent="0.25">
      <c r="A6" s="138" t="s">
        <v>132</v>
      </c>
      <c r="B6" s="112">
        <f>'Segmental forecast'!B8</f>
        <v>606</v>
      </c>
      <c r="C6" s="112">
        <f>'Segmental forecast'!C8</f>
        <v>649</v>
      </c>
      <c r="D6" s="112">
        <f>'Segmental forecast'!D8</f>
        <v>706</v>
      </c>
      <c r="E6" s="112">
        <f>'Segmental forecast'!E8</f>
        <v>747</v>
      </c>
      <c r="F6" s="112">
        <f>'Segmental forecast'!F8</f>
        <v>705</v>
      </c>
      <c r="G6" s="112">
        <f>'Segmental forecast'!G8</f>
        <v>721</v>
      </c>
      <c r="H6" s="112">
        <f>'Segmental forecast'!H8</f>
        <v>744</v>
      </c>
      <c r="I6" s="112">
        <f>'Segmental forecast'!I8</f>
        <v>717</v>
      </c>
      <c r="J6" s="112">
        <f>'Segmental forecast'!J8</f>
        <v>735.55200000000002</v>
      </c>
      <c r="K6" s="112">
        <f>'Segmental forecast'!K8</f>
        <v>779.20182399999999</v>
      </c>
      <c r="L6" s="112">
        <f>'Segmental forecast'!L8</f>
        <v>861.5888905679999</v>
      </c>
      <c r="M6" s="112">
        <f>'Segmental forecast'!M8</f>
        <v>1006.2680912283759</v>
      </c>
      <c r="N6" s="112">
        <f>'Segmental forecast'!N8</f>
        <v>1253.5914109302933</v>
      </c>
      <c r="O6" s="112"/>
      <c r="P6" s="112"/>
      <c r="Q6" s="112"/>
      <c r="R6" s="112"/>
    </row>
    <row r="7" spans="1:18" x14ac:dyDescent="0.25">
      <c r="A7" s="131" t="s">
        <v>134</v>
      </c>
      <c r="B7" s="132">
        <f>B5-B6</f>
        <v>4233</v>
      </c>
      <c r="C7" s="132">
        <f t="shared" ref="C7:I7" si="2">C5-C6</f>
        <v>4642</v>
      </c>
      <c r="D7" s="132">
        <f t="shared" si="2"/>
        <v>4945</v>
      </c>
      <c r="E7" s="132">
        <f t="shared" si="2"/>
        <v>4379</v>
      </c>
      <c r="F7" s="132">
        <f t="shared" si="2"/>
        <v>4850</v>
      </c>
      <c r="G7" s="132">
        <f t="shared" si="2"/>
        <v>2976</v>
      </c>
      <c r="H7" s="132">
        <f t="shared" si="2"/>
        <v>6923</v>
      </c>
      <c r="I7" s="132">
        <f t="shared" si="2"/>
        <v>6856</v>
      </c>
      <c r="J7" s="132">
        <f>'Segmental forecast'!J11</f>
        <v>7141.9260000000013</v>
      </c>
      <c r="K7" s="132">
        <f>'Segmental forecast'!K11</f>
        <v>8690.418512000002</v>
      </c>
      <c r="L7" s="132">
        <f>'Segmental forecast'!L11</f>
        <v>12295.490833284</v>
      </c>
      <c r="M7" s="132">
        <f>'Segmental forecast'!M11</f>
        <v>19321.180763388191</v>
      </c>
      <c r="N7" s="132">
        <f>'Segmental forecast'!N11</f>
        <v>32098.707603625811</v>
      </c>
      <c r="O7" s="103"/>
      <c r="P7" s="103"/>
      <c r="Q7" s="103"/>
      <c r="R7" s="103"/>
    </row>
    <row r="8" spans="1:18" x14ac:dyDescent="0.25">
      <c r="A8" s="137" t="s">
        <v>129</v>
      </c>
      <c r="B8" s="111" t="str">
        <f>IFERROR(B7/A7-1,"nm")</f>
        <v>nm</v>
      </c>
      <c r="C8" s="111">
        <f t="shared" ref="C8:I8" si="3">IFERROR(C7/B7-1,"nm")</f>
        <v>9.6621781242617555E-2</v>
      </c>
      <c r="D8" s="111">
        <f t="shared" si="3"/>
        <v>6.5273588970271357E-2</v>
      </c>
      <c r="E8" s="111">
        <f t="shared" si="3"/>
        <v>-0.11445904954499497</v>
      </c>
      <c r="F8" s="111">
        <f t="shared" si="3"/>
        <v>0.10755880337976698</v>
      </c>
      <c r="G8" s="111">
        <f t="shared" si="3"/>
        <v>-0.38639175257731961</v>
      </c>
      <c r="H8" s="111">
        <f t="shared" si="3"/>
        <v>1.32627688172043</v>
      </c>
      <c r="I8" s="111">
        <f t="shared" si="3"/>
        <v>-9.67788530983682E-3</v>
      </c>
      <c r="J8" s="111"/>
      <c r="K8" s="111"/>
      <c r="L8" s="111"/>
      <c r="M8" s="111"/>
      <c r="N8" s="111"/>
      <c r="O8" s="111"/>
      <c r="P8" s="111"/>
      <c r="Q8" s="111"/>
      <c r="R8" s="111"/>
    </row>
    <row r="9" spans="1:18" x14ac:dyDescent="0.25">
      <c r="A9" s="137" t="s">
        <v>131</v>
      </c>
      <c r="B9" s="111">
        <f>IFERROR(B7/B$3,"nm")</f>
        <v>0.13832881278389594</v>
      </c>
      <c r="C9" s="111">
        <f t="shared" ref="C9:I9" si="4">IFERROR(C7/C$3,"nm")</f>
        <v>0.14337781072399308</v>
      </c>
      <c r="D9" s="111">
        <f t="shared" si="4"/>
        <v>0.14395924308588065</v>
      </c>
      <c r="E9" s="111">
        <f t="shared" si="4"/>
        <v>0.12031211363573921</v>
      </c>
      <c r="F9" s="111">
        <f t="shared" si="4"/>
        <v>0.12398701331901731</v>
      </c>
      <c r="G9" s="111">
        <f t="shared" si="4"/>
        <v>7.9565810229126011E-2</v>
      </c>
      <c r="H9" s="111">
        <f t="shared" si="4"/>
        <v>0.1554402981723472</v>
      </c>
      <c r="I9" s="111">
        <f t="shared" si="4"/>
        <v>0.14677799186469706</v>
      </c>
      <c r="J9" s="111"/>
      <c r="K9" s="111"/>
      <c r="L9" s="111"/>
      <c r="M9" s="111"/>
      <c r="N9" s="111"/>
      <c r="O9" s="111"/>
      <c r="P9" s="111"/>
      <c r="Q9" s="111"/>
      <c r="R9" s="111"/>
    </row>
    <row r="10" spans="1:18" x14ac:dyDescent="0.25">
      <c r="A10" s="109" t="s">
        <v>24</v>
      </c>
      <c r="B10" s="94">
        <f>Historicals!B8</f>
        <v>28</v>
      </c>
      <c r="C10" s="94">
        <f>Historicals!C8</f>
        <v>19</v>
      </c>
      <c r="D10" s="94">
        <f>Historicals!D8</f>
        <v>59</v>
      </c>
      <c r="E10" s="94">
        <f>Historicals!E8</f>
        <v>54</v>
      </c>
      <c r="F10" s="94">
        <f>Historicals!F8</f>
        <v>49</v>
      </c>
      <c r="G10" s="94">
        <f>Historicals!G8</f>
        <v>89</v>
      </c>
      <c r="H10" s="94">
        <f>Historicals!H8</f>
        <v>262</v>
      </c>
      <c r="I10" s="94">
        <f>Historicals!I8</f>
        <v>205</v>
      </c>
      <c r="J10" s="94">
        <f>J50</f>
        <v>-163.08000000000001</v>
      </c>
      <c r="K10" s="94">
        <f t="shared" ref="K10:M10" si="5">K50</f>
        <v>-163.08000000000001</v>
      </c>
      <c r="L10" s="94">
        <f t="shared" si="5"/>
        <v>-163.08000000000001</v>
      </c>
      <c r="M10" s="94">
        <f t="shared" si="5"/>
        <v>-163.08000000000001</v>
      </c>
      <c r="N10" s="94">
        <f>N50</f>
        <v>-163.08000000000001</v>
      </c>
      <c r="O10" s="94"/>
      <c r="P10" s="94"/>
      <c r="Q10" s="94"/>
      <c r="R10" s="94"/>
    </row>
    <row r="11" spans="1:18" x14ac:dyDescent="0.25">
      <c r="A11" s="131" t="s">
        <v>158</v>
      </c>
      <c r="B11" s="132">
        <f>Historicals!B10</f>
        <v>4205</v>
      </c>
      <c r="C11" s="132">
        <f>Historicals!C10</f>
        <v>4623</v>
      </c>
      <c r="D11" s="132">
        <f>Historicals!D10</f>
        <v>4886</v>
      </c>
      <c r="E11" s="132">
        <f>Historicals!E10</f>
        <v>4325</v>
      </c>
      <c r="F11" s="132">
        <f>Historicals!F10</f>
        <v>4801</v>
      </c>
      <c r="G11" s="132">
        <f>Historicals!G10</f>
        <v>2887</v>
      </c>
      <c r="H11" s="132">
        <f>Historicals!H10</f>
        <v>6661</v>
      </c>
      <c r="I11" s="132">
        <f>Historicals!I10</f>
        <v>6651</v>
      </c>
      <c r="J11" s="132"/>
      <c r="K11" s="132"/>
      <c r="L11" s="139"/>
      <c r="M11" s="132"/>
      <c r="N11" s="132"/>
      <c r="O11" s="103"/>
      <c r="P11" s="103"/>
      <c r="Q11" s="103"/>
      <c r="R11" s="103"/>
    </row>
    <row r="12" spans="1:18" x14ac:dyDescent="0.25">
      <c r="A12" s="54" t="s">
        <v>26</v>
      </c>
      <c r="B12" s="94">
        <f>Historicals!B11</f>
        <v>932</v>
      </c>
      <c r="C12" s="94">
        <f>Historicals!C11</f>
        <v>863</v>
      </c>
      <c r="D12" s="94">
        <f>Historicals!D11</f>
        <v>646</v>
      </c>
      <c r="E12" s="94">
        <f>Historicals!E11</f>
        <v>2392</v>
      </c>
      <c r="F12" s="94">
        <f>Historicals!F11</f>
        <v>772</v>
      </c>
      <c r="G12" s="94">
        <f>Historicals!G11</f>
        <v>348</v>
      </c>
      <c r="H12" s="94">
        <f>Historicals!H11</f>
        <v>934</v>
      </c>
      <c r="I12" s="94">
        <f>Historicals!I11</f>
        <v>605</v>
      </c>
      <c r="J12" s="94">
        <f>I12-(I12*0.05)</f>
        <v>574.75</v>
      </c>
      <c r="K12" s="94">
        <f t="shared" ref="K12:N12" si="6">J12-(J12*0.05)</f>
        <v>546.01250000000005</v>
      </c>
      <c r="L12" s="94">
        <f t="shared" si="6"/>
        <v>518.71187500000008</v>
      </c>
      <c r="M12" s="94">
        <f t="shared" si="6"/>
        <v>492.77628125000007</v>
      </c>
      <c r="N12" s="94">
        <f t="shared" si="6"/>
        <v>468.13746718750008</v>
      </c>
      <c r="O12" s="94"/>
      <c r="P12" s="94"/>
      <c r="Q12" s="94"/>
      <c r="R12" s="94"/>
    </row>
    <row r="13" spans="1:18" x14ac:dyDescent="0.25">
      <c r="A13" s="107" t="s">
        <v>159</v>
      </c>
      <c r="B13" s="74">
        <v>0.222</v>
      </c>
      <c r="C13" s="74">
        <v>0.187</v>
      </c>
      <c r="D13" s="74">
        <v>0.13200000000000001</v>
      </c>
      <c r="E13" s="74">
        <v>0.55300000000000005</v>
      </c>
      <c r="F13" s="74">
        <v>0.161</v>
      </c>
      <c r="G13" s="74">
        <v>0.121</v>
      </c>
      <c r="H13" s="74">
        <v>0.14000000000000001</v>
      </c>
      <c r="I13" s="74">
        <v>9.0999999999999998E-2</v>
      </c>
      <c r="J13" s="108">
        <v>-0.05</v>
      </c>
      <c r="K13" s="108">
        <v>-0.05</v>
      </c>
      <c r="L13" s="108">
        <v>-0.05</v>
      </c>
      <c r="M13" s="108">
        <v>-0.05</v>
      </c>
      <c r="N13" s="108">
        <v>-0.05</v>
      </c>
      <c r="P13" s="129"/>
      <c r="Q13" s="108"/>
      <c r="R13" s="108"/>
    </row>
    <row r="14" spans="1:18" ht="15.75" thickBot="1" x14ac:dyDescent="0.3">
      <c r="A14" s="101" t="s">
        <v>160</v>
      </c>
      <c r="B14" s="102">
        <f>B11-B12</f>
        <v>3273</v>
      </c>
      <c r="C14" s="102">
        <f t="shared" ref="C14:I14" si="7">C11-C12</f>
        <v>3760</v>
      </c>
      <c r="D14" s="102">
        <f t="shared" si="7"/>
        <v>4240</v>
      </c>
      <c r="E14" s="102">
        <f t="shared" si="7"/>
        <v>1933</v>
      </c>
      <c r="F14" s="102">
        <f t="shared" si="7"/>
        <v>4029</v>
      </c>
      <c r="G14" s="102">
        <f t="shared" si="7"/>
        <v>2539</v>
      </c>
      <c r="H14" s="102">
        <f t="shared" si="7"/>
        <v>5727</v>
      </c>
      <c r="I14" s="102">
        <f t="shared" si="7"/>
        <v>6046</v>
      </c>
      <c r="J14" s="140">
        <f>I14*1.21</f>
        <v>7315.66</v>
      </c>
      <c r="K14" s="140">
        <f t="shared" ref="K14:N14" si="8">J14*1.21</f>
        <v>8851.9485999999997</v>
      </c>
      <c r="L14" s="140">
        <f t="shared" si="8"/>
        <v>10710.857806</v>
      </c>
      <c r="M14" s="140">
        <f t="shared" si="8"/>
        <v>12960.137945259999</v>
      </c>
      <c r="N14" s="140">
        <f t="shared" si="8"/>
        <v>15681.766913764599</v>
      </c>
      <c r="O14" s="141"/>
      <c r="P14" s="103"/>
      <c r="Q14" s="103"/>
      <c r="R14" s="103"/>
    </row>
    <row r="15" spans="1:18" ht="15.75" thickTop="1" x14ac:dyDescent="0.25">
      <c r="A15" s="54" t="s">
        <v>161</v>
      </c>
      <c r="B15" s="113">
        <f>Historicals!B18</f>
        <v>1768.8</v>
      </c>
      <c r="C15" s="113">
        <f>Historicals!C18</f>
        <v>1742.5</v>
      </c>
      <c r="D15" s="113">
        <f>Historicals!D18</f>
        <v>1692</v>
      </c>
      <c r="E15" s="113">
        <f>Historicals!E18</f>
        <v>1659.1</v>
      </c>
      <c r="F15" s="113">
        <f>Historicals!F18</f>
        <v>1618.4</v>
      </c>
      <c r="G15" s="113">
        <f>Historicals!G18</f>
        <v>1591.6</v>
      </c>
      <c r="H15" s="113">
        <f>Historicals!H18</f>
        <v>1609.4</v>
      </c>
      <c r="I15" s="113">
        <f>Historicals!I18</f>
        <v>1610.8</v>
      </c>
      <c r="J15" s="113">
        <f>I15</f>
        <v>1610.8</v>
      </c>
      <c r="K15" s="113">
        <f t="shared" ref="K15:N15" si="9">J15</f>
        <v>1610.8</v>
      </c>
      <c r="L15" s="113">
        <f t="shared" si="9"/>
        <v>1610.8</v>
      </c>
      <c r="M15" s="113">
        <f t="shared" si="9"/>
        <v>1610.8</v>
      </c>
      <c r="N15" s="113">
        <f t="shared" si="9"/>
        <v>1610.8</v>
      </c>
      <c r="O15" s="94"/>
      <c r="P15" s="94"/>
      <c r="Q15" s="94"/>
      <c r="R15" s="94"/>
    </row>
    <row r="16" spans="1:18" x14ac:dyDescent="0.25">
      <c r="A16" s="54" t="s">
        <v>162</v>
      </c>
      <c r="B16" s="113">
        <f>Historicals!B14</f>
        <v>1.9</v>
      </c>
      <c r="C16" s="113">
        <f>Historicals!C14</f>
        <v>2.21</v>
      </c>
      <c r="D16" s="113">
        <f>Historicals!D14</f>
        <v>1.19</v>
      </c>
      <c r="E16" s="113">
        <f>Historicals!E14</f>
        <v>1.19</v>
      </c>
      <c r="F16" s="113">
        <f>Historicals!F14</f>
        <v>2.5499999999999998</v>
      </c>
      <c r="G16" s="113">
        <f>Historicals!G14</f>
        <v>1.63</v>
      </c>
      <c r="H16" s="113">
        <f>Historicals!H14</f>
        <v>3.64</v>
      </c>
      <c r="I16" s="113">
        <f>Historicals!I14</f>
        <v>3.83</v>
      </c>
      <c r="J16" s="113">
        <f>I16*1.27</f>
        <v>4.8641000000000005</v>
      </c>
      <c r="K16" s="113">
        <f t="shared" ref="K16:N16" si="10">J16*1.27</f>
        <v>6.1774070000000005</v>
      </c>
      <c r="L16" s="113">
        <f t="shared" si="10"/>
        <v>7.8453068900000007</v>
      </c>
      <c r="M16" s="113">
        <f t="shared" si="10"/>
        <v>9.9635397503000007</v>
      </c>
      <c r="N16" s="113">
        <f t="shared" si="10"/>
        <v>12.653695482881002</v>
      </c>
      <c r="O16" s="129"/>
      <c r="P16" s="113"/>
      <c r="Q16" s="113"/>
      <c r="R16" s="113"/>
    </row>
    <row r="17" spans="1:18" x14ac:dyDescent="0.25">
      <c r="A17" s="54" t="s">
        <v>163</v>
      </c>
      <c r="B17" s="113">
        <f>Historicals!B15</f>
        <v>1.85</v>
      </c>
      <c r="C17" s="113">
        <f>Historicals!C15</f>
        <v>2.16</v>
      </c>
      <c r="D17" s="113">
        <f>Historicals!D15</f>
        <v>1.17</v>
      </c>
      <c r="E17" s="113">
        <f>Historicals!E15</f>
        <v>1.17</v>
      </c>
      <c r="F17" s="113">
        <f>Historicals!F15</f>
        <v>2.4900000000000002</v>
      </c>
      <c r="G17" s="113">
        <f>Historicals!G15</f>
        <v>1.6</v>
      </c>
      <c r="H17" s="113">
        <f>Historicals!H15</f>
        <v>3.56</v>
      </c>
      <c r="I17" s="113">
        <f>Historicals!I15</f>
        <v>3.75</v>
      </c>
      <c r="J17" s="113">
        <f>I17</f>
        <v>3.75</v>
      </c>
      <c r="K17" s="113">
        <f t="shared" ref="K17:N17" si="11">J17</f>
        <v>3.75</v>
      </c>
      <c r="L17" s="113">
        <f t="shared" si="11"/>
        <v>3.75</v>
      </c>
      <c r="M17" s="113">
        <f t="shared" si="11"/>
        <v>3.75</v>
      </c>
      <c r="N17" s="113">
        <f t="shared" si="11"/>
        <v>3.75</v>
      </c>
      <c r="O17" s="113"/>
      <c r="P17" s="113"/>
      <c r="Q17" s="113"/>
      <c r="R17" s="113"/>
    </row>
    <row r="18" spans="1:18" x14ac:dyDescent="0.25">
      <c r="A18" s="107" t="s">
        <v>129</v>
      </c>
      <c r="B18" s="74" t="str">
        <f>IFERROR(B15/A15-1,"nm")</f>
        <v>nm</v>
      </c>
      <c r="C18" s="74">
        <f t="shared" ref="C18:I18" si="12">IFERROR(C15/B15-1,"nm")</f>
        <v>-1.4868837630031662E-2</v>
      </c>
      <c r="D18" s="74">
        <f t="shared" si="12"/>
        <v>-2.8981348637015736E-2</v>
      </c>
      <c r="E18" s="74">
        <f t="shared" si="12"/>
        <v>-1.9444444444444486E-2</v>
      </c>
      <c r="F18" s="74">
        <f t="shared" si="12"/>
        <v>-2.4531372430835918E-2</v>
      </c>
      <c r="G18" s="74">
        <f t="shared" si="12"/>
        <v>-1.6559565002471688E-2</v>
      </c>
      <c r="H18" s="74">
        <f t="shared" si="12"/>
        <v>1.1183714501131092E-2</v>
      </c>
      <c r="I18" s="74">
        <f t="shared" si="12"/>
        <v>8.6988939977628021E-4</v>
      </c>
      <c r="J18" s="74">
        <f t="shared" ref="J18" si="13">IFERROR(J15/I15-1,"nm")</f>
        <v>0</v>
      </c>
      <c r="K18" s="74">
        <f t="shared" ref="K18" si="14">IFERROR(K15/J15-1,"nm")</f>
        <v>0</v>
      </c>
      <c r="L18" s="74">
        <f t="shared" ref="L18" si="15">IFERROR(L15/K15-1,"nm")</f>
        <v>0</v>
      </c>
      <c r="M18" s="74">
        <f t="shared" ref="M18" si="16">IFERROR(M15/L15-1,"nm")</f>
        <v>0</v>
      </c>
      <c r="N18" s="74">
        <f t="shared" ref="N18" si="17">IFERROR(N15/M15-1,"nm")</f>
        <v>0</v>
      </c>
      <c r="O18" s="108"/>
      <c r="P18" s="108"/>
      <c r="Q18" s="108"/>
      <c r="R18" s="108"/>
    </row>
    <row r="19" spans="1:18" x14ac:dyDescent="0.25">
      <c r="A19" s="107" t="s">
        <v>164</v>
      </c>
      <c r="B19" s="74">
        <f>IFERROR(-Historicals!B96/Historicals!B12,"nm")</f>
        <v>0.27467155514818209</v>
      </c>
      <c r="C19" s="74">
        <f>IFERROR(-Historicals!C96/Historicals!C12,"nm")</f>
        <v>0.27180851063829786</v>
      </c>
      <c r="D19" s="74">
        <f>IFERROR(-Historicals!D96/Historicals!D12,"nm")</f>
        <v>0.26721698113207548</v>
      </c>
      <c r="E19" s="74">
        <f>IFERROR(-Historicals!E96/Historicals!E12,"nm")</f>
        <v>0.64304190377651316</v>
      </c>
      <c r="F19" s="74">
        <f>IFERROR(-Historicals!F96/Historicals!F12,"nm")</f>
        <v>0.33060312732688013</v>
      </c>
      <c r="G19" s="74">
        <f>IFERROR(-Historicals!G96/Historicals!G12,"nm")</f>
        <v>0.57187869239858213</v>
      </c>
      <c r="H19" s="74">
        <f>IFERROR(-Historicals!H96/Historicals!H12,"nm")</f>
        <v>0.286013619696176</v>
      </c>
      <c r="I19" s="74">
        <f>IFERROR(-Historicals!I96/Historicals!I12,"nm")</f>
        <v>0.30383724776711873</v>
      </c>
      <c r="J19" s="74">
        <f>IFERROR(J61/J14,"nm")</f>
        <v>0.63049676994283499</v>
      </c>
      <c r="K19" s="74">
        <f t="shared" ref="K19:N19" si="18">IFERROR(K61/K14,"nm")</f>
        <v>0.52107171069655789</v>
      </c>
      <c r="L19" s="74">
        <f t="shared" si="18"/>
        <v>0.43063777743517173</v>
      </c>
      <c r="M19" s="74">
        <f t="shared" si="18"/>
        <v>0.35589898961584443</v>
      </c>
      <c r="N19" s="74">
        <f t="shared" si="18"/>
        <v>0.29413139637673097</v>
      </c>
      <c r="O19" s="74"/>
      <c r="P19" s="74"/>
      <c r="Q19" s="74"/>
      <c r="R19" s="74"/>
    </row>
    <row r="20" spans="1:18" x14ac:dyDescent="0.25">
      <c r="A20" s="142" t="s">
        <v>165</v>
      </c>
      <c r="B20" s="136"/>
      <c r="C20" s="136"/>
      <c r="D20" s="136"/>
      <c r="E20" s="136"/>
      <c r="F20" s="136"/>
      <c r="G20" s="136"/>
      <c r="H20" s="136"/>
      <c r="I20" s="136"/>
      <c r="J20" s="81"/>
      <c r="K20" s="81"/>
      <c r="L20" s="81"/>
      <c r="M20" s="81"/>
      <c r="N20" s="81"/>
      <c r="O20" s="81"/>
      <c r="P20" s="81"/>
      <c r="Q20" s="81"/>
      <c r="R20" s="81"/>
    </row>
    <row r="21" spans="1:18" x14ac:dyDescent="0.25">
      <c r="A21" s="54" t="s">
        <v>166</v>
      </c>
      <c r="B21" s="94">
        <f>Historicals!B25</f>
        <v>3852</v>
      </c>
      <c r="C21" s="94">
        <f>Historicals!C25</f>
        <v>3138</v>
      </c>
      <c r="D21" s="94">
        <f>Historicals!D25</f>
        <v>3808</v>
      </c>
      <c r="E21" s="94">
        <f>Historicals!E25</f>
        <v>4249</v>
      </c>
      <c r="F21" s="94">
        <f>Historicals!F25</f>
        <v>4466</v>
      </c>
      <c r="G21" s="94">
        <f>Historicals!G25</f>
        <v>8348</v>
      </c>
      <c r="H21" s="94">
        <f>Historicals!H25</f>
        <v>9889</v>
      </c>
      <c r="I21" s="94">
        <f>Historicals!I25</f>
        <v>8574</v>
      </c>
      <c r="J21" s="94">
        <f>J68</f>
        <v>8574</v>
      </c>
      <c r="K21" s="94">
        <f t="shared" ref="K21:N21" si="19">K68</f>
        <v>8574</v>
      </c>
      <c r="L21" s="94">
        <f t="shared" si="19"/>
        <v>8574</v>
      </c>
      <c r="M21" s="94">
        <f t="shared" si="19"/>
        <v>8574</v>
      </c>
      <c r="N21" s="94">
        <f t="shared" si="19"/>
        <v>8574</v>
      </c>
      <c r="O21" s="94"/>
      <c r="P21" s="94"/>
      <c r="Q21" s="94"/>
      <c r="R21" s="94"/>
    </row>
    <row r="22" spans="1:18" x14ac:dyDescent="0.25">
      <c r="A22" s="54" t="s">
        <v>167</v>
      </c>
      <c r="B22" s="94">
        <f>Historicals!B26</f>
        <v>2072</v>
      </c>
      <c r="C22" s="94">
        <f>Historicals!C26</f>
        <v>2319</v>
      </c>
      <c r="D22" s="94">
        <f>Historicals!D26</f>
        <v>2371</v>
      </c>
      <c r="E22" s="94">
        <f>Historicals!E26</f>
        <v>996</v>
      </c>
      <c r="F22" s="94">
        <f>Historicals!F26</f>
        <v>197</v>
      </c>
      <c r="G22" s="94">
        <f>Historicals!G26</f>
        <v>439</v>
      </c>
      <c r="H22" s="94">
        <f>Historicals!H26</f>
        <v>3587</v>
      </c>
      <c r="I22" s="94">
        <f>Historicals!I26</f>
        <v>4423</v>
      </c>
      <c r="J22" s="94">
        <f>I22</f>
        <v>4423</v>
      </c>
      <c r="K22" s="94">
        <f t="shared" ref="K22:N22" si="20">J22</f>
        <v>4423</v>
      </c>
      <c r="L22" s="94">
        <f t="shared" si="20"/>
        <v>4423</v>
      </c>
      <c r="M22" s="94">
        <f t="shared" si="20"/>
        <v>4423</v>
      </c>
      <c r="N22" s="94">
        <f t="shared" si="20"/>
        <v>4423</v>
      </c>
      <c r="O22" s="94"/>
      <c r="P22" s="94"/>
      <c r="Q22" s="94"/>
      <c r="R22" s="94"/>
    </row>
    <row r="23" spans="1:18" x14ac:dyDescent="0.25">
      <c r="A23" s="54" t="s">
        <v>168</v>
      </c>
      <c r="B23" s="94">
        <f>Historicals!B28+Historicals!B27-Historicals!B41</f>
        <v>5564</v>
      </c>
      <c r="C23" s="94">
        <f>Historicals!C28+Historicals!C27-Historicals!C41</f>
        <v>5888</v>
      </c>
      <c r="D23" s="94">
        <f>Historicals!D28+Historicals!D27-Historicals!D41</f>
        <v>6684</v>
      </c>
      <c r="E23" s="94">
        <f>Historicals!E28+Historicals!E27-Historicals!E41</f>
        <v>6480</v>
      </c>
      <c r="F23" s="94">
        <f>Historicals!F28+Historicals!F27-Historicals!F41</f>
        <v>7282</v>
      </c>
      <c r="G23" s="94">
        <f>Historicals!G28+Historicals!G27-Historicals!G41</f>
        <v>7868</v>
      </c>
      <c r="H23" s="94">
        <f>Historicals!H28+Historicals!H27-Historicals!H41</f>
        <v>8481</v>
      </c>
      <c r="I23" s="94">
        <f>Historicals!I28+Historicals!I27-Historicals!I41</f>
        <v>9729</v>
      </c>
      <c r="J23" s="113">
        <f>0.11*J3</f>
        <v>5500.7845200000002</v>
      </c>
      <c r="K23" s="113">
        <f>I23-J23</f>
        <v>4228.2154799999998</v>
      </c>
      <c r="L23" s="113">
        <f t="shared" ref="L23:M23" si="21">J23-K23</f>
        <v>1272.5690400000003</v>
      </c>
      <c r="M23" s="113">
        <f t="shared" si="21"/>
        <v>2955.6464399999995</v>
      </c>
      <c r="N23" s="113">
        <f>L23-M23</f>
        <v>-1683.0773999999992</v>
      </c>
      <c r="O23" s="141"/>
      <c r="P23" s="94"/>
      <c r="Q23" s="94"/>
      <c r="R23" s="94"/>
    </row>
    <row r="24" spans="1:18" x14ac:dyDescent="0.25">
      <c r="A24" s="107" t="s">
        <v>155</v>
      </c>
      <c r="B24" s="74">
        <f>IFERROR(B23/B3,"nm")</f>
        <v>0.18182412339466031</v>
      </c>
      <c r="C24" s="74">
        <f t="shared" ref="C24:I24" si="22">IFERROR(C23/C3,"nm")</f>
        <v>0.1818631084754139</v>
      </c>
      <c r="D24" s="74">
        <f t="shared" si="22"/>
        <v>0.19458515283842795</v>
      </c>
      <c r="E24" s="74">
        <f t="shared" si="22"/>
        <v>0.17803665137236585</v>
      </c>
      <c r="F24" s="74">
        <f t="shared" si="22"/>
        <v>0.18615947030702765</v>
      </c>
      <c r="G24" s="74">
        <f t="shared" si="22"/>
        <v>0.21035745795791783</v>
      </c>
      <c r="H24" s="74">
        <f t="shared" si="22"/>
        <v>0.19042166240064665</v>
      </c>
      <c r="I24" s="74">
        <f t="shared" si="22"/>
        <v>0.20828516377649325</v>
      </c>
      <c r="J24" s="108">
        <f>I24*1.2</f>
        <v>0.24994219653179189</v>
      </c>
      <c r="K24" s="108">
        <f t="shared" ref="K24:M24" si="23">J24*1.2</f>
        <v>0.29993063583815027</v>
      </c>
      <c r="L24" s="108">
        <f t="shared" si="23"/>
        <v>0.35991676300578029</v>
      </c>
      <c r="M24" s="108">
        <f t="shared" si="23"/>
        <v>0.43190011560693636</v>
      </c>
      <c r="N24" s="108">
        <f t="shared" ref="N24" si="24">M24*1.2</f>
        <v>0.51828013872832357</v>
      </c>
      <c r="O24" s="129"/>
      <c r="P24" s="108"/>
      <c r="Q24" s="108"/>
      <c r="R24" s="108"/>
    </row>
    <row r="25" spans="1:18" x14ac:dyDescent="0.25">
      <c r="A25" s="54" t="s">
        <v>169</v>
      </c>
      <c r="B25" s="94">
        <f>Historicals!B29</f>
        <v>1968</v>
      </c>
      <c r="C25" s="94">
        <f>Historicals!C29</f>
        <v>1489</v>
      </c>
      <c r="D25" s="94">
        <f>Historicals!D29</f>
        <v>1150</v>
      </c>
      <c r="E25" s="94">
        <f>Historicals!E29</f>
        <v>1130</v>
      </c>
      <c r="F25" s="94">
        <f>Historicals!F29</f>
        <v>1968</v>
      </c>
      <c r="G25" s="94">
        <f>Historicals!G29</f>
        <v>1653</v>
      </c>
      <c r="H25" s="94">
        <f>Historicals!H29</f>
        <v>1498</v>
      </c>
      <c r="I25" s="94">
        <f>Historicals!I29</f>
        <v>2129</v>
      </c>
      <c r="J25" s="94">
        <f t="shared" ref="J25:J40" si="25">I25</f>
        <v>2129</v>
      </c>
      <c r="K25" s="94">
        <f>I25</f>
        <v>2129</v>
      </c>
      <c r="L25" s="94">
        <f>I25</f>
        <v>2129</v>
      </c>
      <c r="M25" s="94">
        <f>I25</f>
        <v>2129</v>
      </c>
      <c r="N25" s="94">
        <f>I25</f>
        <v>2129</v>
      </c>
      <c r="O25" s="94"/>
      <c r="P25" s="94"/>
      <c r="Q25" s="94"/>
      <c r="R25" s="94"/>
    </row>
    <row r="26" spans="1:18" x14ac:dyDescent="0.25">
      <c r="A26" s="54" t="s">
        <v>170</v>
      </c>
      <c r="B26" s="94">
        <f>Historicals!B31</f>
        <v>3011</v>
      </c>
      <c r="C26" s="94">
        <f>Historicals!C31</f>
        <v>3520</v>
      </c>
      <c r="D26" s="94">
        <f>Historicals!D31</f>
        <v>3989</v>
      </c>
      <c r="E26" s="94">
        <f>Historicals!E31</f>
        <v>4454</v>
      </c>
      <c r="F26" s="94">
        <f>Historicals!F31</f>
        <v>4744</v>
      </c>
      <c r="G26" s="94">
        <f>Historicals!G31</f>
        <v>4866</v>
      </c>
      <c r="H26" s="94">
        <f>Historicals!H31</f>
        <v>4904</v>
      </c>
      <c r="I26" s="94">
        <f>Historicals!I31</f>
        <v>4791</v>
      </c>
      <c r="J26" s="94">
        <f>I26+(-J52)-J47</f>
        <v>4859.625</v>
      </c>
      <c r="K26" s="94">
        <f t="shared" ref="K26:M26" si="26">J26+(-K52)-K47</f>
        <v>4950.9217450000006</v>
      </c>
      <c r="L26" s="94">
        <f t="shared" si="26"/>
        <v>5034.7739966650006</v>
      </c>
      <c r="M26" s="94">
        <f t="shared" si="26"/>
        <v>5059.1886233649057</v>
      </c>
      <c r="N26" s="94">
        <f>M26+(-N52)-N47</f>
        <v>4933.8889588370857</v>
      </c>
      <c r="O26" s="94"/>
      <c r="P26" s="94"/>
      <c r="Q26" s="94"/>
      <c r="R26" s="94"/>
    </row>
    <row r="27" spans="1:18" x14ac:dyDescent="0.25">
      <c r="A27" s="54" t="s">
        <v>171</v>
      </c>
      <c r="B27" s="94">
        <f>Historicals!B33</f>
        <v>281</v>
      </c>
      <c r="C27" s="94">
        <f>Historicals!C33</f>
        <v>281</v>
      </c>
      <c r="D27" s="94">
        <f>Historicals!D33</f>
        <v>283</v>
      </c>
      <c r="E27" s="94">
        <f>Historicals!E33</f>
        <v>285</v>
      </c>
      <c r="F27" s="94">
        <f>Historicals!F33</f>
        <v>283</v>
      </c>
      <c r="G27" s="94">
        <f>Historicals!G33</f>
        <v>274</v>
      </c>
      <c r="H27" s="94">
        <f>Historicals!H33</f>
        <v>269</v>
      </c>
      <c r="I27" s="94">
        <f>Historicals!I33</f>
        <v>286</v>
      </c>
      <c r="J27" s="94">
        <f t="shared" si="25"/>
        <v>286</v>
      </c>
      <c r="K27" s="94">
        <f>I27</f>
        <v>286</v>
      </c>
      <c r="L27" s="94">
        <f>I27</f>
        <v>286</v>
      </c>
      <c r="M27" s="94">
        <f>I27</f>
        <v>286</v>
      </c>
      <c r="N27" s="94">
        <f>I27</f>
        <v>286</v>
      </c>
      <c r="O27" s="94"/>
      <c r="P27" s="94"/>
      <c r="Q27" s="94"/>
      <c r="R27" s="94"/>
    </row>
    <row r="28" spans="1:18" x14ac:dyDescent="0.25">
      <c r="A28" s="54" t="s">
        <v>40</v>
      </c>
      <c r="B28" s="94">
        <f>Historicals!B34</f>
        <v>131</v>
      </c>
      <c r="C28" s="94">
        <f>Historicals!C34</f>
        <v>131</v>
      </c>
      <c r="D28" s="94">
        <f>Historicals!D34</f>
        <v>139</v>
      </c>
      <c r="E28" s="94">
        <f>Historicals!E34</f>
        <v>154</v>
      </c>
      <c r="F28" s="94">
        <f>Historicals!F34</f>
        <v>154</v>
      </c>
      <c r="G28" s="94">
        <f>Historicals!G34</f>
        <v>223</v>
      </c>
      <c r="H28" s="94">
        <f>Historicals!H34</f>
        <v>242</v>
      </c>
      <c r="I28" s="94">
        <f>Historicals!I34</f>
        <v>284</v>
      </c>
      <c r="J28" s="94">
        <f t="shared" si="25"/>
        <v>284</v>
      </c>
      <c r="K28" s="94">
        <f>I28</f>
        <v>284</v>
      </c>
      <c r="L28" s="94">
        <f>I28</f>
        <v>284</v>
      </c>
      <c r="M28" s="94">
        <f>I28</f>
        <v>284</v>
      </c>
      <c r="N28" s="94">
        <f>I28</f>
        <v>284</v>
      </c>
      <c r="O28" s="94"/>
      <c r="P28" s="94"/>
      <c r="Q28" s="94"/>
      <c r="R28" s="94"/>
    </row>
    <row r="29" spans="1:18" x14ac:dyDescent="0.25">
      <c r="A29" s="110" t="s">
        <v>38</v>
      </c>
      <c r="B29" s="94">
        <f>Historicals!B32</f>
        <v>0</v>
      </c>
      <c r="C29" s="94">
        <f>Historicals!C32</f>
        <v>0</v>
      </c>
      <c r="D29" s="94">
        <f>Historicals!D32</f>
        <v>0</v>
      </c>
      <c r="E29" s="94">
        <f>Historicals!E32</f>
        <v>0</v>
      </c>
      <c r="F29" s="94">
        <f>Historicals!F32</f>
        <v>0</v>
      </c>
      <c r="G29" s="94">
        <f>Historicals!G32</f>
        <v>3097</v>
      </c>
      <c r="H29" s="94">
        <f>Historicals!H32</f>
        <v>3113</v>
      </c>
      <c r="I29" s="94">
        <f>Historicals!I32</f>
        <v>2926</v>
      </c>
      <c r="J29" s="94">
        <f t="shared" si="25"/>
        <v>2926</v>
      </c>
      <c r="K29" s="94">
        <f>I29</f>
        <v>2926</v>
      </c>
      <c r="L29" s="94">
        <f>I29</f>
        <v>2926</v>
      </c>
      <c r="M29" s="94">
        <f>I29</f>
        <v>2926</v>
      </c>
      <c r="N29" s="94">
        <f>I29</f>
        <v>2926</v>
      </c>
      <c r="O29" s="94"/>
      <c r="P29" s="94"/>
      <c r="Q29" s="94"/>
      <c r="R29" s="94"/>
    </row>
    <row r="30" spans="1:18" x14ac:dyDescent="0.25">
      <c r="A30" s="54" t="s">
        <v>172</v>
      </c>
      <c r="B30" s="94">
        <f>Historicals!B35</f>
        <v>2587</v>
      </c>
      <c r="C30" s="94">
        <f>Historicals!C35</f>
        <v>2439</v>
      </c>
      <c r="D30" s="94">
        <f>Historicals!D35</f>
        <v>2787</v>
      </c>
      <c r="E30" s="94">
        <f>Historicals!E35</f>
        <v>2509</v>
      </c>
      <c r="F30" s="94">
        <f>Historicals!F35</f>
        <v>2011</v>
      </c>
      <c r="G30" s="94">
        <f>Historicals!G35</f>
        <v>2326</v>
      </c>
      <c r="H30" s="94">
        <f>Historicals!H35</f>
        <v>2921</v>
      </c>
      <c r="I30" s="94">
        <f>Historicals!I35</f>
        <v>3821</v>
      </c>
      <c r="J30" s="94">
        <f t="shared" si="25"/>
        <v>3821</v>
      </c>
      <c r="K30" s="94">
        <f>I30</f>
        <v>3821</v>
      </c>
      <c r="L30" s="94">
        <f>I30</f>
        <v>3821</v>
      </c>
      <c r="M30" s="94">
        <f>I30</f>
        <v>3821</v>
      </c>
      <c r="N30" s="94">
        <f>I30</f>
        <v>3821</v>
      </c>
      <c r="O30" s="94"/>
      <c r="P30" s="94"/>
      <c r="Q30" s="94"/>
      <c r="R30" s="94"/>
    </row>
    <row r="31" spans="1:18" ht="15.75" thickBot="1" x14ac:dyDescent="0.3">
      <c r="A31" s="101" t="s">
        <v>173</v>
      </c>
      <c r="B31" s="102">
        <f>B21+B22+B25+B26+B27+B28+B29+B30+B23</f>
        <v>19466</v>
      </c>
      <c r="C31" s="102">
        <f t="shared" ref="C31:I31" si="27">C21+C22+C25+C26+C27+C28+C29+C30+C23</f>
        <v>19205</v>
      </c>
      <c r="D31" s="102">
        <f t="shared" si="27"/>
        <v>21211</v>
      </c>
      <c r="E31" s="102">
        <f t="shared" si="27"/>
        <v>20257</v>
      </c>
      <c r="F31" s="102">
        <f t="shared" si="27"/>
        <v>21105</v>
      </c>
      <c r="G31" s="102">
        <f t="shared" si="27"/>
        <v>29094</v>
      </c>
      <c r="H31" s="102">
        <f t="shared" si="27"/>
        <v>34904</v>
      </c>
      <c r="I31" s="102">
        <f t="shared" si="27"/>
        <v>36963</v>
      </c>
      <c r="J31" s="102">
        <f t="shared" si="25"/>
        <v>36963</v>
      </c>
      <c r="K31" s="102">
        <f t="shared" ref="K31:N40" si="28">J31</f>
        <v>36963</v>
      </c>
      <c r="L31" s="102">
        <f t="shared" si="28"/>
        <v>36963</v>
      </c>
      <c r="M31" s="102">
        <f t="shared" si="28"/>
        <v>36963</v>
      </c>
      <c r="N31" s="102">
        <f t="shared" si="28"/>
        <v>36963</v>
      </c>
      <c r="O31" s="103"/>
      <c r="P31" s="103"/>
      <c r="Q31" s="103"/>
      <c r="R31" s="103"/>
    </row>
    <row r="32" spans="1:18" ht="15.75" thickTop="1" x14ac:dyDescent="0.25">
      <c r="A32" s="54" t="s">
        <v>174</v>
      </c>
      <c r="B32" s="94">
        <f>B33+B34</f>
        <v>181</v>
      </c>
      <c r="C32" s="94">
        <f t="shared" ref="C32:I32" si="29">C33+C34</f>
        <v>45</v>
      </c>
      <c r="D32" s="94">
        <f t="shared" si="29"/>
        <v>331</v>
      </c>
      <c r="E32" s="94">
        <f t="shared" si="29"/>
        <v>342</v>
      </c>
      <c r="F32" s="94">
        <f t="shared" si="29"/>
        <v>15</v>
      </c>
      <c r="G32" s="94">
        <f t="shared" si="29"/>
        <v>251</v>
      </c>
      <c r="H32" s="94">
        <f t="shared" si="29"/>
        <v>2</v>
      </c>
      <c r="I32" s="94">
        <f t="shared" si="29"/>
        <v>510</v>
      </c>
      <c r="J32" s="94">
        <f t="shared" si="25"/>
        <v>510</v>
      </c>
      <c r="K32" s="94">
        <f t="shared" si="28"/>
        <v>510</v>
      </c>
      <c r="L32" s="94">
        <f t="shared" si="28"/>
        <v>510</v>
      </c>
      <c r="M32" s="94">
        <f t="shared" si="28"/>
        <v>510</v>
      </c>
      <c r="N32" s="94">
        <f t="shared" si="28"/>
        <v>510</v>
      </c>
      <c r="O32" s="113"/>
      <c r="P32" s="94"/>
      <c r="Q32" s="94"/>
      <c r="R32" s="94"/>
    </row>
    <row r="33" spans="1:18" x14ac:dyDescent="0.25">
      <c r="A33" s="109" t="s">
        <v>45</v>
      </c>
      <c r="B33" s="94">
        <f>Historicals!B39</f>
        <v>107</v>
      </c>
      <c r="C33" s="94">
        <f>Historicals!C39</f>
        <v>44</v>
      </c>
      <c r="D33" s="94">
        <f>Historicals!D39</f>
        <v>6</v>
      </c>
      <c r="E33" s="94">
        <f>Historicals!E39</f>
        <v>6</v>
      </c>
      <c r="F33" s="94">
        <f>Historicals!F39</f>
        <v>6</v>
      </c>
      <c r="G33" s="94">
        <f>Historicals!G39</f>
        <v>3</v>
      </c>
      <c r="H33" s="94">
        <f>Historicals!H39</f>
        <v>0</v>
      </c>
      <c r="I33" s="94">
        <f>Historicals!I39</f>
        <v>500</v>
      </c>
      <c r="J33" s="94">
        <f t="shared" si="25"/>
        <v>500</v>
      </c>
      <c r="K33" s="94">
        <f t="shared" si="28"/>
        <v>500</v>
      </c>
      <c r="L33" s="94">
        <f t="shared" si="28"/>
        <v>500</v>
      </c>
      <c r="M33" s="94">
        <f t="shared" si="28"/>
        <v>500</v>
      </c>
      <c r="N33" s="94">
        <f t="shared" si="28"/>
        <v>500</v>
      </c>
      <c r="O33" s="94"/>
      <c r="P33" s="94"/>
      <c r="Q33" s="94"/>
      <c r="R33" s="94"/>
    </row>
    <row r="34" spans="1:18" x14ac:dyDescent="0.25">
      <c r="A34" s="109" t="s">
        <v>46</v>
      </c>
      <c r="B34" s="94">
        <f>Historicals!B40</f>
        <v>74</v>
      </c>
      <c r="C34" s="94">
        <f>Historicals!C40</f>
        <v>1</v>
      </c>
      <c r="D34" s="94">
        <f>Historicals!D40</f>
        <v>325</v>
      </c>
      <c r="E34" s="94">
        <f>Historicals!E40</f>
        <v>336</v>
      </c>
      <c r="F34" s="94">
        <f>Historicals!F40</f>
        <v>9</v>
      </c>
      <c r="G34" s="94">
        <f>Historicals!G40</f>
        <v>248</v>
      </c>
      <c r="H34" s="94">
        <f>Historicals!H40</f>
        <v>2</v>
      </c>
      <c r="I34" s="94">
        <f>Historicals!I40</f>
        <v>10</v>
      </c>
      <c r="J34" s="94">
        <f t="shared" si="25"/>
        <v>10</v>
      </c>
      <c r="K34" s="94">
        <f t="shared" si="28"/>
        <v>10</v>
      </c>
      <c r="L34" s="94">
        <f t="shared" si="28"/>
        <v>10</v>
      </c>
      <c r="M34" s="94">
        <f t="shared" si="28"/>
        <v>10</v>
      </c>
      <c r="N34" s="94">
        <f t="shared" si="28"/>
        <v>10</v>
      </c>
      <c r="O34" s="94"/>
      <c r="P34" s="94"/>
      <c r="Q34" s="94"/>
      <c r="R34" s="94"/>
    </row>
    <row r="35" spans="1:18" x14ac:dyDescent="0.25">
      <c r="A35" s="54" t="s">
        <v>175</v>
      </c>
      <c r="B35" s="94">
        <f>Historicals!B42+Historicals!B43+Historicals!B44</f>
        <v>4020</v>
      </c>
      <c r="C35" s="94">
        <f>Historicals!C42+Historicals!C43+Historicals!C44</f>
        <v>3122</v>
      </c>
      <c r="D35" s="94">
        <f>Historicals!D42+Historicals!D43+Historicals!D44</f>
        <v>3095</v>
      </c>
      <c r="E35" s="94">
        <f>Historicals!E42+Historicals!E43+Historicals!E44</f>
        <v>3419</v>
      </c>
      <c r="F35" s="94">
        <f>Historicals!F42+Historicals!F43+Historicals!F44</f>
        <v>5239</v>
      </c>
      <c r="G35" s="94">
        <f>Historicals!G42+Historicals!G43+Historicals!G44</f>
        <v>5785</v>
      </c>
      <c r="H35" s="94">
        <f>Historicals!H42+Historicals!H43+Historicals!H44</f>
        <v>6836</v>
      </c>
      <c r="I35" s="94">
        <f>Historicals!I42+Historicals!I43+Historicals!I44</f>
        <v>6862</v>
      </c>
      <c r="J35" s="94">
        <f t="shared" si="25"/>
        <v>6862</v>
      </c>
      <c r="K35" s="94">
        <f t="shared" si="28"/>
        <v>6862</v>
      </c>
      <c r="L35" s="94">
        <f t="shared" si="28"/>
        <v>6862</v>
      </c>
      <c r="M35" s="94">
        <f t="shared" si="28"/>
        <v>6862</v>
      </c>
      <c r="N35" s="94">
        <f t="shared" si="28"/>
        <v>6862</v>
      </c>
      <c r="O35" s="94"/>
      <c r="P35" s="94"/>
      <c r="Q35" s="94"/>
      <c r="R35" s="94"/>
    </row>
    <row r="36" spans="1:18" x14ac:dyDescent="0.25">
      <c r="A36" s="54" t="s">
        <v>49</v>
      </c>
      <c r="B36" s="94">
        <f>Historicals!B46</f>
        <v>1079</v>
      </c>
      <c r="C36" s="94">
        <f>Historicals!C46</f>
        <v>2010</v>
      </c>
      <c r="D36" s="94">
        <f>Historicals!D46</f>
        <v>3471</v>
      </c>
      <c r="E36" s="94">
        <f>Historicals!E46</f>
        <v>3468</v>
      </c>
      <c r="F36" s="94">
        <f>Historicals!F46</f>
        <v>3464</v>
      </c>
      <c r="G36" s="94">
        <f>Historicals!G46</f>
        <v>9406</v>
      </c>
      <c r="H36" s="94">
        <f>Historicals!H46</f>
        <v>9413</v>
      </c>
      <c r="I36" s="94">
        <f>Historicals!I46</f>
        <v>8920</v>
      </c>
      <c r="J36" s="94">
        <f t="shared" si="25"/>
        <v>8920</v>
      </c>
      <c r="K36" s="94">
        <f t="shared" si="28"/>
        <v>8920</v>
      </c>
      <c r="L36" s="94">
        <f t="shared" si="28"/>
        <v>8920</v>
      </c>
      <c r="M36" s="94">
        <f t="shared" si="28"/>
        <v>8920</v>
      </c>
      <c r="N36" s="94">
        <f t="shared" si="28"/>
        <v>8920</v>
      </c>
      <c r="O36" s="94"/>
      <c r="P36" s="94"/>
      <c r="Q36" s="94"/>
      <c r="R36" s="94"/>
    </row>
    <row r="37" spans="1:18" x14ac:dyDescent="0.25">
      <c r="A37" s="110" t="s">
        <v>50</v>
      </c>
      <c r="B37" s="94">
        <f>Historicals!B47</f>
        <v>0</v>
      </c>
      <c r="C37" s="94">
        <f>Historicals!C47</f>
        <v>0</v>
      </c>
      <c r="D37" s="94">
        <f>Historicals!D47</f>
        <v>0</v>
      </c>
      <c r="E37" s="94">
        <f>Historicals!E47</f>
        <v>0</v>
      </c>
      <c r="F37" s="94">
        <f>Historicals!F47</f>
        <v>0</v>
      </c>
      <c r="G37" s="94">
        <f>Historicals!G47</f>
        <v>2913</v>
      </c>
      <c r="H37" s="94">
        <f>Historicals!H47</f>
        <v>2931</v>
      </c>
      <c r="I37" s="94">
        <f>Historicals!I47</f>
        <v>2777</v>
      </c>
      <c r="J37" s="94">
        <f t="shared" si="25"/>
        <v>2777</v>
      </c>
      <c r="K37" s="94">
        <f t="shared" si="28"/>
        <v>2777</v>
      </c>
      <c r="L37" s="94">
        <f t="shared" si="28"/>
        <v>2777</v>
      </c>
      <c r="M37" s="94">
        <f t="shared" si="28"/>
        <v>2777</v>
      </c>
      <c r="N37" s="94">
        <f t="shared" si="28"/>
        <v>2777</v>
      </c>
      <c r="O37" s="94"/>
      <c r="P37" s="94"/>
      <c r="Q37" s="94"/>
      <c r="R37" s="94"/>
    </row>
    <row r="38" spans="1:18" x14ac:dyDescent="0.25">
      <c r="A38" s="54" t="s">
        <v>176</v>
      </c>
      <c r="B38" s="94">
        <f>Historicals!B48</f>
        <v>1479</v>
      </c>
      <c r="C38" s="94">
        <f>Historicals!C48</f>
        <v>1770</v>
      </c>
      <c r="D38" s="94">
        <f>Historicals!D48</f>
        <v>1907</v>
      </c>
      <c r="E38" s="94">
        <f>Historicals!E48</f>
        <v>3216</v>
      </c>
      <c r="F38" s="94">
        <f>Historicals!F48</f>
        <v>3347</v>
      </c>
      <c r="G38" s="94">
        <f>Historicals!G48</f>
        <v>2684</v>
      </c>
      <c r="H38" s="94">
        <f>Historicals!H48</f>
        <v>2955</v>
      </c>
      <c r="I38" s="94">
        <f>Historicals!I48</f>
        <v>2613</v>
      </c>
      <c r="J38" s="94">
        <f t="shared" si="25"/>
        <v>2613</v>
      </c>
      <c r="K38" s="94">
        <f t="shared" si="28"/>
        <v>2613</v>
      </c>
      <c r="L38" s="94">
        <f t="shared" si="28"/>
        <v>2613</v>
      </c>
      <c r="M38" s="94">
        <f t="shared" si="28"/>
        <v>2613</v>
      </c>
      <c r="N38" s="94">
        <f t="shared" si="28"/>
        <v>2613</v>
      </c>
      <c r="O38" s="94"/>
      <c r="P38" s="94"/>
      <c r="Q38" s="94"/>
      <c r="R38" s="94"/>
    </row>
    <row r="39" spans="1:18" x14ac:dyDescent="0.25">
      <c r="A39" s="54" t="s">
        <v>177</v>
      </c>
      <c r="B39" s="94">
        <f>B40+B41+B42</f>
        <v>12707</v>
      </c>
      <c r="C39" s="94">
        <f t="shared" ref="C39:I39" si="30">C40+C41+C42</f>
        <v>12258</v>
      </c>
      <c r="D39" s="94">
        <f t="shared" si="30"/>
        <v>12407</v>
      </c>
      <c r="E39" s="94">
        <f t="shared" si="30"/>
        <v>9812</v>
      </c>
      <c r="F39" s="94">
        <f t="shared" si="30"/>
        <v>9040</v>
      </c>
      <c r="G39" s="94">
        <f t="shared" si="30"/>
        <v>8055</v>
      </c>
      <c r="H39" s="94">
        <f t="shared" si="30"/>
        <v>12767</v>
      </c>
      <c r="I39" s="94">
        <f t="shared" si="30"/>
        <v>15281</v>
      </c>
      <c r="J39" s="94">
        <f t="shared" si="25"/>
        <v>15281</v>
      </c>
      <c r="K39" s="94">
        <f t="shared" si="28"/>
        <v>15281</v>
      </c>
      <c r="L39" s="94">
        <f t="shared" si="28"/>
        <v>15281</v>
      </c>
      <c r="M39" s="94">
        <f t="shared" si="28"/>
        <v>15281</v>
      </c>
      <c r="N39" s="94">
        <f t="shared" si="28"/>
        <v>15281</v>
      </c>
      <c r="O39" s="94"/>
      <c r="P39" s="94"/>
      <c r="Q39" s="94"/>
      <c r="R39" s="94"/>
    </row>
    <row r="40" spans="1:18" x14ac:dyDescent="0.25">
      <c r="A40" s="109" t="s">
        <v>178</v>
      </c>
      <c r="B40" s="94">
        <f>Historicals!B54</f>
        <v>3</v>
      </c>
      <c r="C40" s="94">
        <f>Historicals!C54</f>
        <v>3</v>
      </c>
      <c r="D40" s="94">
        <f>Historicals!D54</f>
        <v>3</v>
      </c>
      <c r="E40" s="94">
        <f>Historicals!E54</f>
        <v>3</v>
      </c>
      <c r="F40" s="94">
        <f>Historicals!F54</f>
        <v>3</v>
      </c>
      <c r="G40" s="94">
        <f>Historicals!G54</f>
        <v>3</v>
      </c>
      <c r="H40" s="94">
        <f>Historicals!H54</f>
        <v>3</v>
      </c>
      <c r="I40" s="94">
        <f>Historicals!I54</f>
        <v>3</v>
      </c>
      <c r="J40" s="94">
        <f t="shared" si="25"/>
        <v>3</v>
      </c>
      <c r="K40" s="94">
        <f t="shared" si="28"/>
        <v>3</v>
      </c>
      <c r="L40" s="94">
        <f t="shared" si="28"/>
        <v>3</v>
      </c>
      <c r="M40" s="94">
        <f t="shared" si="28"/>
        <v>3</v>
      </c>
      <c r="N40" s="94">
        <f t="shared" si="28"/>
        <v>3</v>
      </c>
      <c r="O40" s="94"/>
      <c r="P40" s="94"/>
      <c r="Q40" s="94"/>
      <c r="R40" s="94"/>
    </row>
    <row r="41" spans="1:18" x14ac:dyDescent="0.25">
      <c r="A41" s="109" t="s">
        <v>179</v>
      </c>
      <c r="B41" s="94">
        <f>Historicals!B57</f>
        <v>4685</v>
      </c>
      <c r="C41" s="94">
        <f>Historicals!C57</f>
        <v>4151</v>
      </c>
      <c r="D41" s="94">
        <f>Historicals!D57</f>
        <v>6907</v>
      </c>
      <c r="E41" s="94">
        <f>Historicals!E57</f>
        <v>3517</v>
      </c>
      <c r="F41" s="94">
        <f>Historicals!F57</f>
        <v>1643</v>
      </c>
      <c r="G41" s="94">
        <f>Historicals!G57</f>
        <v>-191</v>
      </c>
      <c r="H41" s="94">
        <f>Historicals!H57</f>
        <v>3179</v>
      </c>
      <c r="I41" s="94">
        <f>Historicals!I57</f>
        <v>3476</v>
      </c>
      <c r="J41" s="94">
        <f>I41+J14-J61</f>
        <v>6179.16</v>
      </c>
      <c r="K41" s="94">
        <f t="shared" ref="K41:N41" si="31">J41+K14-K61</f>
        <v>10418.6086</v>
      </c>
      <c r="L41" s="94">
        <f t="shared" si="31"/>
        <v>16516.966406</v>
      </c>
      <c r="M41" s="94">
        <f t="shared" si="31"/>
        <v>24864.604351260001</v>
      </c>
      <c r="N41" s="94">
        <f t="shared" si="31"/>
        <v>35933.871265024602</v>
      </c>
      <c r="O41" s="94"/>
      <c r="P41" s="94"/>
      <c r="Q41" s="94"/>
      <c r="R41" s="94"/>
    </row>
    <row r="42" spans="1:18" x14ac:dyDescent="0.25">
      <c r="A42" s="109" t="s">
        <v>180</v>
      </c>
      <c r="B42" s="94">
        <f>Historicals!B55+Historicals!B56</f>
        <v>8019</v>
      </c>
      <c r="C42" s="94">
        <f>Historicals!C55+Historicals!C56</f>
        <v>8104</v>
      </c>
      <c r="D42" s="94">
        <f>Historicals!D55+Historicals!D56</f>
        <v>5497</v>
      </c>
      <c r="E42" s="94">
        <f>Historicals!E55+Historicals!E56</f>
        <v>6292</v>
      </c>
      <c r="F42" s="94">
        <f>Historicals!F55+Historicals!F56</f>
        <v>7394</v>
      </c>
      <c r="G42" s="94">
        <f>Historicals!G55+Historicals!G56</f>
        <v>8243</v>
      </c>
      <c r="H42" s="94">
        <f>Historicals!H55+Historicals!H56</f>
        <v>9585</v>
      </c>
      <c r="I42" s="94">
        <f>Historicals!I55+Historicals!I56</f>
        <v>11802</v>
      </c>
      <c r="J42" s="94">
        <f>I42</f>
        <v>11802</v>
      </c>
      <c r="K42" s="94">
        <f>I42</f>
        <v>11802</v>
      </c>
      <c r="L42" s="94">
        <f>I42</f>
        <v>11802</v>
      </c>
      <c r="M42" s="94">
        <f>I42</f>
        <v>11802</v>
      </c>
      <c r="N42" s="94">
        <f>I42</f>
        <v>11802</v>
      </c>
      <c r="O42" s="94"/>
      <c r="P42" s="94"/>
      <c r="Q42" s="94"/>
      <c r="R42" s="94"/>
    </row>
    <row r="43" spans="1:18" ht="15.75" thickBot="1" x14ac:dyDescent="0.3">
      <c r="A43" s="101" t="s">
        <v>181</v>
      </c>
      <c r="B43" s="102">
        <f>B39+B32+B35+B36+B37+B38</f>
        <v>19466</v>
      </c>
      <c r="C43" s="102">
        <f t="shared" ref="C43:N43" si="32">C39+C32+C35+C36+C37+C38</f>
        <v>19205</v>
      </c>
      <c r="D43" s="102">
        <f t="shared" si="32"/>
        <v>21211</v>
      </c>
      <c r="E43" s="102">
        <f t="shared" si="32"/>
        <v>20257</v>
      </c>
      <c r="F43" s="102">
        <f t="shared" si="32"/>
        <v>21105</v>
      </c>
      <c r="G43" s="102">
        <f t="shared" si="32"/>
        <v>29094</v>
      </c>
      <c r="H43" s="102">
        <f t="shared" si="32"/>
        <v>34904</v>
      </c>
      <c r="I43" s="102">
        <f t="shared" si="32"/>
        <v>36963</v>
      </c>
      <c r="J43" s="102">
        <f t="shared" si="32"/>
        <v>36963</v>
      </c>
      <c r="K43" s="102">
        <f t="shared" si="32"/>
        <v>36963</v>
      </c>
      <c r="L43" s="102">
        <f t="shared" si="32"/>
        <v>36963</v>
      </c>
      <c r="M43" s="102">
        <f t="shared" si="32"/>
        <v>36963</v>
      </c>
      <c r="N43" s="102">
        <f t="shared" si="32"/>
        <v>36963</v>
      </c>
      <c r="O43" s="103"/>
      <c r="P43" s="103"/>
      <c r="Q43" s="103"/>
      <c r="R43" s="103"/>
    </row>
    <row r="44" spans="1:18" s="81" customFormat="1" ht="15.75" thickTop="1" x14ac:dyDescent="0.25">
      <c r="A44" s="114" t="s">
        <v>182</v>
      </c>
      <c r="B44" s="114">
        <f>B43-B31</f>
        <v>0</v>
      </c>
      <c r="C44" s="114">
        <f t="shared" ref="C44:N44" si="33">C43-C31</f>
        <v>0</v>
      </c>
      <c r="D44" s="114">
        <f t="shared" si="33"/>
        <v>0</v>
      </c>
      <c r="E44" s="114">
        <f t="shared" si="33"/>
        <v>0</v>
      </c>
      <c r="F44" s="114">
        <f t="shared" si="33"/>
        <v>0</v>
      </c>
      <c r="G44" s="114">
        <f t="shared" si="33"/>
        <v>0</v>
      </c>
      <c r="H44" s="114">
        <f t="shared" si="33"/>
        <v>0</v>
      </c>
      <c r="I44" s="114">
        <f t="shared" si="33"/>
        <v>0</v>
      </c>
      <c r="J44" s="114">
        <f t="shared" si="33"/>
        <v>0</v>
      </c>
      <c r="K44" s="114">
        <f t="shared" si="33"/>
        <v>0</v>
      </c>
      <c r="L44" s="114">
        <f t="shared" si="33"/>
        <v>0</v>
      </c>
      <c r="M44" s="114">
        <f t="shared" si="33"/>
        <v>0</v>
      </c>
      <c r="N44" s="114">
        <f t="shared" si="33"/>
        <v>0</v>
      </c>
      <c r="O44" s="114"/>
      <c r="P44" s="114"/>
      <c r="Q44" s="114"/>
      <c r="R44" s="114"/>
    </row>
    <row r="45" spans="1:18" x14ac:dyDescent="0.25">
      <c r="A45" s="142" t="s">
        <v>183</v>
      </c>
      <c r="B45" s="136"/>
      <c r="C45" s="136"/>
      <c r="D45" s="136"/>
      <c r="E45" s="136"/>
      <c r="F45" s="136"/>
      <c r="G45" s="136"/>
      <c r="H45" s="136"/>
      <c r="I45" s="136"/>
      <c r="J45" s="81"/>
      <c r="K45" s="81"/>
      <c r="L45" s="81"/>
      <c r="M45" s="81"/>
      <c r="N45" s="81"/>
      <c r="O45" s="81"/>
      <c r="P45" s="136"/>
      <c r="Q45" s="81"/>
      <c r="R45" s="81"/>
    </row>
    <row r="46" spans="1:18" x14ac:dyDescent="0.25">
      <c r="A46" s="81" t="s">
        <v>134</v>
      </c>
      <c r="B46" s="104">
        <f>'Segmental forecast'!B11</f>
        <v>4233</v>
      </c>
      <c r="C46" s="104">
        <f>'Segmental forecast'!C11</f>
        <v>4642</v>
      </c>
      <c r="D46" s="104">
        <f>'Segmental forecast'!D11</f>
        <v>4945</v>
      </c>
      <c r="E46" s="104">
        <f>'Segmental forecast'!E11</f>
        <v>4379</v>
      </c>
      <c r="F46" s="104">
        <f>'Segmental forecast'!F11</f>
        <v>4850</v>
      </c>
      <c r="G46" s="104">
        <f>'Segmental forecast'!G11</f>
        <v>2976</v>
      </c>
      <c r="H46" s="104">
        <f>'Segmental forecast'!H11</f>
        <v>6923</v>
      </c>
      <c r="I46" s="104">
        <f>'Segmental forecast'!I11</f>
        <v>6856</v>
      </c>
      <c r="J46" s="104">
        <f>'Segmental forecast'!J11</f>
        <v>7141.9260000000013</v>
      </c>
      <c r="K46" s="104">
        <f>'Segmental forecast'!K11</f>
        <v>8690.418512000002</v>
      </c>
      <c r="L46" s="104">
        <f>'Segmental forecast'!L11</f>
        <v>12295.490833284</v>
      </c>
      <c r="M46" s="104">
        <f>'Segmental forecast'!M11</f>
        <v>19321.180763388191</v>
      </c>
      <c r="N46" s="104">
        <f>'Segmental forecast'!N11</f>
        <v>32098.707603625811</v>
      </c>
      <c r="O46" s="104"/>
      <c r="P46" s="104"/>
      <c r="Q46" s="104"/>
      <c r="R46" s="104"/>
    </row>
    <row r="47" spans="1:18" x14ac:dyDescent="0.25">
      <c r="A47" s="54" t="s">
        <v>132</v>
      </c>
      <c r="B47" s="115">
        <f>'Segmental forecast'!B8</f>
        <v>606</v>
      </c>
      <c r="C47" s="115">
        <f>'Segmental forecast'!C8</f>
        <v>649</v>
      </c>
      <c r="D47" s="115">
        <f>'Segmental forecast'!D8</f>
        <v>706</v>
      </c>
      <c r="E47" s="115">
        <f>'Segmental forecast'!E8</f>
        <v>747</v>
      </c>
      <c r="F47" s="115">
        <f>'Segmental forecast'!F8</f>
        <v>705</v>
      </c>
      <c r="G47" s="115">
        <f>'Segmental forecast'!G8</f>
        <v>721</v>
      </c>
      <c r="H47" s="115">
        <f>'Segmental forecast'!H8</f>
        <v>744</v>
      </c>
      <c r="I47" s="115">
        <f>'Segmental forecast'!I8</f>
        <v>717</v>
      </c>
      <c r="J47" s="115">
        <f>'Segmental forecast'!J8</f>
        <v>735.55200000000002</v>
      </c>
      <c r="K47" s="115">
        <f>'Segmental forecast'!K8</f>
        <v>779.20182399999999</v>
      </c>
      <c r="L47" s="115">
        <f>'Segmental forecast'!L8</f>
        <v>861.5888905679999</v>
      </c>
      <c r="M47" s="115">
        <f>'Segmental forecast'!M8</f>
        <v>1006.2680912283759</v>
      </c>
      <c r="N47" s="115">
        <f>'Segmental forecast'!N8</f>
        <v>1253.5914109302933</v>
      </c>
      <c r="O47" s="115"/>
      <c r="P47" s="115"/>
      <c r="Q47" s="115"/>
      <c r="R47" s="115"/>
    </row>
    <row r="48" spans="1:18" s="143" customFormat="1" x14ac:dyDescent="0.25">
      <c r="A48" s="143" t="s">
        <v>184</v>
      </c>
      <c r="B48" s="144">
        <f>B12</f>
        <v>932</v>
      </c>
      <c r="C48" s="144">
        <f t="shared" ref="C48:I48" si="34">C12</f>
        <v>863</v>
      </c>
      <c r="D48" s="144">
        <f t="shared" si="34"/>
        <v>646</v>
      </c>
      <c r="E48" s="144">
        <f t="shared" si="34"/>
        <v>2392</v>
      </c>
      <c r="F48" s="144">
        <f t="shared" si="34"/>
        <v>772</v>
      </c>
      <c r="G48" s="144">
        <f t="shared" si="34"/>
        <v>348</v>
      </c>
      <c r="H48" s="144">
        <f t="shared" si="34"/>
        <v>934</v>
      </c>
      <c r="I48" s="144">
        <f t="shared" si="34"/>
        <v>605</v>
      </c>
      <c r="J48" s="144">
        <f>I48</f>
        <v>605</v>
      </c>
      <c r="K48" s="144">
        <f>I48</f>
        <v>605</v>
      </c>
      <c r="L48" s="144">
        <f>I48</f>
        <v>605</v>
      </c>
      <c r="M48" s="144">
        <f>I48</f>
        <v>605</v>
      </c>
      <c r="N48" s="144">
        <f>I48</f>
        <v>605</v>
      </c>
      <c r="O48" s="144"/>
      <c r="P48" s="144"/>
      <c r="Q48" s="144"/>
      <c r="R48" s="144"/>
    </row>
    <row r="49" spans="1:18" s="143" customFormat="1" x14ac:dyDescent="0.25">
      <c r="A49" s="145" t="s">
        <v>185</v>
      </c>
      <c r="B49" s="146">
        <f>B46-B48</f>
        <v>3301</v>
      </c>
      <c r="C49" s="146">
        <f t="shared" ref="C49:I49" si="35">C46-C48</f>
        <v>3779</v>
      </c>
      <c r="D49" s="146">
        <f t="shared" si="35"/>
        <v>4299</v>
      </c>
      <c r="E49" s="146">
        <f t="shared" si="35"/>
        <v>1987</v>
      </c>
      <c r="F49" s="146">
        <f t="shared" si="35"/>
        <v>4078</v>
      </c>
      <c r="G49" s="146">
        <f t="shared" si="35"/>
        <v>2628</v>
      </c>
      <c r="H49" s="146">
        <f t="shared" si="35"/>
        <v>5989</v>
      </c>
      <c r="I49" s="146">
        <f t="shared" si="35"/>
        <v>6251</v>
      </c>
      <c r="J49" s="146">
        <f>J46-J48</f>
        <v>6536.9260000000013</v>
      </c>
      <c r="K49" s="146">
        <f t="shared" ref="K49:M49" si="36">K46-K48</f>
        <v>8085.418512000002</v>
      </c>
      <c r="L49" s="146">
        <f t="shared" si="36"/>
        <v>11690.490833284</v>
      </c>
      <c r="M49" s="146">
        <f t="shared" si="36"/>
        <v>18716.180763388191</v>
      </c>
      <c r="N49" s="146">
        <f>N46-N48</f>
        <v>31493.707603625811</v>
      </c>
      <c r="O49" s="146"/>
      <c r="P49" s="146"/>
      <c r="Q49" s="146"/>
      <c r="R49" s="146"/>
    </row>
    <row r="50" spans="1:18" x14ac:dyDescent="0.25">
      <c r="A50" s="54" t="s">
        <v>186</v>
      </c>
      <c r="B50" s="94">
        <f>Historicals!B107</f>
        <v>53</v>
      </c>
      <c r="C50" s="94">
        <f>Historicals!C107</f>
        <v>70</v>
      </c>
      <c r="D50" s="94">
        <f>Historicals!D107</f>
        <v>98</v>
      </c>
      <c r="E50" s="94">
        <f>Historicals!E107</f>
        <v>125</v>
      </c>
      <c r="F50" s="94">
        <f>Historicals!F107</f>
        <v>153</v>
      </c>
      <c r="G50" s="94">
        <f>Historicals!G107</f>
        <v>140</v>
      </c>
      <c r="H50" s="94">
        <f>Historicals!H107</f>
        <v>293</v>
      </c>
      <c r="I50" s="94">
        <f>Historicals!I107</f>
        <v>290</v>
      </c>
      <c r="J50" s="113">
        <f>0.04*J70</f>
        <v>-163.08000000000001</v>
      </c>
      <c r="K50" s="113">
        <f t="shared" ref="K50:N50" si="37">0.04*K70</f>
        <v>-163.08000000000001</v>
      </c>
      <c r="L50" s="113">
        <f t="shared" si="37"/>
        <v>-163.08000000000001</v>
      </c>
      <c r="M50" s="113">
        <f t="shared" si="37"/>
        <v>-163.08000000000001</v>
      </c>
      <c r="N50" s="113">
        <f t="shared" si="37"/>
        <v>-163.08000000000001</v>
      </c>
      <c r="O50" s="129"/>
      <c r="P50" s="94"/>
      <c r="Q50" s="94"/>
      <c r="R50" s="94"/>
    </row>
    <row r="51" spans="1:18" x14ac:dyDescent="0.25">
      <c r="A51" s="54" t="s">
        <v>187</v>
      </c>
      <c r="B51" s="94">
        <v>3434</v>
      </c>
      <c r="C51" s="94">
        <f>B22-C22</f>
        <v>-247</v>
      </c>
      <c r="D51" s="94">
        <f t="shared" ref="D51:I51" si="38">C22-D22</f>
        <v>-52</v>
      </c>
      <c r="E51" s="94">
        <f t="shared" si="38"/>
        <v>1375</v>
      </c>
      <c r="F51" s="94">
        <f t="shared" si="38"/>
        <v>799</v>
      </c>
      <c r="G51" s="94">
        <f t="shared" si="38"/>
        <v>-242</v>
      </c>
      <c r="H51" s="94">
        <f t="shared" si="38"/>
        <v>-3148</v>
      </c>
      <c r="I51" s="94">
        <f t="shared" si="38"/>
        <v>-836</v>
      </c>
      <c r="J51" s="94">
        <f>J23-I23</f>
        <v>-4228.2154799999998</v>
      </c>
      <c r="K51" s="94">
        <f t="shared" ref="K51:M51" si="39">K23-J23</f>
        <v>-1272.5690400000003</v>
      </c>
      <c r="L51" s="94">
        <f t="shared" si="39"/>
        <v>-2955.6464399999995</v>
      </c>
      <c r="M51" s="94">
        <f t="shared" si="39"/>
        <v>1683.0773999999992</v>
      </c>
      <c r="N51" s="94">
        <f>N23-M23</f>
        <v>-4638.7238399999987</v>
      </c>
      <c r="O51" s="94"/>
      <c r="P51" s="94"/>
      <c r="Q51" s="94"/>
      <c r="R51" s="94"/>
    </row>
    <row r="52" spans="1:18" x14ac:dyDescent="0.25">
      <c r="A52" s="54" t="s">
        <v>135</v>
      </c>
      <c r="B52" s="94">
        <f>-'Segmental forecast'!B14</f>
        <v>-963</v>
      </c>
      <c r="C52" s="94">
        <f>-'Segmental forecast'!C14</f>
        <v>-1143</v>
      </c>
      <c r="D52" s="94">
        <f>-'Segmental forecast'!D14</f>
        <v>-1105</v>
      </c>
      <c r="E52" s="94">
        <f>-'Segmental forecast'!E14</f>
        <v>-1028</v>
      </c>
      <c r="F52" s="94">
        <f>-'Segmental forecast'!F14</f>
        <v>-1119</v>
      </c>
      <c r="G52" s="94">
        <f>-'Segmental forecast'!G14</f>
        <v>-1086</v>
      </c>
      <c r="H52" s="94">
        <f>-'Segmental forecast'!H14</f>
        <v>-695</v>
      </c>
      <c r="I52" s="94">
        <f>-'Segmental forecast'!I14</f>
        <v>-758</v>
      </c>
      <c r="J52" s="94">
        <f>-'Segmental forecast'!J14</f>
        <v>-804.17700000000002</v>
      </c>
      <c r="K52" s="94">
        <f>-'Segmental forecast'!K14</f>
        <v>-870.49856899999997</v>
      </c>
      <c r="L52" s="94">
        <f>-'Segmental forecast'!L14</f>
        <v>-945.44114223299994</v>
      </c>
      <c r="M52" s="94">
        <f>-'Segmental forecast'!M14</f>
        <v>-1030.6827179282809</v>
      </c>
      <c r="N52" s="94">
        <f>-'Segmental forecast'!N14</f>
        <v>-1128.2917464024729</v>
      </c>
      <c r="O52" s="94"/>
      <c r="P52" s="94"/>
      <c r="Q52" s="94"/>
      <c r="R52" s="94"/>
    </row>
    <row r="53" spans="1:18" s="143" customFormat="1" x14ac:dyDescent="0.25">
      <c r="A53" s="145" t="s">
        <v>188</v>
      </c>
      <c r="B53" s="146">
        <f>B49+B51+B52-B47</f>
        <v>5166</v>
      </c>
      <c r="C53" s="146">
        <f t="shared" ref="C53:N53" si="40">C49+C51+C52-C47</f>
        <v>1740</v>
      </c>
      <c r="D53" s="146">
        <f t="shared" si="40"/>
        <v>2436</v>
      </c>
      <c r="E53" s="146">
        <f t="shared" si="40"/>
        <v>1587</v>
      </c>
      <c r="F53" s="146">
        <f t="shared" si="40"/>
        <v>3053</v>
      </c>
      <c r="G53" s="146">
        <f t="shared" si="40"/>
        <v>579</v>
      </c>
      <c r="H53" s="146">
        <f t="shared" si="40"/>
        <v>1402</v>
      </c>
      <c r="I53" s="146">
        <f t="shared" si="40"/>
        <v>3940</v>
      </c>
      <c r="J53" s="146">
        <f t="shared" si="40"/>
        <v>768.9815200000013</v>
      </c>
      <c r="K53" s="146">
        <f t="shared" si="40"/>
        <v>5163.1490790000016</v>
      </c>
      <c r="L53" s="146">
        <f t="shared" si="40"/>
        <v>6927.814360483002</v>
      </c>
      <c r="M53" s="146">
        <f t="shared" si="40"/>
        <v>18362.307354231532</v>
      </c>
      <c r="N53" s="146">
        <f t="shared" si="40"/>
        <v>24473.100606293046</v>
      </c>
      <c r="O53" s="146"/>
      <c r="P53" s="146"/>
      <c r="Q53" s="146"/>
      <c r="R53" s="146"/>
    </row>
    <row r="54" spans="1:18" s="143" customFormat="1" x14ac:dyDescent="0.25">
      <c r="A54" s="143" t="s">
        <v>189</v>
      </c>
      <c r="B54" s="144">
        <f>Historicals!B76-'The Statements'!B46-'The Statements'!B47-'The Statements'!B51</f>
        <v>-3593</v>
      </c>
      <c r="C54" s="144">
        <f>Historicals!C76-'The Statements'!C46-'The Statements'!C47-'The Statements'!C51</f>
        <v>-1948</v>
      </c>
      <c r="D54" s="144">
        <f>Historicals!D76-'The Statements'!D46-'The Statements'!D47-'The Statements'!D51</f>
        <v>-1753</v>
      </c>
      <c r="E54" s="144">
        <f>Historicals!E76-'The Statements'!E46-'The Statements'!E47-'The Statements'!E51</f>
        <v>-1546</v>
      </c>
      <c r="F54" s="144">
        <f>Historicals!F76-'The Statements'!F46-'The Statements'!F47-'The Statements'!F51</f>
        <v>-451</v>
      </c>
      <c r="G54" s="144">
        <f>Historicals!G76-'The Statements'!G46-'The Statements'!G47-'The Statements'!G51</f>
        <v>-970</v>
      </c>
      <c r="H54" s="144">
        <f>Historicals!H76-'The Statements'!H46-'The Statements'!H47-'The Statements'!H51</f>
        <v>2138</v>
      </c>
      <c r="I54" s="144">
        <f>Historicals!I76-'The Statements'!I46-'The Statements'!I47-'The Statements'!I51</f>
        <v>-1549</v>
      </c>
      <c r="J54" s="144">
        <f>I54</f>
        <v>-1549</v>
      </c>
      <c r="K54" s="144">
        <f>I54</f>
        <v>-1549</v>
      </c>
      <c r="L54" s="144">
        <f>I54</f>
        <v>-1549</v>
      </c>
      <c r="M54" s="144">
        <f>I54</f>
        <v>-1549</v>
      </c>
      <c r="N54" s="144">
        <f>I54</f>
        <v>-1549</v>
      </c>
      <c r="O54" s="144"/>
      <c r="P54" s="144"/>
      <c r="Q54" s="144"/>
      <c r="R54" s="144"/>
    </row>
    <row r="55" spans="1:18" x14ac:dyDescent="0.25">
      <c r="A55" s="105" t="s">
        <v>190</v>
      </c>
      <c r="B55" s="106">
        <f>B46+B47+B51+B54</f>
        <v>4680</v>
      </c>
      <c r="C55" s="106">
        <f t="shared" ref="C55:N55" si="41">C46+C47+C51+C54</f>
        <v>3096</v>
      </c>
      <c r="D55" s="106">
        <f t="shared" si="41"/>
        <v>3846</v>
      </c>
      <c r="E55" s="106">
        <f t="shared" si="41"/>
        <v>4955</v>
      </c>
      <c r="F55" s="106">
        <f t="shared" si="41"/>
        <v>5903</v>
      </c>
      <c r="G55" s="106">
        <f t="shared" si="41"/>
        <v>2485</v>
      </c>
      <c r="H55" s="106">
        <f t="shared" si="41"/>
        <v>6657</v>
      </c>
      <c r="I55" s="106">
        <f t="shared" si="41"/>
        <v>5188</v>
      </c>
      <c r="J55" s="106">
        <f t="shared" si="41"/>
        <v>2100.2625200000011</v>
      </c>
      <c r="K55" s="106">
        <f t="shared" si="41"/>
        <v>6648.0512960000015</v>
      </c>
      <c r="L55" s="106">
        <f t="shared" si="41"/>
        <v>8652.4332838520022</v>
      </c>
      <c r="M55" s="106">
        <f t="shared" si="41"/>
        <v>20461.526254616565</v>
      </c>
      <c r="N55" s="106">
        <f t="shared" si="41"/>
        <v>27164.575174556107</v>
      </c>
      <c r="O55" s="103"/>
      <c r="P55" s="103"/>
      <c r="Q55" s="103"/>
      <c r="R55" s="104"/>
    </row>
    <row r="56" spans="1:18" s="143" customFormat="1" x14ac:dyDescent="0.25">
      <c r="A56" s="143" t="s">
        <v>191</v>
      </c>
      <c r="B56" s="144">
        <v>0</v>
      </c>
      <c r="C56" s="144">
        <v>0</v>
      </c>
      <c r="D56" s="144">
        <v>0</v>
      </c>
      <c r="E56" s="144">
        <v>0</v>
      </c>
      <c r="F56" s="144">
        <v>0</v>
      </c>
      <c r="G56" s="144">
        <v>0</v>
      </c>
      <c r="H56" s="144">
        <v>0</v>
      </c>
      <c r="I56" s="144">
        <v>0</v>
      </c>
      <c r="J56" s="144">
        <f>I56</f>
        <v>0</v>
      </c>
      <c r="K56" s="144">
        <f>I56</f>
        <v>0</v>
      </c>
      <c r="L56" s="144">
        <f>I56</f>
        <v>0</v>
      </c>
      <c r="M56" s="144">
        <f>I56</f>
        <v>0</v>
      </c>
      <c r="N56" s="144">
        <f>I56</f>
        <v>0</v>
      </c>
      <c r="O56" s="144"/>
      <c r="P56" s="144"/>
      <c r="Q56" s="144"/>
      <c r="R56" s="144"/>
    </row>
    <row r="57" spans="1:18" s="143" customFormat="1" x14ac:dyDescent="0.25">
      <c r="A57" s="143" t="s">
        <v>192</v>
      </c>
      <c r="B57" s="144">
        <f>Historicals!B78+Historicals!B79+Historicals!B80+Historicals!B81+Historicals!B83+Historicals!B84+Historicals!B85</f>
        <v>788</v>
      </c>
      <c r="C57" s="144">
        <f>Historicals!C78+Historicals!C79+Historicals!C80+Historicals!C81+Historicals!C83+Historicals!C84+Historicals!C85</f>
        <v>109</v>
      </c>
      <c r="D57" s="144">
        <f>Historicals!D78+Historicals!D79+Historicals!D80+Historicals!D81+Historicals!D83+Historicals!D84+Historicals!D85</f>
        <v>97</v>
      </c>
      <c r="E57" s="144">
        <f>Historicals!E78+Historicals!E79+Historicals!E80+Historicals!E81+Historicals!E83+Historicals!E84+Historicals!E85</f>
        <v>1304</v>
      </c>
      <c r="F57" s="144">
        <f>Historicals!F78+Historicals!F79+Historicals!F80+Historicals!F81+Historicals!F83+Historicals!F84+Historicals!F85</f>
        <v>855</v>
      </c>
      <c r="G57" s="144">
        <f>Historicals!G78+Historicals!G79+Historicals!G80+Historicals!G81+Historicals!G83+Historicals!G84+Historicals!G85</f>
        <v>58</v>
      </c>
      <c r="H57" s="144">
        <f>Historicals!H78+Historicals!H79+Historicals!H80+Historicals!H81+Historicals!H83+Historicals!H84+Historicals!H85</f>
        <v>-3105</v>
      </c>
      <c r="I57" s="144">
        <f>Historicals!I78+Historicals!I79+Historicals!I80+Historicals!I81+Historicals!I83+Historicals!I84+Historicals!I85</f>
        <v>-766</v>
      </c>
      <c r="J57" s="144">
        <f>I57</f>
        <v>-766</v>
      </c>
      <c r="K57" s="144">
        <f>I57</f>
        <v>-766</v>
      </c>
      <c r="L57" s="144">
        <f>I57</f>
        <v>-766</v>
      </c>
      <c r="M57" s="144">
        <f>I57</f>
        <v>-766</v>
      </c>
      <c r="N57" s="144">
        <f>I57</f>
        <v>-766</v>
      </c>
      <c r="O57" s="144"/>
      <c r="P57" s="144"/>
      <c r="Q57" s="144"/>
      <c r="R57" s="144"/>
    </row>
    <row r="58" spans="1:18" s="143" customFormat="1" x14ac:dyDescent="0.25">
      <c r="A58" s="147" t="s">
        <v>193</v>
      </c>
      <c r="B58" s="148">
        <f>B52+B56+B57</f>
        <v>-175</v>
      </c>
      <c r="C58" s="148">
        <f t="shared" ref="C58:N58" si="42">C52+C56+C57</f>
        <v>-1034</v>
      </c>
      <c r="D58" s="148">
        <f t="shared" si="42"/>
        <v>-1008</v>
      </c>
      <c r="E58" s="148">
        <f t="shared" si="42"/>
        <v>276</v>
      </c>
      <c r="F58" s="148">
        <f t="shared" si="42"/>
        <v>-264</v>
      </c>
      <c r="G58" s="148">
        <f t="shared" si="42"/>
        <v>-1028</v>
      </c>
      <c r="H58" s="148">
        <f t="shared" si="42"/>
        <v>-3800</v>
      </c>
      <c r="I58" s="148">
        <f t="shared" si="42"/>
        <v>-1524</v>
      </c>
      <c r="J58" s="148">
        <f t="shared" si="42"/>
        <v>-1570.1770000000001</v>
      </c>
      <c r="K58" s="148">
        <f t="shared" si="42"/>
        <v>-1636.4985689999999</v>
      </c>
      <c r="L58" s="148">
        <f t="shared" si="42"/>
        <v>-1711.4411422329999</v>
      </c>
      <c r="M58" s="148">
        <f t="shared" si="42"/>
        <v>-1796.6827179282809</v>
      </c>
      <c r="N58" s="148">
        <f t="shared" si="42"/>
        <v>-1894.2917464024729</v>
      </c>
      <c r="O58" s="149"/>
      <c r="P58" s="149"/>
      <c r="Q58" s="149"/>
      <c r="R58" s="149"/>
    </row>
    <row r="59" spans="1:18" s="143" customFormat="1" x14ac:dyDescent="0.25">
      <c r="A59" s="143" t="s">
        <v>194</v>
      </c>
      <c r="B59" s="144">
        <f>Historicals!B93+Historicals!B95</f>
        <v>-2020</v>
      </c>
      <c r="C59" s="144">
        <f>Historicals!C93+Historicals!C95</f>
        <v>-2731</v>
      </c>
      <c r="D59" s="144">
        <f>Historicals!D93+Historicals!D95</f>
        <v>-2734</v>
      </c>
      <c r="E59" s="144">
        <f>Historicals!E93+Historicals!E95</f>
        <v>-3521</v>
      </c>
      <c r="F59" s="144">
        <f>Historicals!F93+Historicals!F95</f>
        <v>-3586</v>
      </c>
      <c r="G59" s="144">
        <f>Historicals!G93+Historicals!G95</f>
        <v>-2182</v>
      </c>
      <c r="H59" s="144">
        <f>Historicals!H93+Historicals!H95</f>
        <v>564</v>
      </c>
      <c r="I59" s="144">
        <f>Historicals!I93+Historicals!I95</f>
        <v>-2863</v>
      </c>
      <c r="J59" s="144">
        <v>-1379</v>
      </c>
      <c r="K59" s="150">
        <f>-(J15+(J59)/(I68+H68/2))</f>
        <v>-1610.6979916410844</v>
      </c>
      <c r="L59" s="150">
        <f t="shared" ref="L59:N59" si="43">-(K15+(K59)/(J68+I68/2))</f>
        <v>-1610.6747610612206</v>
      </c>
      <c r="M59" s="150">
        <f t="shared" si="43"/>
        <v>-1610.6747628675016</v>
      </c>
      <c r="N59" s="150">
        <f t="shared" si="43"/>
        <v>-1610.6747628673611</v>
      </c>
      <c r="O59" s="144" t="s">
        <v>224</v>
      </c>
      <c r="P59" s="144"/>
      <c r="Q59" s="144"/>
      <c r="R59" s="144"/>
    </row>
    <row r="60" spans="1:18" x14ac:dyDescent="0.25">
      <c r="A60" s="107" t="s">
        <v>129</v>
      </c>
      <c r="B60" s="74" t="str">
        <f>IFERROR(B59/A59-1,"nm")</f>
        <v>nm</v>
      </c>
      <c r="C60" s="74">
        <f t="shared" ref="C60:J60" si="44">IFERROR(C59/B59-1,"nm")</f>
        <v>0.35198019801980207</v>
      </c>
      <c r="D60" s="74">
        <f t="shared" si="44"/>
        <v>1.0984987184181616E-3</v>
      </c>
      <c r="E60" s="74">
        <f t="shared" si="44"/>
        <v>0.28785662033650339</v>
      </c>
      <c r="F60" s="74">
        <f t="shared" si="44"/>
        <v>1.8460664583924924E-2</v>
      </c>
      <c r="G60" s="74">
        <f t="shared" si="44"/>
        <v>-0.39152258784160621</v>
      </c>
      <c r="H60" s="74">
        <f t="shared" si="44"/>
        <v>-1.2584784601283228</v>
      </c>
      <c r="I60" s="74">
        <f t="shared" si="44"/>
        <v>-6.0762411347517729</v>
      </c>
      <c r="J60" s="74">
        <f t="shared" si="44"/>
        <v>-0.51833740831295838</v>
      </c>
      <c r="K60" s="74">
        <f t="shared" ref="K60" si="45">IFERROR(K59/J59-1,"nm")</f>
        <v>0.16801884818062685</v>
      </c>
      <c r="L60" s="74">
        <f t="shared" ref="L60" si="46">IFERROR(L59/K59-1,"nm")</f>
        <v>-1.4422678853764914E-5</v>
      </c>
      <c r="M60" s="74">
        <f t="shared" ref="M60" si="47">IFERROR(M59/L59-1,"nm")</f>
        <v>1.1214436046458331E-9</v>
      </c>
      <c r="N60" s="74">
        <f t="shared" ref="N60" si="48">IFERROR(N59/M59-1,"nm")</f>
        <v>-8.7263529735537304E-14</v>
      </c>
      <c r="O60" s="108"/>
      <c r="P60" s="108"/>
      <c r="Q60" s="108"/>
      <c r="R60" s="108"/>
    </row>
    <row r="61" spans="1:18" x14ac:dyDescent="0.25">
      <c r="A61" s="54" t="s">
        <v>195</v>
      </c>
      <c r="B61" s="94">
        <f>Historicals!B96</f>
        <v>-899</v>
      </c>
      <c r="C61" s="94">
        <f>Historicals!C96</f>
        <v>-1022</v>
      </c>
      <c r="D61" s="94">
        <f>Historicals!D96</f>
        <v>-1133</v>
      </c>
      <c r="E61" s="94">
        <f>Historicals!E96</f>
        <v>-1243</v>
      </c>
      <c r="F61" s="94">
        <f>Historicals!F96</f>
        <v>-1332</v>
      </c>
      <c r="G61" s="94">
        <f>Historicals!G96</f>
        <v>-1452</v>
      </c>
      <c r="H61" s="94">
        <f>Historicals!H96</f>
        <v>-1638</v>
      </c>
      <c r="I61" s="94">
        <f>Historicals!I96</f>
        <v>-1837</v>
      </c>
      <c r="J61" s="94">
        <f>I17*1.23*1000</f>
        <v>4612.5</v>
      </c>
      <c r="K61" s="94">
        <f t="shared" ref="K61:N61" si="49">J61</f>
        <v>4612.5</v>
      </c>
      <c r="L61" s="94">
        <f t="shared" si="49"/>
        <v>4612.5</v>
      </c>
      <c r="M61" s="94">
        <f t="shared" si="49"/>
        <v>4612.5</v>
      </c>
      <c r="N61" s="94">
        <f t="shared" si="49"/>
        <v>4612.5</v>
      </c>
      <c r="O61" s="94"/>
      <c r="P61" s="94"/>
      <c r="Q61" s="94"/>
      <c r="R61" s="94"/>
    </row>
    <row r="62" spans="1:18" x14ac:dyDescent="0.25">
      <c r="A62" s="54" t="s">
        <v>196</v>
      </c>
      <c r="B62" s="94">
        <f>Historicals!B88+Historicals!B89+Historicals!B91+Historicals!B90+Historicals!B92</f>
        <v>-89</v>
      </c>
      <c r="C62" s="94">
        <f>Historicals!C88+Historicals!C89+Historicals!C91+Historicals!C90+Historicals!C92</f>
        <v>801</v>
      </c>
      <c r="D62" s="94">
        <f>Historicals!D88+Historicals!D89+Historicals!D91+Historicals!D90+Historicals!D92</f>
        <v>1748</v>
      </c>
      <c r="E62" s="94">
        <f>Historicals!E88+Historicals!E89+Historicals!E91+Historicals!E90+Historicals!E92</f>
        <v>13</v>
      </c>
      <c r="F62" s="94">
        <f>Historicals!F88+Historicals!F89+Historicals!F91+Historicals!F90+Historicals!F92</f>
        <v>-325</v>
      </c>
      <c r="G62" s="94">
        <f>Historicals!G88+Historicals!G89+Historicals!G91+Historicals!G90+Historicals!G92</f>
        <v>6183</v>
      </c>
      <c r="H62" s="94">
        <f>Historicals!H88+Historicals!H89+Historicals!H91+Historicals!H90+Historicals!H92</f>
        <v>-249</v>
      </c>
      <c r="I62" s="94">
        <f>Historicals!I88+Historicals!I89+Historicals!I91+Historicals!I90+Historicals!I92</f>
        <v>15</v>
      </c>
      <c r="J62" s="94">
        <f>I62-H62</f>
        <v>264</v>
      </c>
      <c r="K62" s="94">
        <f t="shared" ref="K62:M62" si="50">J62-I62</f>
        <v>249</v>
      </c>
      <c r="L62" s="94">
        <f t="shared" si="50"/>
        <v>-15</v>
      </c>
      <c r="M62" s="94">
        <f t="shared" si="50"/>
        <v>-264</v>
      </c>
      <c r="N62" s="94">
        <f>M62-L62</f>
        <v>-249</v>
      </c>
      <c r="O62" s="94"/>
      <c r="P62" s="94"/>
      <c r="Q62" s="94"/>
      <c r="R62" s="94"/>
    </row>
    <row r="63" spans="1:18" x14ac:dyDescent="0.25">
      <c r="A63" s="54" t="s">
        <v>197</v>
      </c>
      <c r="B63" s="94">
        <f>Historicals!B94+Historicals!B97+Historicals!B98</f>
        <v>218</v>
      </c>
      <c r="C63" s="94">
        <f>Historicals!C94+Historicals!C97+Historicals!C98</f>
        <v>281</v>
      </c>
      <c r="D63" s="94">
        <f>Historicals!D94+Historicals!D97+Historicals!D98</f>
        <v>-29</v>
      </c>
      <c r="E63" s="94">
        <f>Historicals!E94+Historicals!E97+Historicals!E98</f>
        <v>-84</v>
      </c>
      <c r="F63" s="94">
        <f>Historicals!F94+Historicals!F97+Historicals!F98</f>
        <v>-50</v>
      </c>
      <c r="G63" s="94">
        <f>Historicals!G94+Historicals!G97+Historicals!G98</f>
        <v>-58</v>
      </c>
      <c r="H63" s="94">
        <f>Historicals!H94+Historicals!H97+Historicals!H98</f>
        <v>-136</v>
      </c>
      <c r="I63" s="94">
        <f>Historicals!I94+Historicals!I97+Historicals!I98</f>
        <v>-151</v>
      </c>
      <c r="J63" s="94">
        <f>I63</f>
        <v>-151</v>
      </c>
      <c r="K63" s="94">
        <f>I63</f>
        <v>-151</v>
      </c>
      <c r="L63" s="94">
        <f>I63</f>
        <v>-151</v>
      </c>
      <c r="M63" s="94">
        <f>I63</f>
        <v>-151</v>
      </c>
      <c r="N63" s="94">
        <f>I63</f>
        <v>-151</v>
      </c>
      <c r="O63" s="94"/>
      <c r="P63" s="94"/>
      <c r="Q63" s="94"/>
      <c r="R63" s="94"/>
    </row>
    <row r="64" spans="1:18" s="143" customFormat="1" x14ac:dyDescent="0.25">
      <c r="A64" s="147" t="s">
        <v>198</v>
      </c>
      <c r="B64" s="148">
        <f>B59+B61+B62+B63</f>
        <v>-2790</v>
      </c>
      <c r="C64" s="148">
        <f t="shared" ref="C64:N64" si="51">C59+C61+C62+C63</f>
        <v>-2671</v>
      </c>
      <c r="D64" s="148">
        <f t="shared" si="51"/>
        <v>-2148</v>
      </c>
      <c r="E64" s="148">
        <f t="shared" si="51"/>
        <v>-4835</v>
      </c>
      <c r="F64" s="148">
        <f t="shared" si="51"/>
        <v>-5293</v>
      </c>
      <c r="G64" s="148">
        <f t="shared" si="51"/>
        <v>2491</v>
      </c>
      <c r="H64" s="148">
        <f t="shared" si="51"/>
        <v>-1459</v>
      </c>
      <c r="I64" s="148">
        <f t="shared" si="51"/>
        <v>-4836</v>
      </c>
      <c r="J64" s="148">
        <f t="shared" si="51"/>
        <v>3346.5</v>
      </c>
      <c r="K64" s="148">
        <f t="shared" si="51"/>
        <v>3099.8020083589154</v>
      </c>
      <c r="L64" s="148">
        <f t="shared" si="51"/>
        <v>2835.8252389387794</v>
      </c>
      <c r="M64" s="148">
        <f t="shared" si="51"/>
        <v>2586.8252371324984</v>
      </c>
      <c r="N64" s="148">
        <f t="shared" si="51"/>
        <v>2601.8252371326389</v>
      </c>
      <c r="O64" s="149"/>
      <c r="P64" s="149"/>
      <c r="Q64" s="149"/>
      <c r="R64" s="149"/>
    </row>
    <row r="65" spans="1:18" x14ac:dyDescent="0.25">
      <c r="A65" s="54" t="s">
        <v>199</v>
      </c>
      <c r="B65" s="94">
        <f>Historicals!B100</f>
        <v>-83</v>
      </c>
      <c r="C65" s="94">
        <f>Historicals!C100</f>
        <v>-105</v>
      </c>
      <c r="D65" s="94">
        <f>Historicals!D100</f>
        <v>-20</v>
      </c>
      <c r="E65" s="94">
        <f>Historicals!E100</f>
        <v>45</v>
      </c>
      <c r="F65" s="94">
        <f>Historicals!F100</f>
        <v>-129</v>
      </c>
      <c r="G65" s="94">
        <f>Historicals!G100</f>
        <v>-66</v>
      </c>
      <c r="H65" s="94">
        <f>Historicals!H100</f>
        <v>143</v>
      </c>
      <c r="I65" s="94">
        <f>Historicals!I100</f>
        <v>-143</v>
      </c>
      <c r="J65" s="94">
        <f>I65</f>
        <v>-143</v>
      </c>
      <c r="K65" s="94">
        <f>I65</f>
        <v>-143</v>
      </c>
      <c r="L65" s="94">
        <f>I65</f>
        <v>-143</v>
      </c>
      <c r="M65" s="94">
        <f>I65</f>
        <v>-143</v>
      </c>
      <c r="N65" s="94">
        <f>I65</f>
        <v>-143</v>
      </c>
      <c r="O65" s="94"/>
      <c r="P65" s="94"/>
      <c r="Q65" s="94"/>
      <c r="R65" s="94"/>
    </row>
    <row r="66" spans="1:18" x14ac:dyDescent="0.25">
      <c r="A66" s="105" t="s">
        <v>200</v>
      </c>
      <c r="B66" s="106">
        <f>B55+B58+B64+B65</f>
        <v>1632</v>
      </c>
      <c r="C66" s="106">
        <f t="shared" ref="C66:N66" si="52">C55+C58+C64+C65</f>
        <v>-714</v>
      </c>
      <c r="D66" s="106">
        <f t="shared" si="52"/>
        <v>670</v>
      </c>
      <c r="E66" s="106">
        <f t="shared" si="52"/>
        <v>441</v>
      </c>
      <c r="F66" s="106">
        <f t="shared" si="52"/>
        <v>217</v>
      </c>
      <c r="G66" s="106">
        <f t="shared" si="52"/>
        <v>3882</v>
      </c>
      <c r="H66" s="106">
        <f t="shared" si="52"/>
        <v>1541</v>
      </c>
      <c r="I66" s="106">
        <f t="shared" si="52"/>
        <v>-1315</v>
      </c>
      <c r="J66" s="106">
        <f t="shared" si="52"/>
        <v>3733.585520000001</v>
      </c>
      <c r="K66" s="106">
        <f t="shared" si="52"/>
        <v>7968.3547353589174</v>
      </c>
      <c r="L66" s="106">
        <f t="shared" si="52"/>
        <v>9633.8173805577826</v>
      </c>
      <c r="M66" s="106">
        <f t="shared" si="52"/>
        <v>21108.668773820784</v>
      </c>
      <c r="N66" s="106">
        <f t="shared" si="52"/>
        <v>27729.108665286272</v>
      </c>
      <c r="O66" s="103"/>
      <c r="P66" s="103"/>
      <c r="Q66" s="103"/>
      <c r="R66" s="104"/>
    </row>
    <row r="67" spans="1:18" x14ac:dyDescent="0.25">
      <c r="A67" s="54" t="s">
        <v>201</v>
      </c>
      <c r="B67" s="94">
        <f>Historicals!B102</f>
        <v>2220</v>
      </c>
      <c r="C67" s="94">
        <f>B68</f>
        <v>3852</v>
      </c>
      <c r="D67" s="94">
        <f t="shared" ref="D67:I67" si="53">C68</f>
        <v>3138</v>
      </c>
      <c r="E67" s="94">
        <f t="shared" si="53"/>
        <v>3808</v>
      </c>
      <c r="F67" s="94">
        <f t="shared" si="53"/>
        <v>4249</v>
      </c>
      <c r="G67" s="94">
        <f t="shared" si="53"/>
        <v>4466</v>
      </c>
      <c r="H67" s="94">
        <f t="shared" si="53"/>
        <v>8348</v>
      </c>
      <c r="I67" s="94">
        <f t="shared" si="53"/>
        <v>9889</v>
      </c>
      <c r="J67" s="94">
        <f>I67</f>
        <v>9889</v>
      </c>
      <c r="K67" s="94">
        <f>I67</f>
        <v>9889</v>
      </c>
      <c r="L67" s="94">
        <f>I67</f>
        <v>9889</v>
      </c>
      <c r="M67" s="94">
        <f>I67</f>
        <v>9889</v>
      </c>
      <c r="N67" s="94">
        <f>I67</f>
        <v>9889</v>
      </c>
      <c r="O67" s="94"/>
      <c r="P67" s="94"/>
      <c r="Q67" s="94"/>
      <c r="R67" s="94"/>
    </row>
    <row r="68" spans="1:18" ht="15.75" thickBot="1" x14ac:dyDescent="0.3">
      <c r="A68" s="101" t="s">
        <v>202</v>
      </c>
      <c r="B68" s="102">
        <f>B66+B67</f>
        <v>3852</v>
      </c>
      <c r="C68" s="102">
        <f t="shared" ref="C68:I68" si="54">C66+C67</f>
        <v>3138</v>
      </c>
      <c r="D68" s="102">
        <f t="shared" si="54"/>
        <v>3808</v>
      </c>
      <c r="E68" s="102">
        <f t="shared" si="54"/>
        <v>4249</v>
      </c>
      <c r="F68" s="102">
        <f t="shared" si="54"/>
        <v>4466</v>
      </c>
      <c r="G68" s="102">
        <f t="shared" si="54"/>
        <v>8348</v>
      </c>
      <c r="H68" s="102">
        <f t="shared" si="54"/>
        <v>9889</v>
      </c>
      <c r="I68" s="102">
        <f t="shared" si="54"/>
        <v>8574</v>
      </c>
      <c r="J68" s="102">
        <f>I68</f>
        <v>8574</v>
      </c>
      <c r="K68" s="102">
        <f t="shared" ref="K68:N68" si="55">J68</f>
        <v>8574</v>
      </c>
      <c r="L68" s="102">
        <f t="shared" si="55"/>
        <v>8574</v>
      </c>
      <c r="M68" s="102">
        <f t="shared" si="55"/>
        <v>8574</v>
      </c>
      <c r="N68" s="102">
        <f t="shared" si="55"/>
        <v>8574</v>
      </c>
      <c r="O68" s="102"/>
      <c r="P68" s="103"/>
      <c r="Q68" s="103"/>
      <c r="R68" s="103"/>
    </row>
    <row r="69" spans="1:18" ht="15.75" thickTop="1" x14ac:dyDescent="0.25">
      <c r="A69" s="114" t="s">
        <v>182</v>
      </c>
      <c r="B69" s="103">
        <f>B68-B21</f>
        <v>0</v>
      </c>
      <c r="C69" s="103">
        <f t="shared" ref="C69:N69" si="56">C68-C21</f>
        <v>0</v>
      </c>
      <c r="D69" s="103">
        <f t="shared" si="56"/>
        <v>0</v>
      </c>
      <c r="E69" s="103">
        <f t="shared" si="56"/>
        <v>0</v>
      </c>
      <c r="F69" s="103">
        <f t="shared" si="56"/>
        <v>0</v>
      </c>
      <c r="G69" s="103">
        <f t="shared" si="56"/>
        <v>0</v>
      </c>
      <c r="H69" s="103">
        <f t="shared" si="56"/>
        <v>0</v>
      </c>
      <c r="I69" s="103">
        <f t="shared" si="56"/>
        <v>0</v>
      </c>
      <c r="J69" s="103">
        <f t="shared" si="56"/>
        <v>0</v>
      </c>
      <c r="K69" s="103">
        <f t="shared" si="56"/>
        <v>0</v>
      </c>
      <c r="L69" s="103">
        <f t="shared" si="56"/>
        <v>0</v>
      </c>
      <c r="M69" s="103">
        <f t="shared" si="56"/>
        <v>0</v>
      </c>
      <c r="N69" s="103">
        <f t="shared" si="56"/>
        <v>0</v>
      </c>
      <c r="O69" s="103"/>
      <c r="P69" s="103"/>
      <c r="Q69" s="103"/>
      <c r="R69" s="103"/>
    </row>
    <row r="70" spans="1:18" x14ac:dyDescent="0.25">
      <c r="A70" s="81" t="s">
        <v>203</v>
      </c>
      <c r="B70" s="116">
        <f>B36-(B21+Historicals!B26)</f>
        <v>-4845</v>
      </c>
      <c r="C70" s="116">
        <f>C36-(C21+Historicals!C26)</f>
        <v>-3447</v>
      </c>
      <c r="D70" s="116">
        <f>D36-(D21+Historicals!D26)</f>
        <v>-2708</v>
      </c>
      <c r="E70" s="116">
        <f>E36-(E21+Historicals!E26)</f>
        <v>-1777</v>
      </c>
      <c r="F70" s="116">
        <f>F36-(F21+Historicals!F26)</f>
        <v>-1199</v>
      </c>
      <c r="G70" s="116">
        <f>G36-(G21+Historicals!G26)</f>
        <v>619</v>
      </c>
      <c r="H70" s="116">
        <f>H36-(H21+Historicals!H26)</f>
        <v>-4063</v>
      </c>
      <c r="I70" s="116">
        <f>I36-(I21+Historicals!I26)</f>
        <v>-4077</v>
      </c>
      <c r="J70" s="116">
        <f>I70</f>
        <v>-4077</v>
      </c>
      <c r="K70" s="116">
        <f t="shared" ref="K70:N70" si="57">J70</f>
        <v>-4077</v>
      </c>
      <c r="L70" s="116">
        <f t="shared" si="57"/>
        <v>-4077</v>
      </c>
      <c r="M70" s="116">
        <f t="shared" si="57"/>
        <v>-4077</v>
      </c>
      <c r="N70" s="116">
        <f t="shared" si="57"/>
        <v>-4077</v>
      </c>
      <c r="O70" s="116"/>
      <c r="P70" s="116"/>
      <c r="Q70" s="116"/>
      <c r="R70" s="116"/>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Sheet1</vt:lpstr>
      <vt:lpstr>Historicals</vt:lpstr>
      <vt:lpstr>Segmental forecast</vt:lpstr>
      <vt:lpstr>The Statements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Godbless</cp:lastModifiedBy>
  <dcterms:created xsi:type="dcterms:W3CDTF">2020-05-20T17:26:08Z</dcterms:created>
  <dcterms:modified xsi:type="dcterms:W3CDTF">2023-09-25T22:47:52Z</dcterms:modified>
</cp:coreProperties>
</file>