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D951A8DA-357B-4608-9F76-F36F56CC2DF4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Instructions" sheetId="2" r:id="rId1"/>
    <sheet name="Ratios" sheetId="3" r:id="rId2"/>
    <sheet name="Financial Statement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3" l="1"/>
  <c r="E31" i="3"/>
  <c r="E95" i="3"/>
  <c r="D95" i="3"/>
  <c r="C95" i="3"/>
  <c r="E97" i="3"/>
  <c r="D97" i="3"/>
  <c r="C97" i="3"/>
  <c r="E96" i="3"/>
  <c r="D96" i="3"/>
  <c r="C96" i="3"/>
  <c r="E92" i="3"/>
  <c r="D92" i="3"/>
  <c r="C92" i="3"/>
  <c r="E91" i="3"/>
  <c r="D91" i="3"/>
  <c r="C91" i="3"/>
  <c r="E90" i="3"/>
  <c r="D90" i="3"/>
  <c r="C90" i="3"/>
  <c r="E89" i="3"/>
  <c r="D89" i="3"/>
  <c r="C89" i="3"/>
  <c r="E87" i="3"/>
  <c r="D87" i="3"/>
  <c r="C87" i="3"/>
  <c r="E86" i="3"/>
  <c r="D86" i="3"/>
  <c r="C86" i="3"/>
  <c r="C83" i="3"/>
  <c r="D83" i="3"/>
  <c r="E83" i="3"/>
  <c r="C82" i="3"/>
  <c r="D82" i="3"/>
  <c r="E82" i="3"/>
  <c r="C79" i="3"/>
  <c r="D79" i="3"/>
  <c r="E79" i="3"/>
  <c r="C78" i="3"/>
  <c r="D78" i="3"/>
  <c r="E78" i="3"/>
  <c r="C77" i="3"/>
  <c r="D77" i="3"/>
  <c r="E77" i="3"/>
  <c r="C76" i="3"/>
  <c r="D76" i="3"/>
  <c r="E76" i="3"/>
  <c r="C75" i="3"/>
  <c r="D75" i="3"/>
  <c r="E75" i="3"/>
  <c r="C73" i="3"/>
  <c r="D73" i="3"/>
  <c r="E73" i="3"/>
  <c r="C72" i="3"/>
  <c r="D72" i="3"/>
  <c r="E72" i="3"/>
  <c r="C71" i="3"/>
  <c r="E71" i="3"/>
  <c r="D71" i="3"/>
  <c r="C69" i="3"/>
  <c r="D69" i="3"/>
  <c r="E69" i="3"/>
  <c r="C68" i="3"/>
  <c r="D68" i="3"/>
  <c r="E68" i="3"/>
  <c r="C67" i="3"/>
  <c r="D55" i="3"/>
  <c r="D56" i="3"/>
  <c r="D57" i="3"/>
  <c r="D58" i="3"/>
  <c r="D60" i="3"/>
  <c r="D61" i="3"/>
  <c r="D66" i="3"/>
  <c r="D64" i="3"/>
  <c r="D65" i="3"/>
  <c r="D67" i="3"/>
  <c r="E67" i="3"/>
  <c r="C66" i="3"/>
  <c r="E66" i="3"/>
  <c r="C65" i="3"/>
  <c r="E65" i="3"/>
  <c r="C64" i="3"/>
  <c r="E64" i="3"/>
  <c r="C61" i="3"/>
  <c r="E61" i="3"/>
  <c r="C60" i="3"/>
  <c r="E60" i="3"/>
  <c r="C58" i="3"/>
  <c r="E58" i="3"/>
  <c r="C57" i="3"/>
  <c r="E57" i="3"/>
  <c r="E56" i="3"/>
  <c r="C56" i="3"/>
  <c r="C55" i="3"/>
  <c r="E55" i="3"/>
  <c r="E51" i="3"/>
  <c r="D51" i="3"/>
  <c r="C51" i="3"/>
  <c r="E49" i="3"/>
  <c r="D49" i="3"/>
  <c r="C49" i="3"/>
  <c r="E47" i="3"/>
  <c r="D47" i="3"/>
  <c r="C47" i="3"/>
  <c r="D45" i="3"/>
  <c r="D46" i="3" s="1"/>
  <c r="E45" i="3"/>
  <c r="C45" i="3"/>
  <c r="C46" i="3" s="1"/>
  <c r="E41" i="3"/>
  <c r="D41" i="3"/>
  <c r="C41" i="3"/>
  <c r="C40" i="3" s="1"/>
  <c r="E43" i="3"/>
  <c r="C43" i="3"/>
  <c r="D43" i="3"/>
  <c r="E37" i="3"/>
  <c r="D37" i="3"/>
  <c r="C37" i="3"/>
  <c r="E36" i="3"/>
  <c r="D36" i="3"/>
  <c r="C36" i="3"/>
  <c r="E35" i="3"/>
  <c r="D35" i="3"/>
  <c r="C35" i="3"/>
  <c r="E34" i="3"/>
  <c r="D34" i="3"/>
  <c r="C34" i="3"/>
  <c r="D31" i="3"/>
  <c r="C31" i="3"/>
  <c r="E27" i="3"/>
  <c r="D27" i="3"/>
  <c r="C27" i="3"/>
  <c r="E26" i="3"/>
  <c r="D26" i="3"/>
  <c r="C26" i="3"/>
  <c r="E25" i="3"/>
  <c r="D25" i="3"/>
  <c r="C25" i="3"/>
  <c r="E21" i="3"/>
  <c r="E29" i="3" s="1"/>
  <c r="D21" i="3"/>
  <c r="D20" i="3" s="1"/>
  <c r="C21" i="3"/>
  <c r="C29" i="3" s="1"/>
  <c r="E19" i="3"/>
  <c r="E18" i="3" s="1"/>
  <c r="D19" i="3"/>
  <c r="D18" i="3" s="1"/>
  <c r="C19" i="3"/>
  <c r="C18" i="3" s="1"/>
  <c r="E11" i="3"/>
  <c r="D11" i="3"/>
  <c r="C11" i="3"/>
  <c r="E10" i="3"/>
  <c r="D10" i="3"/>
  <c r="C10" i="3"/>
  <c r="E9" i="3"/>
  <c r="D9" i="3"/>
  <c r="C9" i="3"/>
  <c r="E5" i="3"/>
  <c r="D5" i="3"/>
  <c r="C5" i="3"/>
  <c r="E6" i="3"/>
  <c r="D6" i="3"/>
  <c r="E7" i="3"/>
  <c r="C7" i="3"/>
  <c r="D7" i="3"/>
  <c r="E8" i="3"/>
  <c r="D8" i="3"/>
  <c r="C8" i="3"/>
  <c r="E12" i="3"/>
  <c r="D12" i="3"/>
  <c r="C12" i="3"/>
  <c r="N42" i="1"/>
  <c r="N41" i="1"/>
  <c r="N40" i="1"/>
  <c r="E14" i="3"/>
  <c r="E13" i="3" s="1"/>
  <c r="D14" i="3"/>
  <c r="D13" i="3" s="1"/>
  <c r="C14" i="3"/>
  <c r="C13" i="3" s="1"/>
  <c r="E17" i="3"/>
  <c r="D17" i="3"/>
  <c r="C17" i="3"/>
  <c r="E22" i="3"/>
  <c r="D22" i="3"/>
  <c r="C22" i="3"/>
  <c r="G12" i="1"/>
  <c r="G11" i="1"/>
  <c r="G10" i="1"/>
  <c r="E28" i="3"/>
  <c r="D28" i="3"/>
  <c r="C28" i="3"/>
  <c r="G31" i="1"/>
  <c r="F102" i="1"/>
  <c r="F101" i="1"/>
  <c r="F100" i="1"/>
  <c r="G82" i="1"/>
  <c r="G81" i="1"/>
  <c r="G80" i="1"/>
  <c r="F90" i="1"/>
  <c r="F89" i="1"/>
  <c r="F88" i="1"/>
  <c r="G76" i="1"/>
  <c r="G75" i="1"/>
  <c r="G74" i="1"/>
  <c r="G69" i="1"/>
  <c r="G68" i="1"/>
  <c r="G67" i="1"/>
  <c r="G63" i="1"/>
  <c r="G62" i="1"/>
  <c r="G61" i="1"/>
  <c r="G23" i="1"/>
  <c r="G22" i="1"/>
  <c r="G21" i="1"/>
  <c r="G33" i="1"/>
  <c r="G32" i="1"/>
  <c r="G41" i="1"/>
  <c r="G40" i="1"/>
  <c r="G39" i="1"/>
  <c r="G54" i="1"/>
  <c r="G53" i="1"/>
  <c r="G52" i="1"/>
  <c r="G48" i="1"/>
  <c r="G47" i="1"/>
  <c r="G46" i="1"/>
  <c r="L60" i="1"/>
  <c r="M57" i="1"/>
  <c r="M56" i="1"/>
  <c r="M55" i="1"/>
  <c r="L51" i="1"/>
  <c r="L49" i="1"/>
  <c r="L46" i="1"/>
  <c r="M42" i="1"/>
  <c r="M41" i="1"/>
  <c r="M40" i="1"/>
  <c r="L42" i="1"/>
  <c r="L41" i="1"/>
  <c r="L40" i="1"/>
  <c r="D108" i="1"/>
  <c r="C108" i="1"/>
  <c r="B108" i="1"/>
  <c r="D99" i="1"/>
  <c r="C99" i="1"/>
  <c r="B99" i="1"/>
  <c r="E42" i="3" l="1" a="1"/>
  <c r="E42" i="3" s="1"/>
  <c r="E40" i="3"/>
  <c r="D29" i="3"/>
  <c r="E44" i="3"/>
  <c r="C50" i="3"/>
  <c r="C20" i="3"/>
  <c r="E20" i="3"/>
  <c r="D42" i="3"/>
  <c r="C44" i="3"/>
  <c r="E46" i="3"/>
  <c r="E48" i="3"/>
  <c r="E50" i="3"/>
  <c r="D50" i="3"/>
  <c r="D44" i="3"/>
  <c r="C48" i="3"/>
  <c r="D48" i="3"/>
  <c r="D40" i="3"/>
  <c r="C42" i="3"/>
  <c r="D68" i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 l="1"/>
  <c r="A35" i="3" s="1"/>
  <c r="A36" i="3" s="1"/>
  <c r="A37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<sst xmlns="http://schemas.openxmlformats.org/spreadsheetml/2006/main" count="314" uniqueCount="241">
  <si>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</si>
  <si>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</si>
  <si>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</si>
  <si>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</si>
  <si>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</si>
  <si>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</si>
  <si>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</si>
  <si>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</si>
  <si>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</si>
  <si>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</si>
  <si>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</si>
  <si>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</si>
  <si>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</si>
  <si>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</si>
  <si>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</si>
  <si>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</si>
  <si>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</si>
  <si>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</si>
  <si>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</si>
  <si>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</si>
  <si>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</si>
  <si>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</si>
  <si>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</si>
  <si>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</si>
  <si>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</si>
  <si>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</si>
  <si>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</si>
  <si>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</si>
  <si>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</si>
  <si>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</si>
  <si>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</si>
  <si>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</si>
  <si>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</si>
  <si>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</si>
  <si>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</si>
  <si>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</si>
  <si>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</si>
  <si>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</si>
  <si>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</si>
  <si>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</si>
  <si>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</si>
  <si>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</si>
  <si>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</si>
  <si>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</si>
  <si>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</si>
  <si>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</si>
  <si>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</si>
  <si>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</si>
  <si>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</si>
  <si>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</si>
  <si>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</si>
  <si>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</si>
  <si>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</si>
  <si>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</si>
  <si>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</si>
  <si>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</si>
  <si>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</si>
  <si>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</si>
  <si>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</si>
  <si>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</si>
  <si>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</si>
  <si>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</si>
  <si>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</si>
  <si>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</si>
  <si>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</si>
  <si>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</si>
  <si>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</si>
  <si>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</si>
  <si>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</si>
  <si>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</si>
  <si>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</si>
  <si>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</si>
  <si>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</si>
  <si>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</si>
  <si>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</si>
  <si>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</si>
  <si>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</si>
  <si>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</si>
  <si>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</si>
  <si>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</si>
  <si>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</si>
  <si>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</si>
  <si>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</si>
  <si>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</si>
  <si>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</si>
  <si>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</si>
  <si>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</si>
  <si>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</si>
  <si>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</si>
  <si>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</si>
  <si>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</si>
  <si>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</si>
  <si>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</si>
  <si>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</si>
  <si>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</si>
  <si>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</si>
  <si>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</si>
  <si>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</si>
  <si>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</si>
  <si>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</si>
  <si>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</si>
  <si>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</si>
  <si>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</si>
  <si>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</si>
  <si>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</si>
  <si>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</si>
  <si>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</si>
  <si>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</si>
  <si>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</si>
  <si>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</si>
  <si>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</si>
  <si>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</si>
  <si>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</si>
  <si>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</si>
  <si>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</si>
  <si>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</si>
  <si>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</si>
  <si>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</si>
  <si>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</si>
  <si>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</si>
  <si>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</si>
  <si>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</si>
  <si>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</si>
  <si>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</si>
  <si>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</si>
  <si>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</si>
  <si>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</si>
  <si>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</si>
  <si>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</si>
  <si>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</si>
  <si>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</si>
  <si>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</si>
  <si>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</si>
  <si>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</si>
  <si>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</si>
  <si>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</si>
  <si>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</si>
  <si>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</si>
  <si>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</si>
  <si>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</si>
  <si>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</si>
  <si>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</si>
  <si>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</si>
  <si>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</si>
  <si>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</si>
  <si>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</si>
  <si>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</si>
  <si>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</si>
  <si>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</si>
  <si>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</si>
  <si>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DIO</t>
  </si>
  <si>
    <t>DSO</t>
  </si>
  <si>
    <t>W/C</t>
  </si>
  <si>
    <t>NWC</t>
  </si>
  <si>
    <t>Net borrowing</t>
  </si>
  <si>
    <t>capex</t>
  </si>
  <si>
    <t>FCFE per share</t>
  </si>
  <si>
    <t>ROA</t>
  </si>
  <si>
    <t>Ending assets?</t>
  </si>
  <si>
    <t>Market share price</t>
  </si>
  <si>
    <t>P/E</t>
  </si>
  <si>
    <t>Formulas:</t>
  </si>
  <si>
    <t>current ratio= current assets/current liabilties</t>
  </si>
  <si>
    <t>quick ratio= cash&amp;cash equivalents+accountsrecievable/current liabilities</t>
  </si>
  <si>
    <t>cash ratio= cash&amp;cash equivalents/short term liabilities</t>
  </si>
  <si>
    <t>defensive internal ratio= current assets/average daily expenditures</t>
  </si>
  <si>
    <t>inventory days= average inventory/COGS*365 days</t>
  </si>
  <si>
    <t>reicievable days= average accounts recievable/revenue*365 days</t>
  </si>
  <si>
    <t xml:space="preserve"> </t>
  </si>
  <si>
    <t>DIO= average or ending inventory/COGS*365 days</t>
  </si>
  <si>
    <t>DSO= average or ending accounts recievable/revenue*365 days</t>
  </si>
  <si>
    <t>DPO= average or ending accounts recievable/COGS*365 days</t>
  </si>
  <si>
    <t>working capital as a % of sales= working capital/gross sales*100</t>
  </si>
  <si>
    <t>working capital= current assets-current liabilities</t>
  </si>
  <si>
    <t>gross margin= gross profit/revenue</t>
  </si>
  <si>
    <t>gross profit= net revenue-COGS</t>
  </si>
  <si>
    <t>EBITDA= earnings before interest, taxes, demorilisation and ammortisation</t>
  </si>
  <si>
    <t>EBITDA margin= EBITDA/revenue</t>
  </si>
  <si>
    <t>EBIT= earnings before interest and tax</t>
  </si>
  <si>
    <t>EBIT margin= total revenue-COGS-operating expenses</t>
  </si>
  <si>
    <t>debt to equity= total liabilities/total shareholder equity</t>
  </si>
  <si>
    <t>debt to total assets= total debts/total assets</t>
  </si>
  <si>
    <t>long term debt to capital= long term debt/total available capital</t>
  </si>
  <si>
    <t>times interest earned= income/total interest payable on bonds or other forms of debt</t>
  </si>
  <si>
    <t>debt coverage= net operating income/ debt service (inc. principal and interest)</t>
  </si>
  <si>
    <t>FCFE= net income+D&amp;A-increase in NWC-CAPEX+net borrowing</t>
  </si>
  <si>
    <t>total asset turnover= net sales/average total assets</t>
  </si>
  <si>
    <t>fixed asset turnover= net revenue/average fixed assets</t>
  </si>
  <si>
    <t>inventory turnover ratio= COGS/average inventory</t>
  </si>
  <si>
    <t>return on assets= net income/average total assets</t>
  </si>
  <si>
    <t>price to equity= current stock price/earnings per share</t>
  </si>
  <si>
    <t>earnings per share= net income-preferred dividends/weighted average of shares outstanding</t>
  </si>
  <si>
    <t>price to book value= market capitilisation/ book value of equity</t>
  </si>
  <si>
    <t>book value per share= (shareholders equity-preferred equity)/weighted average common of shares outstanding</t>
  </si>
  <si>
    <t>common shares outstanding= company market capitilisation/current share price</t>
  </si>
  <si>
    <t>dividend payout ratio= dividend per share/earnings per share</t>
  </si>
  <si>
    <t>dividend per share= annual dividend/ weighted average of outstanding shares</t>
  </si>
  <si>
    <t>dividend yield= dividend/company share price</t>
  </si>
  <si>
    <t>return on equity= net income/average total equity</t>
  </si>
  <si>
    <t>return on capital employed= NOPAT/average capital employed</t>
  </si>
  <si>
    <t>return on assets= company's earnings (after tax)/total assets</t>
  </si>
  <si>
    <t>enterprise value to EBITDA= enterprise value/EBITDA</t>
  </si>
  <si>
    <t>enterprise value= equity value+net debt</t>
  </si>
  <si>
    <t>DPO</t>
  </si>
  <si>
    <t>total available capital</t>
  </si>
  <si>
    <t>net margin= net income/revenue</t>
  </si>
  <si>
    <t>remove row 85 from formula, only the inventory balance in the balance sheet should be considered</t>
  </si>
  <si>
    <t>remove row 88 from formula, only the payables balance in the balance sheet should be considered</t>
  </si>
  <si>
    <t>remove row 84 from formula, only the receivables balance in the balance sheet should be considered</t>
  </si>
  <si>
    <t>remove *100 and use the % formatting instead</t>
  </si>
  <si>
    <t>Operating Income (in income statement) + D&amp;A in cash flow</t>
  </si>
  <si>
    <t>EBIT/Sales revenue</t>
  </si>
  <si>
    <t>Operating income in income statement</t>
  </si>
  <si>
    <t>EBIT/(interest paid + debt repayment)  debt repayment can be found in cash flow statement</t>
  </si>
  <si>
    <t>free cash flow per share= free cash flow/diluted number of shares</t>
  </si>
  <si>
    <t>change in WC can be found in cash flow and Capex is purchase of PPE in cash flow</t>
  </si>
  <si>
    <t>sales/total assets</t>
  </si>
  <si>
    <t>sales/PPE</t>
  </si>
  <si>
    <t>COGS/Inventory</t>
  </si>
  <si>
    <t xml:space="preserve"> current stock price/earnings per share</t>
  </si>
  <si>
    <t>net income/diluted number of shares (at the bottom of income statement)</t>
  </si>
  <si>
    <t>EPS/ BVPS</t>
  </si>
  <si>
    <t>Total shareholder equity/diluted number of shares</t>
  </si>
  <si>
    <t>DPS/EPS</t>
  </si>
  <si>
    <t>Dividend paid(can be found in cash flow)/diluted number of shares</t>
  </si>
  <si>
    <t>DPS/Share price</t>
  </si>
  <si>
    <t>Net income/total shareholder equity</t>
  </si>
  <si>
    <t>EBIT/(term debt + shareholder equity)</t>
  </si>
  <si>
    <t>EV/EBIDTA (calculated from above)</t>
  </si>
  <si>
    <t>net trading cycle= day inventory outstanding days sales outstanding-days payable outstanding</t>
  </si>
  <si>
    <t>Term debt (under non-current liabilities)/Total shareholder equity</t>
  </si>
  <si>
    <t>Term debt (under non-current liabilities)/Total assets</t>
  </si>
  <si>
    <t>Term debt (under non-current liabilities)/Property plant and equipment (under non-current assets)</t>
  </si>
  <si>
    <t>Net income/total assets</t>
  </si>
  <si>
    <t>market cap (share price*diluted number of shares)+Term debt in balance sheet - Cash in balance sheet</t>
  </si>
  <si>
    <t>Please calculate the below ratios</t>
  </si>
  <si>
    <t>Net Sales</t>
  </si>
  <si>
    <t>Sales (each category and net sales):</t>
  </si>
  <si>
    <t>Please fix the formula for 2021 &amp; 2022 according to the formula in the highlighted cell</t>
  </si>
  <si>
    <t>Denominator should be share count non EPS</t>
  </si>
  <si>
    <t>Link Capex with - sign to make the - sign in cashflow positive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</si>
</sst>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%"/>
    <numFmt numFmtId="168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0" xfId="0" applyNumberFormat="1"/>
    <xf numFmtId="43" fontId="0" fillId="0" borderId="0" xfId="0" applyNumberFormat="1"/>
    <xf numFmtId="0" fontId="0" fillId="5" borderId="0" xfId="0" applyFill="1"/>
    <xf numFmtId="2" fontId="0" fillId="0" borderId="0" xfId="1" applyNumberFormat="1" applyFont="1"/>
    <xf numFmtId="2" fontId="0" fillId="0" borderId="0" xfId="0" applyNumberFormat="1"/>
    <xf numFmtId="9" fontId="0" fillId="0" borderId="0" xfId="3" applyFont="1"/>
    <xf numFmtId="167" fontId="0" fillId="0" borderId="0" xfId="3" applyNumberFormat="1" applyFont="1"/>
    <xf numFmtId="0" fontId="2" fillId="0" borderId="0" xfId="0" applyFont="1" applyAlignment="1">
      <alignment horizontal="center"/>
    </xf>
    <xf numFmtId="168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5" fontId="0" fillId="6" borderId="0" xfId="1" applyNumberFormat="1" applyFont="1" applyFill="1"/>
    <xf numFmtId="165" fontId="0" fillId="0" borderId="0" xfId="1" applyNumberFormat="1" applyFont="1" applyFill="1"/>
    <xf numFmtId="2" fontId="0" fillId="6" borderId="0" xfId="0" applyNumberFormat="1" applyFill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1" defaultTableStyle="TableStyleMedium2" defaultPivotStyle="PivotStyleLight16">
    <tableStyle name="Invisible" pivot="0" table="0" count="0" xr9:uid="{FC5AD4E2-3F0D-4150-AFD5-22F8D6D0F5F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14" sqref="A14:A24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7"/>
  <sheetViews>
    <sheetView tabSelected="1" topLeftCell="C81" workbookViewId="0">
      <selection activeCell="F81" sqref="F81"/>
    </sheetView>
  </sheetViews>
  <sheetFormatPr defaultRowHeight="14.4" x14ac:dyDescent="0.3"/>
  <cols>
    <col min="1" max="1" width="4.6640625" customWidth="1"/>
    <col min="2" max="2" width="77.109375" bestFit="1" customWidth="1"/>
    <col min="3" max="4" width="12.109375" bestFit="1" customWidth="1"/>
    <col min="5" max="5" width="12" bestFit="1" customWidth="1"/>
    <col min="6" max="6" width="45.33203125" customWidth="1"/>
    <col min="7" max="7" width="64.88671875" customWidth="1"/>
    <col min="10" max="10" width="78.88671875" bestFit="1" customWidth="1"/>
  </cols>
  <sheetData>
    <row r="1" spans="1:11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  <c r="K1" s="19"/>
    </row>
    <row r="2" spans="1:11" x14ac:dyDescent="0.3">
      <c r="C2" s="32" t="s">
        <v>23</v>
      </c>
      <c r="D2" s="32"/>
      <c r="E2" s="32"/>
      <c r="F2" s="30"/>
    </row>
    <row r="3" spans="1:11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F3" s="7"/>
      <c r="J3" t="s">
        <v>161</v>
      </c>
    </row>
    <row r="4" spans="1:11" x14ac:dyDescent="0.3">
      <c r="A4" s="18">
        <v>1</v>
      </c>
      <c r="B4" s="7" t="s">
        <v>99</v>
      </c>
      <c r="J4" t="s">
        <v>162</v>
      </c>
    </row>
    <row r="5" spans="1:11" x14ac:dyDescent="0.3">
      <c r="A5" s="18">
        <f>+A4+0.1</f>
        <v>1.1000000000000001</v>
      </c>
      <c r="B5" s="1" t="s">
        <v>100</v>
      </c>
      <c r="C5" s="27">
        <f>'Financial Statements'!B42/'Financial Statements'!B56</f>
        <v>0.87935602862672257</v>
      </c>
      <c r="D5" s="27">
        <f>'Financial Statements'!C42/'Financial Statements'!C56</f>
        <v>1.0745531195957954</v>
      </c>
      <c r="E5" s="27">
        <f>'Financial Statements'!D42/'Financial Statements'!D56</f>
        <v>1.3636044481554577</v>
      </c>
      <c r="F5" s="27"/>
      <c r="J5" t="s">
        <v>163</v>
      </c>
    </row>
    <row r="6" spans="1:11" x14ac:dyDescent="0.3">
      <c r="A6" s="18">
        <f t="shared" ref="A6:A13" si="0">+A5+0.1</f>
        <v>1.2000000000000002</v>
      </c>
      <c r="B6" s="1" t="s">
        <v>101</v>
      </c>
      <c r="C6" s="27"/>
      <c r="D6" s="27">
        <f>('Financial Statements'!C36+'Financial Statements'!C38)/'Financial Statements'!C56</f>
        <v>0.48786668898080188</v>
      </c>
      <c r="E6" s="27">
        <f>('Financial Statements'!D36+'Financial Statements'!D38)/'Financial Statements'!D56</f>
        <v>0.51366327614999241</v>
      </c>
      <c r="F6" s="27"/>
      <c r="J6" t="s">
        <v>164</v>
      </c>
    </row>
    <row r="7" spans="1:11" x14ac:dyDescent="0.3">
      <c r="A7" s="18">
        <f t="shared" si="0"/>
        <v>1.3000000000000003</v>
      </c>
      <c r="B7" s="1" t="s">
        <v>102</v>
      </c>
      <c r="C7" s="27">
        <f>'Financial Statements'!B42/'Financial Statements'!B62</f>
        <v>0.44823773598646732</v>
      </c>
      <c r="D7" s="27">
        <f>'Financial Statements'!C42/'Financial Statements'!C62</f>
        <v>0.46832365444997082</v>
      </c>
      <c r="E7" s="27">
        <f>'Financial Statements'!D42/'Financial Statements'!D62</f>
        <v>0.55584434671957739</v>
      </c>
      <c r="F7" s="27"/>
      <c r="J7" t="s">
        <v>165</v>
      </c>
    </row>
    <row r="8" spans="1:11" x14ac:dyDescent="0.3">
      <c r="A8" s="18">
        <f t="shared" si="0"/>
        <v>1.4000000000000004</v>
      </c>
      <c r="B8" s="1" t="s">
        <v>103</v>
      </c>
      <c r="C8" s="27">
        <f>'Financial Statements'!B42/('Financial Statements'!B12+'Financial Statements'!B17-'Financial Statements'!B79/365)</f>
        <v>0.49263157686989129</v>
      </c>
      <c r="D8" s="27">
        <f>'Financial Statements'!C42/('Financial Statements'!C12+'Financial Statements'!C17-'Financial Statements'!B79/365)</f>
        <v>0.52498548306996773</v>
      </c>
      <c r="E8" s="27">
        <f>'Financial Statements'!D42/('Financial Statements'!D12+'Financial Statements'!D17-'Financial Statements'!D79/365)</f>
        <v>0.69027507823574485</v>
      </c>
      <c r="F8" s="27"/>
      <c r="J8" t="s">
        <v>166</v>
      </c>
    </row>
    <row r="9" spans="1:11" x14ac:dyDescent="0.3">
      <c r="A9" s="18">
        <f t="shared" si="0"/>
        <v>1.5000000000000004</v>
      </c>
      <c r="B9" s="1" t="s">
        <v>104</v>
      </c>
      <c r="C9" s="27">
        <f>'Financial Statements'!B39/'Financial Statements'!B12*365</f>
        <v>8.0756980666171607</v>
      </c>
      <c r="D9" s="27">
        <f>'Financial Statements'!C39/'Financial Statements'!C12*365</f>
        <v>11.27659274770989</v>
      </c>
      <c r="E9" s="27">
        <f>'Financial Statements'!D39/'Financial Statements'!D12*365</f>
        <v>8.7418833562358831</v>
      </c>
      <c r="F9" s="27"/>
      <c r="G9" t="s">
        <v>206</v>
      </c>
      <c r="J9" t="s">
        <v>167</v>
      </c>
    </row>
    <row r="10" spans="1:11" x14ac:dyDescent="0.3">
      <c r="A10" s="18">
        <f t="shared" si="0"/>
        <v>1.6000000000000005</v>
      </c>
      <c r="B10" s="1" t="s">
        <v>105</v>
      </c>
      <c r="C10" s="27">
        <f>'Financial Statements'!B51/'Financial Statements'!B12*365</f>
        <v>104.68527730310539</v>
      </c>
      <c r="D10" s="27">
        <f>'Financial Statements'!C51/'Financial Statements'!C12*365</f>
        <v>93.851071222315596</v>
      </c>
      <c r="E10" s="27">
        <f>'Financial Statements'!D51/'Financial Statements'!D12*365</f>
        <v>91.048189715674198</v>
      </c>
      <c r="F10" s="27"/>
      <c r="G10" t="s">
        <v>207</v>
      </c>
    </row>
    <row r="11" spans="1:11" x14ac:dyDescent="0.3">
      <c r="A11" s="18">
        <f t="shared" si="0"/>
        <v>1.7000000000000006</v>
      </c>
      <c r="B11" s="1" t="s">
        <v>106</v>
      </c>
      <c r="C11" s="27">
        <f>'Financial Statements'!B38/'Financial Statements'!B8*365</f>
        <v>26.087825363656648</v>
      </c>
      <c r="D11" s="27">
        <f>'Financial Statements'!C38/'Financial Statements'!C8*365</f>
        <v>26.219311841713207</v>
      </c>
      <c r="E11" s="27">
        <f>'Financial Statements'!D38/'Financial Statements'!D8*365</f>
        <v>21.433437152796749</v>
      </c>
      <c r="F11" s="27"/>
      <c r="G11" t="s">
        <v>208</v>
      </c>
      <c r="K11" t="s">
        <v>169</v>
      </c>
    </row>
    <row r="12" spans="1:11" x14ac:dyDescent="0.3">
      <c r="A12" s="18">
        <f t="shared" si="0"/>
        <v>1.8000000000000007</v>
      </c>
      <c r="B12" s="1" t="s">
        <v>107</v>
      </c>
      <c r="C12" s="27">
        <f>'Financial Statements'!L40+'Financial Statements'!M40-'Financial Statements'!N40</f>
        <v>-85.948198541937714</v>
      </c>
      <c r="D12" s="27">
        <f>'Financial Statements'!L41+'Financial Statements'!M41-'Financial Statements'!N41</f>
        <v>-77.479069704058475</v>
      </c>
      <c r="E12" s="27">
        <f>'Financial Statements'!L42+'Financial Statements'!M42-'Financial Statements'!N42</f>
        <v>-52.128833207372878</v>
      </c>
      <c r="F12" s="27"/>
      <c r="G12" t="s">
        <v>229</v>
      </c>
      <c r="K12" t="s">
        <v>170</v>
      </c>
    </row>
    <row r="13" spans="1:11" x14ac:dyDescent="0.3">
      <c r="A13" s="18">
        <f t="shared" si="0"/>
        <v>1.9000000000000008</v>
      </c>
      <c r="B13" s="1" t="s">
        <v>108</v>
      </c>
      <c r="C13" s="28">
        <f>C14/'Financial Statements'!B8</f>
        <v>-4.711052727678481E-2</v>
      </c>
      <c r="D13" s="28">
        <f>D14/'Financial Statements'!C8</f>
        <v>2.557289573748623E-2</v>
      </c>
      <c r="E13" s="28">
        <f>E14/'Financial Statements'!D8</f>
        <v>0.13959528623208203</v>
      </c>
      <c r="F13" s="28"/>
      <c r="G13" t="s">
        <v>209</v>
      </c>
      <c r="K13" t="s">
        <v>171</v>
      </c>
    </row>
    <row r="14" spans="1:11" x14ac:dyDescent="0.3">
      <c r="A14" s="18"/>
      <c r="B14" s="3" t="s">
        <v>109</v>
      </c>
      <c r="C14" s="12">
        <f>'Financial Statements'!B42-'Financial Statements'!B56</f>
        <v>-18577</v>
      </c>
      <c r="D14" s="12">
        <f>'Financial Statements'!C42-'Financial Statements'!C56</f>
        <v>9355</v>
      </c>
      <c r="E14" s="12">
        <f>'Financial Statements'!D42-'Financial Statements'!D56</f>
        <v>38321</v>
      </c>
      <c r="F14" s="12"/>
      <c r="J14" t="s">
        <v>172</v>
      </c>
    </row>
    <row r="15" spans="1:11" x14ac:dyDescent="0.3">
      <c r="A15" s="18"/>
      <c r="C15" s="27"/>
      <c r="D15" s="27"/>
      <c r="E15" s="27"/>
      <c r="F15" s="27"/>
      <c r="K15" t="s">
        <v>173</v>
      </c>
    </row>
    <row r="16" spans="1:11" x14ac:dyDescent="0.3">
      <c r="A16" s="18">
        <f>+A4+1</f>
        <v>2</v>
      </c>
      <c r="B16" s="17" t="s">
        <v>110</v>
      </c>
      <c r="C16" s="27"/>
      <c r="D16" s="27"/>
      <c r="E16" s="27"/>
      <c r="F16" s="27"/>
      <c r="J16" t="s">
        <v>174</v>
      </c>
    </row>
    <row r="17" spans="1:11" x14ac:dyDescent="0.3">
      <c r="A17" s="18">
        <f>+A16+0.1</f>
        <v>2.1</v>
      </c>
      <c r="B17" s="1" t="s">
        <v>9</v>
      </c>
      <c r="C17" s="29">
        <f>('Financial Statements'!B8-'Financial Statements'!B12)/'Financial Statements'!B8</f>
        <v>0.43309630561360085</v>
      </c>
      <c r="D17" s="29">
        <f>('Financial Statements'!C8-'Financial Statements'!C12)/'Financial Statements'!C8</f>
        <v>0.41779359625167778</v>
      </c>
      <c r="E17" s="29">
        <f>('Financial Statements'!D8-'Financial Statements'!D12)/'Financial Statements'!D8</f>
        <v>0.38233247727810865</v>
      </c>
      <c r="F17" s="29"/>
      <c r="K17" t="s">
        <v>175</v>
      </c>
    </row>
    <row r="18" spans="1:11" x14ac:dyDescent="0.3">
      <c r="A18" s="18">
        <f>+A17+0.1</f>
        <v>2.2000000000000002</v>
      </c>
      <c r="B18" s="1" t="s">
        <v>111</v>
      </c>
      <c r="C18" s="29">
        <f>C19/'Financial Statements'!B8</f>
        <v>0.3310467428130896</v>
      </c>
      <c r="D18" s="29">
        <f>D19/'Financial Statements'!C8</f>
        <v>0.32866979938056462</v>
      </c>
      <c r="E18" s="29">
        <f>E19/'Financial Statements'!D8</f>
        <v>0.2817478097736007</v>
      </c>
      <c r="F18" s="29"/>
      <c r="J18" t="s">
        <v>176</v>
      </c>
    </row>
    <row r="19" spans="1:11" x14ac:dyDescent="0.3">
      <c r="A19" s="18"/>
      <c r="B19" s="3" t="s">
        <v>112</v>
      </c>
      <c r="C19" s="12">
        <f>'Financial Statements'!B18+'Financial Statements'!B79</f>
        <v>130541</v>
      </c>
      <c r="D19" s="12">
        <f>'Financial Statements'!C18+'Financial Statements'!C79</f>
        <v>120233</v>
      </c>
      <c r="E19" s="12">
        <f>'Financial Statements'!D18+'Financial Statements'!D79</f>
        <v>77344</v>
      </c>
      <c r="F19" s="12"/>
      <c r="G19" t="s">
        <v>210</v>
      </c>
      <c r="K19" t="s">
        <v>177</v>
      </c>
    </row>
    <row r="20" spans="1:11" x14ac:dyDescent="0.3">
      <c r="A20" s="18">
        <f>+A18+0.1</f>
        <v>2.3000000000000003</v>
      </c>
      <c r="B20" s="1" t="s">
        <v>113</v>
      </c>
      <c r="C20" s="28">
        <f>C21/'Financial Statements'!B8</f>
        <v>0.30288744395528594</v>
      </c>
      <c r="D20" s="28">
        <f>D21/'Financial Statements'!C8</f>
        <v>0.29782377527561593</v>
      </c>
      <c r="E20" s="28">
        <f>E21/'Financial Statements'!D8</f>
        <v>0.24147314354406862</v>
      </c>
      <c r="F20" s="28"/>
      <c r="G20" t="s">
        <v>211</v>
      </c>
      <c r="J20" t="s">
        <v>178</v>
      </c>
    </row>
    <row r="21" spans="1:11" x14ac:dyDescent="0.3">
      <c r="A21" s="18"/>
      <c r="B21" s="3" t="s">
        <v>114</v>
      </c>
      <c r="C21" s="12">
        <f>'Financial Statements'!B18</f>
        <v>119437</v>
      </c>
      <c r="D21" s="12">
        <f>'Financial Statements'!C18</f>
        <v>108949</v>
      </c>
      <c r="E21" s="12">
        <f>'Financial Statements'!D18</f>
        <v>66288</v>
      </c>
      <c r="F21" s="12"/>
      <c r="G21" t="s">
        <v>212</v>
      </c>
      <c r="K21" t="s">
        <v>179</v>
      </c>
    </row>
    <row r="22" spans="1:11" x14ac:dyDescent="0.3">
      <c r="A22" s="18">
        <f>+A20+0.1</f>
        <v>2.4000000000000004</v>
      </c>
      <c r="B22" s="1" t="s">
        <v>115</v>
      </c>
      <c r="C22" s="28">
        <f>'Financial Statements'!B22/'Financial Statements'!B8</f>
        <v>0.25309640705199732</v>
      </c>
      <c r="D22" s="28">
        <f>'Financial Statements'!C22/'Financial Statements'!C8</f>
        <v>0.25881793355694238</v>
      </c>
      <c r="E22" s="28">
        <f>'Financial Statements'!D22/'Financial Statements'!D8</f>
        <v>0.20913611278072236</v>
      </c>
      <c r="F22" s="28"/>
      <c r="J22" t="s">
        <v>205</v>
      </c>
    </row>
    <row r="23" spans="1:11" x14ac:dyDescent="0.3">
      <c r="A23" s="18"/>
      <c r="C23" s="27"/>
      <c r="D23" s="27"/>
      <c r="E23" s="27"/>
      <c r="F23" s="27"/>
      <c r="J23" t="s">
        <v>180</v>
      </c>
    </row>
    <row r="24" spans="1:11" x14ac:dyDescent="0.3">
      <c r="A24" s="18">
        <f>+A16+1</f>
        <v>3</v>
      </c>
      <c r="B24" s="7" t="s">
        <v>116</v>
      </c>
      <c r="C24" s="27"/>
      <c r="D24" s="27"/>
      <c r="E24" s="27"/>
      <c r="F24" s="27"/>
      <c r="J24" t="s">
        <v>181</v>
      </c>
    </row>
    <row r="25" spans="1:11" x14ac:dyDescent="0.3">
      <c r="A25" s="18">
        <f>+A24+0.1</f>
        <v>3.1</v>
      </c>
      <c r="B25" s="1" t="s">
        <v>117</v>
      </c>
      <c r="C25" s="27">
        <f>'Financial Statements'!B59/'Financial Statements'!B68</f>
        <v>1.9529325860435744</v>
      </c>
      <c r="D25" s="27">
        <f>'Financial Statements'!C59/'Financial Statements'!C68</f>
        <v>1.729370740212395</v>
      </c>
      <c r="E25" s="27">
        <f>'Financial Statements'!D59/'Financial Statements'!D68</f>
        <v>1.5100782075024104</v>
      </c>
      <c r="F25" s="27"/>
      <c r="G25" t="s">
        <v>230</v>
      </c>
      <c r="J25" t="s">
        <v>182</v>
      </c>
    </row>
    <row r="26" spans="1:11" x14ac:dyDescent="0.3">
      <c r="A26" s="18">
        <f t="shared" ref="A26:A30" si="1">+A25+0.1</f>
        <v>3.2</v>
      </c>
      <c r="B26" s="1" t="s">
        <v>118</v>
      </c>
      <c r="C26" s="27">
        <f>'Financial Statements'!B59/'Financial Statements'!B48</f>
        <v>0.28053181386514719</v>
      </c>
      <c r="D26" s="27">
        <f>'Financial Statements'!C59/'Financial Statements'!C48</f>
        <v>0.31084153366647482</v>
      </c>
      <c r="E26" s="27">
        <f>'Financial Statements'!D59/'Financial Statements'!D48</f>
        <v>0.30463308304105124</v>
      </c>
      <c r="F26" s="27"/>
      <c r="G26" t="s">
        <v>231</v>
      </c>
      <c r="J26" t="s">
        <v>183</v>
      </c>
    </row>
    <row r="27" spans="1:11" x14ac:dyDescent="0.3">
      <c r="A27" s="18">
        <f t="shared" si="1"/>
        <v>3.3000000000000003</v>
      </c>
      <c r="B27" s="1" t="s">
        <v>119</v>
      </c>
      <c r="C27" s="27">
        <f>'Financial Statements'!B59/'Financial Statements'!B45</f>
        <v>2.3496212930645584</v>
      </c>
      <c r="D27" s="27">
        <f>'Financial Statements'!C59/'Financial Statements'!C45</f>
        <v>2.7663793103448278</v>
      </c>
      <c r="E27" s="27">
        <f>'Financial Statements'!D59/'Financial Statements'!D45</f>
        <v>2.683647935592667</v>
      </c>
      <c r="F27" s="27"/>
      <c r="G27" t="s">
        <v>232</v>
      </c>
      <c r="J27" t="s">
        <v>184</v>
      </c>
    </row>
    <row r="28" spans="1:11" x14ac:dyDescent="0.3">
      <c r="A28" s="18">
        <f t="shared" si="1"/>
        <v>3.4000000000000004</v>
      </c>
      <c r="B28" s="1" t="s">
        <v>120</v>
      </c>
      <c r="C28" s="27">
        <f>'Financial Statements'!B22/'Financial Statements'!B114</f>
        <v>34.835253054101223</v>
      </c>
      <c r="D28" s="27">
        <f>'Financial Statements'!C22/'Financial Statements'!C114</f>
        <v>35.236323036844063</v>
      </c>
      <c r="E28" s="27">
        <f>'Financial Statements'!D22/'Financial Statements'!D114</f>
        <v>19.124250499666889</v>
      </c>
      <c r="F28" s="27"/>
      <c r="J28" t="s">
        <v>185</v>
      </c>
    </row>
    <row r="29" spans="1:11" x14ac:dyDescent="0.3">
      <c r="A29" s="18">
        <f t="shared" si="1"/>
        <v>3.5000000000000004</v>
      </c>
      <c r="B29" s="1" t="s">
        <v>121</v>
      </c>
      <c r="C29" s="27">
        <f>C21/('Financial Statements'!B114+'Financial Statements'!B105)</f>
        <v>-17.88514525306978</v>
      </c>
      <c r="D29" s="27">
        <f>D21/('Financial Statements'!C114+'Financial Statements'!C105)</f>
        <v>-17.969487052614216</v>
      </c>
      <c r="E29" s="27">
        <f>E21/('Financial Statements'!D114+'Financial Statements'!D105)</f>
        <v>-6.8856341539420383</v>
      </c>
      <c r="F29" s="27"/>
      <c r="G29" t="s">
        <v>213</v>
      </c>
    </row>
    <row r="30" spans="1:11" x14ac:dyDescent="0.3">
      <c r="A30" s="18">
        <f t="shared" si="1"/>
        <v>3.6000000000000005</v>
      </c>
      <c r="B30" s="1" t="s">
        <v>122</v>
      </c>
      <c r="C30" s="27"/>
      <c r="D30" s="27"/>
      <c r="E30" s="36">
        <f>+(E31/'Financial Statements'!D27)*1000</f>
        <v>4.4275284188634245</v>
      </c>
      <c r="F30" s="35" t="s">
        <v>238</v>
      </c>
      <c r="G30" t="s">
        <v>214</v>
      </c>
      <c r="J30" t="s">
        <v>186</v>
      </c>
    </row>
    <row r="31" spans="1:11" x14ac:dyDescent="0.3">
      <c r="A31" s="18"/>
      <c r="B31" s="3" t="s">
        <v>123</v>
      </c>
      <c r="C31" s="12">
        <f>'Financial Statements'!B22+'Financial Statements'!B79-'Financial Statements'!G46-'Financial Statements'!B96+'Financial Statements'!G52</f>
        <v>42472</v>
      </c>
      <c r="D31" s="12">
        <f>'Financial Statements'!C22+'Financial Statements'!C79-'Financial Statements'!G47-'Financial Statements'!C96+'Financial Statements'!G53</f>
        <v>18997</v>
      </c>
      <c r="E31" s="34">
        <f>'Financial Statements'!D91+'Financial Statements'!D96+'Financial Statements'!D104+'Financial Statements'!D105</f>
        <v>76827</v>
      </c>
      <c r="F31" s="35" t="s">
        <v>238</v>
      </c>
      <c r="G31" t="s">
        <v>215</v>
      </c>
      <c r="J31" t="s">
        <v>187</v>
      </c>
    </row>
    <row r="32" spans="1:11" x14ac:dyDescent="0.3">
      <c r="A32" s="18"/>
      <c r="C32" s="27"/>
      <c r="D32" s="27"/>
      <c r="E32" s="27"/>
      <c r="F32" s="27"/>
      <c r="J32" t="s">
        <v>188</v>
      </c>
    </row>
    <row r="33" spans="1:12" x14ac:dyDescent="0.3">
      <c r="A33" s="18">
        <f>+A24+1</f>
        <v>4</v>
      </c>
      <c r="B33" s="17" t="s">
        <v>124</v>
      </c>
      <c r="C33" s="27"/>
      <c r="D33" s="27"/>
      <c r="E33" s="27"/>
      <c r="F33" s="27"/>
      <c r="J33" t="s">
        <v>189</v>
      </c>
    </row>
    <row r="34" spans="1:12" x14ac:dyDescent="0.3">
      <c r="A34" s="18">
        <f>+A33+0.1</f>
        <v>4.0999999999999996</v>
      </c>
      <c r="B34" s="1" t="s">
        <v>125</v>
      </c>
      <c r="C34" s="27">
        <f>'Financial Statements'!B8/'Financial Statements'!B48</f>
        <v>1.1178523337727317</v>
      </c>
      <c r="D34" s="27">
        <f>'Financial Statements'!C8/'Financial Statements'!C48</f>
        <v>1.0422077367080529</v>
      </c>
      <c r="E34" s="27">
        <f>'Financial Statements'!D8/'Financial Statements'!D48</f>
        <v>0.84756150274168851</v>
      </c>
      <c r="F34" s="27"/>
      <c r="G34" t="s">
        <v>216</v>
      </c>
      <c r="J34" t="s">
        <v>190</v>
      </c>
    </row>
    <row r="35" spans="1:12" x14ac:dyDescent="0.3">
      <c r="A35" s="18">
        <f t="shared" ref="A35:A37" si="2">+A34+0.1</f>
        <v>4.1999999999999993</v>
      </c>
      <c r="B35" s="1" t="s">
        <v>126</v>
      </c>
      <c r="C35" s="27">
        <f>'Financial Statements'!B8/'Financial Statements'!B45</f>
        <v>9.3626801529073767</v>
      </c>
      <c r="D35" s="27">
        <f>'Financial Statements'!C8/'Financial Statements'!C45</f>
        <v>9.2752789046653152</v>
      </c>
      <c r="E35" s="27">
        <f>'Financial Statements'!D8/'Financial Statements'!D38</f>
        <v>17.029466501240694</v>
      </c>
      <c r="F35" s="27"/>
      <c r="G35" t="s">
        <v>217</v>
      </c>
      <c r="K35" t="s">
        <v>191</v>
      </c>
    </row>
    <row r="36" spans="1:12" x14ac:dyDescent="0.3">
      <c r="A36" s="18">
        <f t="shared" si="2"/>
        <v>4.2999999999999989</v>
      </c>
      <c r="B36" s="1" t="s">
        <v>127</v>
      </c>
      <c r="C36" s="27">
        <f>'Financial Statements'!B12/'Financial Statements'!B39</f>
        <v>45.197331176708452</v>
      </c>
      <c r="D36" s="27">
        <f>'Financial Statements'!C12/'Financial Statements'!C39</f>
        <v>32.367933130699086</v>
      </c>
      <c r="E36" s="27">
        <f>'Financial Statements'!D12/'Financial Statements'!D39</f>
        <v>41.753016498399411</v>
      </c>
      <c r="F36" s="27"/>
      <c r="G36" t="s">
        <v>218</v>
      </c>
      <c r="J36" t="s">
        <v>192</v>
      </c>
      <c r="L36" t="s">
        <v>168</v>
      </c>
    </row>
    <row r="37" spans="1:12" x14ac:dyDescent="0.3">
      <c r="A37" s="18">
        <f t="shared" si="2"/>
        <v>4.3999999999999986</v>
      </c>
      <c r="B37" s="1" t="s">
        <v>128</v>
      </c>
      <c r="C37" s="27">
        <f>'Financial Statements'!B22/'Financial Statements'!B48</f>
        <v>0.28292440929256851</v>
      </c>
      <c r="D37" s="27">
        <f>'Financial Statements'!C22/'Financial Statements'!C48</f>
        <v>0.26974205275183616</v>
      </c>
      <c r="E37" s="27">
        <f>'Financial Statements'!D22/'Financial Statements'!D48</f>
        <v>0.1772557180259843</v>
      </c>
      <c r="F37" s="27"/>
      <c r="G37" t="s">
        <v>233</v>
      </c>
      <c r="K37" t="s">
        <v>193</v>
      </c>
    </row>
    <row r="38" spans="1:12" x14ac:dyDescent="0.3">
      <c r="A38" s="18"/>
      <c r="K38" t="s">
        <v>194</v>
      </c>
    </row>
    <row r="39" spans="1:12" x14ac:dyDescent="0.3">
      <c r="A39" s="18">
        <f>+A33+1</f>
        <v>5</v>
      </c>
      <c r="B39" s="17" t="s">
        <v>129</v>
      </c>
      <c r="J39" t="s">
        <v>195</v>
      </c>
    </row>
    <row r="40" spans="1:12" x14ac:dyDescent="0.3">
      <c r="A40" s="18">
        <f>+A39+0.1</f>
        <v>5.0999999999999996</v>
      </c>
      <c r="B40" s="1" t="s">
        <v>130</v>
      </c>
      <c r="C40" s="27">
        <f>'Financial Statements'!G93/Ratios!C41</f>
        <v>9.5387824013306224E-3</v>
      </c>
      <c r="D40" s="27">
        <f>'Financial Statements'!G94/Ratios!D41</f>
        <v>9.142617237008873E-3</v>
      </c>
      <c r="E40" s="27">
        <f>'Financial Statements'!G95/Ratios!E41</f>
        <v>6.4570483008482681E-3</v>
      </c>
      <c r="F40" s="27"/>
      <c r="G40" t="s">
        <v>219</v>
      </c>
      <c r="K40" t="s">
        <v>196</v>
      </c>
    </row>
    <row r="41" spans="1:12" x14ac:dyDescent="0.3">
      <c r="A41" s="18">
        <f t="shared" ref="A41:A44" si="3">+A40+0.1</f>
        <v>5.1999999999999993</v>
      </c>
      <c r="B41" s="3" t="s">
        <v>131</v>
      </c>
      <c r="C41" s="27">
        <f>'Financial Statements'!B22/'Financial Statements'!B25</f>
        <v>16334.369885433714</v>
      </c>
      <c r="D41" s="27">
        <f>'Financial Statements'!C22/'Financial Statements'!C25</f>
        <v>16877.005347593582</v>
      </c>
      <c r="E41" s="27">
        <f>'Financial Statements'!D22/'Financial Statements'!D25</f>
        <v>17503.353658536587</v>
      </c>
      <c r="F41" s="27" t="s">
        <v>239</v>
      </c>
      <c r="G41" t="s">
        <v>220</v>
      </c>
      <c r="J41" t="s">
        <v>197</v>
      </c>
    </row>
    <row r="42" spans="1:12" x14ac:dyDescent="0.3">
      <c r="A42" s="18">
        <f t="shared" si="3"/>
        <v>5.2999999999999989</v>
      </c>
      <c r="B42" s="1" t="s">
        <v>132</v>
      </c>
      <c r="C42" s="27">
        <f>C41/C43</f>
        <v>1.9695887275023682</v>
      </c>
      <c r="D42" s="27">
        <f>D41/D43</f>
        <v>1.5007132667617689</v>
      </c>
      <c r="E42" s="27" cm="1">
        <f t="array" ref="E42">E41/_xlfn.ANCHORARRAY(E43)</f>
        <v>0.87866358530127497</v>
      </c>
      <c r="F42" s="27"/>
      <c r="G42" t="s">
        <v>221</v>
      </c>
      <c r="J42" t="s">
        <v>198</v>
      </c>
    </row>
    <row r="43" spans="1:12" x14ac:dyDescent="0.3">
      <c r="A43" s="18">
        <f t="shared" si="3"/>
        <v>5.3999999999999986</v>
      </c>
      <c r="B43" s="3" t="s">
        <v>133</v>
      </c>
      <c r="C43" s="27">
        <f>'Financial Statements'!B68/'Financial Statements'!B25</f>
        <v>8293.2896890343691</v>
      </c>
      <c r="D43" s="27">
        <f>'Financial Statements'!C68/'Financial Statements'!C25</f>
        <v>11245.989304812834</v>
      </c>
      <c r="E43" s="27">
        <f>'Financial Statements'!D68/'Financial Statements'!D25</f>
        <v>19920.426829268294</v>
      </c>
      <c r="F43" s="27" t="s">
        <v>239</v>
      </c>
      <c r="G43" t="s">
        <v>222</v>
      </c>
      <c r="J43" t="s">
        <v>199</v>
      </c>
    </row>
    <row r="44" spans="1:12" x14ac:dyDescent="0.3">
      <c r="A44" s="18">
        <f t="shared" si="3"/>
        <v>5.4999999999999982</v>
      </c>
      <c r="B44" s="1" t="s">
        <v>134</v>
      </c>
      <c r="C44" s="31">
        <f>C45/C41</f>
        <v>-0.14870294480125848</v>
      </c>
      <c r="D44" s="27">
        <f>D45/D41</f>
        <v>-0.15279890156316012</v>
      </c>
      <c r="E44" s="27">
        <f>E45/E41</f>
        <v>-0.24526658654264863</v>
      </c>
      <c r="F44" s="27"/>
      <c r="G44" t="s">
        <v>223</v>
      </c>
      <c r="J44" t="s">
        <v>200</v>
      </c>
    </row>
    <row r="45" spans="1:12" x14ac:dyDescent="0.3">
      <c r="A45" s="18"/>
      <c r="B45" s="3" t="s">
        <v>135</v>
      </c>
      <c r="C45" s="27">
        <f>'Financial Statements'!B102/'Financial Statements'!B25</f>
        <v>-2428.9689034369885</v>
      </c>
      <c r="D45" s="27">
        <f>'Financial Statements'!C102/'Financial Statements'!C25</f>
        <v>-2578.7878787878785</v>
      </c>
      <c r="E45" s="27">
        <f>'Financial Statements'!D102/'Financial Statements'!D25</f>
        <v>-4292.9878048780492</v>
      </c>
      <c r="F45" s="27" t="s">
        <v>239</v>
      </c>
      <c r="G45" t="s">
        <v>224</v>
      </c>
      <c r="J45" t="s">
        <v>201</v>
      </c>
    </row>
    <row r="46" spans="1:12" x14ac:dyDescent="0.3">
      <c r="A46" s="18">
        <f>+A44+0.1</f>
        <v>5.5999999999999979</v>
      </c>
      <c r="B46" s="1" t="s">
        <v>136</v>
      </c>
      <c r="C46" s="27">
        <f>C45/'Financial Statements'!G93</f>
        <v>-15.589300452069756</v>
      </c>
      <c r="D46" s="27">
        <f>D45/'Financial Statements'!G94</f>
        <v>-16.71281839784756</v>
      </c>
      <c r="E46" s="27">
        <f>E45/'Financial Statements'!G95</f>
        <v>-37.984319632614131</v>
      </c>
      <c r="F46" s="27"/>
      <c r="G46" t="s">
        <v>225</v>
      </c>
      <c r="K46" t="s">
        <v>202</v>
      </c>
    </row>
    <row r="47" spans="1:12" x14ac:dyDescent="0.3">
      <c r="A47" s="18">
        <f t="shared" ref="A47:A50" si="4">+A45+0.1</f>
        <v>0.1</v>
      </c>
      <c r="B47" s="1" t="s">
        <v>137</v>
      </c>
      <c r="C47" s="27">
        <f>'Financial Statements'!B22/'Financial Statements'!B68</f>
        <v>1.9695887275023682</v>
      </c>
      <c r="D47" s="27">
        <f>'Financial Statements'!C22/'Financial Statements'!C68</f>
        <v>1.5007132667617689</v>
      </c>
      <c r="E47" s="27">
        <f>'Financial Statements'!D22/'Financial Statements'!D68</f>
        <v>0.87866358530127486</v>
      </c>
      <c r="F47" s="27"/>
      <c r="G47" t="s">
        <v>226</v>
      </c>
    </row>
    <row r="48" spans="1:12" x14ac:dyDescent="0.3">
      <c r="A48" s="18">
        <f t="shared" si="4"/>
        <v>5.6999999999999975</v>
      </c>
      <c r="B48" s="1" t="s">
        <v>138</v>
      </c>
      <c r="C48" s="24">
        <f>C21/('Financial Statements'!B59+'Financial Statements'!B68)</f>
        <v>0.79821026391589978</v>
      </c>
      <c r="D48" s="24">
        <f>D21/('Financial Statements'!C59+'Financial Statements'!C68)</f>
        <v>0.63270343097400639</v>
      </c>
      <c r="E48" s="24">
        <f>E21/('Financial Statements'!D59+'Financial Statements'!D68)</f>
        <v>0.40418033486579757</v>
      </c>
      <c r="F48" s="24"/>
      <c r="G48" t="s">
        <v>227</v>
      </c>
    </row>
    <row r="49" spans="1:7" x14ac:dyDescent="0.3">
      <c r="A49" s="18">
        <f t="shared" si="4"/>
        <v>0.2</v>
      </c>
      <c r="B49" s="1" t="s">
        <v>128</v>
      </c>
      <c r="C49" s="27">
        <f>'Financial Statements'!B22/'Financial Statements'!B48</f>
        <v>0.28292440929256851</v>
      </c>
      <c r="D49" s="27">
        <f>'Financial Statements'!C22/'Financial Statements'!C48</f>
        <v>0.26974205275183616</v>
      </c>
      <c r="E49" s="27">
        <f>'Financial Statements'!D22/'Financial Statements'!D48</f>
        <v>0.1772557180259843</v>
      </c>
      <c r="F49" s="27"/>
      <c r="G49" t="s">
        <v>233</v>
      </c>
    </row>
    <row r="50" spans="1:7" x14ac:dyDescent="0.3">
      <c r="A50" s="18">
        <f t="shared" si="4"/>
        <v>5.7999999999999972</v>
      </c>
      <c r="B50" s="1" t="s">
        <v>139</v>
      </c>
      <c r="C50" s="24">
        <f>C51/C19</f>
        <v>0.58422257451681847</v>
      </c>
      <c r="D50" s="24">
        <f>D51/D19</f>
        <v>0.62405182437433993</v>
      </c>
      <c r="E50" s="24">
        <f>E51/E19</f>
        <v>0.78896495655771615</v>
      </c>
      <c r="F50" s="24"/>
      <c r="G50" t="s">
        <v>228</v>
      </c>
    </row>
    <row r="51" spans="1:7" x14ac:dyDescent="0.3">
      <c r="A51" s="18"/>
      <c r="B51" s="3" t="s">
        <v>140</v>
      </c>
      <c r="C51" s="27">
        <f>('Financial Statements'!G93*'Financial Statements'!B25)+'Financial Statements'!B59-'Financial Statements'!B36</f>
        <v>76264.999100000001</v>
      </c>
      <c r="D51" s="27">
        <f>('Financial Statements'!G94*'Financial Statements'!C25)+'Financial Statements'!C59-'Financial Statements'!C36</f>
        <v>75031.623000000007</v>
      </c>
      <c r="E51" s="27">
        <f>('Financial Statements'!G95*'Financial Statements'!D25)+'Financial Statements'!D59-'Financial Statements'!D36</f>
        <v>61021.705600000001</v>
      </c>
      <c r="F51" s="27"/>
      <c r="G51" t="s">
        <v>234</v>
      </c>
    </row>
    <row r="53" spans="1:7" x14ac:dyDescent="0.3">
      <c r="B53" s="17" t="s">
        <v>149</v>
      </c>
      <c r="G53" t="s">
        <v>235</v>
      </c>
    </row>
    <row r="54" spans="1:7" x14ac:dyDescent="0.3">
      <c r="B54" s="1" t="s">
        <v>237</v>
      </c>
    </row>
    <row r="55" spans="1:7" x14ac:dyDescent="0.3">
      <c r="B55" s="1" t="s">
        <v>4</v>
      </c>
      <c r="C55" s="28">
        <f>('Financial Statements'!B6-'Financial Statements'!C6)/'Financial Statements'!B6</f>
        <v>5.9478366471747222E-2</v>
      </c>
      <c r="D55" s="28">
        <f>('Financial Statements'!C6-'Financial Statements'!D6)/'Financial Statements'!C6</f>
        <v>0.25772381234195946</v>
      </c>
      <c r="E55" s="28">
        <f>('Financial Statements'!C6-'Financial Statements'!D6)/'Financial Statements'!D6</f>
        <v>0.34720743656765435</v>
      </c>
      <c r="F55" s="28"/>
    </row>
    <row r="56" spans="1:7" x14ac:dyDescent="0.3">
      <c r="B56" s="1" t="s">
        <v>5</v>
      </c>
      <c r="C56" s="28">
        <f>('Financial Statements'!B7-'Financial Statements'!C7)/'Financial Statements'!B7</f>
        <v>0.12420484071215554</v>
      </c>
      <c r="D56" s="28">
        <f>('Financial Statements'!C7-'Financial Statements'!D7)/'Financial Statements'!C7</f>
        <v>0.21420533430763611</v>
      </c>
      <c r="E56" s="28">
        <f>('Financial Statements'!C7-'Financial Statements'!D7)/'Financial Statements'!D7</f>
        <v>0.27259708376729652</v>
      </c>
      <c r="F56" s="28"/>
    </row>
    <row r="57" spans="1:7" x14ac:dyDescent="0.3">
      <c r="B57" s="1" t="s">
        <v>236</v>
      </c>
      <c r="C57" s="28">
        <f>('Financial Statements'!B8-'Financial Statements'!C8)/'Financial Statements'!B8</f>
        <v>7.2302753038079967E-2</v>
      </c>
      <c r="D57" s="28">
        <f>('Financial Statements'!C8-'Financial Statements'!D8)/'Financial Statements'!C8</f>
        <v>0.24958380829759141</v>
      </c>
      <c r="E57" s="28">
        <f>('Financial Statements'!C8-'Financial Statements'!D8)/'Financial Statements'!D8</f>
        <v>0.33259384733074693</v>
      </c>
      <c r="F57" s="28"/>
    </row>
    <row r="58" spans="1:7" x14ac:dyDescent="0.3">
      <c r="B58" s="1" t="s">
        <v>89</v>
      </c>
      <c r="C58" s="28">
        <f>('Financial Statements'!B13-'Financial Statements'!C13)/'Financial Statements'!B13</f>
        <v>0.10508133175627409</v>
      </c>
      <c r="D58" s="28">
        <f>('Financial Statements'!C13-'Financial Statements'!D13)/'Financial Statements'!C13</f>
        <v>0.31327697662854304</v>
      </c>
      <c r="E58" s="28">
        <f>('Financial Statements'!C13-'Financial Statements'!D13)/'Financial Statements'!D13</f>
        <v>0.45619116582186819</v>
      </c>
      <c r="F58" s="28"/>
    </row>
    <row r="59" spans="1:7" x14ac:dyDescent="0.3">
      <c r="B59" s="1" t="s">
        <v>90</v>
      </c>
    </row>
    <row r="60" spans="1:7" x14ac:dyDescent="0.3">
      <c r="B60" s="1" t="s">
        <v>11</v>
      </c>
      <c r="C60" s="28">
        <f>('Financial Statements'!B15-'Financial Statements'!C15)/'Financial Statements'!B15</f>
        <v>0.16521275379985526</v>
      </c>
      <c r="D60" s="28">
        <f>('Financial Statements'!C15-'Financial Statements'!D15)/'Financial Statements'!C15</f>
        <v>0.14429132061695721</v>
      </c>
      <c r="E60" s="28">
        <f>('Financial Statements'!C15-'Financial Statements'!D15)/'Financial Statements'!D15</f>
        <v>0.16862201365187712</v>
      </c>
      <c r="F60" s="28"/>
    </row>
    <row r="61" spans="1:7" x14ac:dyDescent="0.3">
      <c r="B61" s="1" t="s">
        <v>12</v>
      </c>
      <c r="C61" s="28">
        <f>('Financial Statements'!B16-'Financial Statements'!C16)/'Financial Statements'!B16</f>
        <v>0.1243723599266757</v>
      </c>
      <c r="D61" s="28">
        <f>('Financial Statements'!C16-'Financial Statements'!D16)/'Financial Statements'!C16</f>
        <v>9.3614891002594097E-2</v>
      </c>
      <c r="E61" s="28">
        <f>('Financial Statements'!C16-'Financial Statements'!D16)/'Financial Statements'!D16</f>
        <v>0.10328379192608958</v>
      </c>
      <c r="F61" s="28"/>
    </row>
    <row r="62" spans="1:7" x14ac:dyDescent="0.3">
      <c r="B62" s="11" t="s">
        <v>91</v>
      </c>
      <c r="D62" s="28"/>
    </row>
    <row r="63" spans="1:7" x14ac:dyDescent="0.3">
      <c r="B63" t="s">
        <v>25</v>
      </c>
    </row>
    <row r="64" spans="1:7" x14ac:dyDescent="0.3">
      <c r="B64" s="1" t="s">
        <v>26</v>
      </c>
      <c r="C64" s="28">
        <f>('Financial Statements'!B36-'Financial Statements'!C36)/'Financial Statements'!B36</f>
        <v>-0.47762835151822719</v>
      </c>
      <c r="D64" s="28">
        <f>('Financial Statements'!C36-'Financial Statements'!D36)/'Financial Statements'!C36</f>
        <v>-8.8036634230108754E-2</v>
      </c>
      <c r="E64" s="28">
        <f>('Financial Statements'!C36-'Financial Statements'!D36)/'Financial Statements'!D36</f>
        <v>-8.0913299663299659E-2</v>
      </c>
      <c r="F64" s="28"/>
    </row>
    <row r="65" spans="2:6" x14ac:dyDescent="0.3">
      <c r="B65" s="1" t="s">
        <v>27</v>
      </c>
      <c r="C65" s="28">
        <f>('Financial Statements'!B37-'Financial Statements'!C37)/'Financial Statements'!B37</f>
        <v>-0.1233271149322735</v>
      </c>
      <c r="D65" s="28">
        <f>('Financial Statements'!C37-'Financial Statements'!D37)/'Financial Statements'!C37</f>
        <v>-0.91079100328531715</v>
      </c>
      <c r="E65" s="28">
        <f>('Financial Statements'!C37-'Financial Statements'!D37)/'Financial Statements'!D37</f>
        <v>-0.47665652691442933</v>
      </c>
      <c r="F65" s="28"/>
    </row>
    <row r="66" spans="2:6" x14ac:dyDescent="0.3">
      <c r="B66" s="1" t="s">
        <v>28</v>
      </c>
      <c r="C66" s="28">
        <f>('Financial Statements'!B38-'Financial Statements'!C38)/'Financial Statements'!B38</f>
        <v>6.7627022424070399E-2</v>
      </c>
      <c r="D66" s="28">
        <f>('Financial Statements'!C38-'Financial Statements'!D38)/'Financial Statements'!C38</f>
        <v>0.38655909886597156</v>
      </c>
      <c r="E66" s="28">
        <f>('Financial Statements'!C38-'Financial Statements'!D38)/'Financial Statements'!D38</f>
        <v>0.63014888337468977</v>
      </c>
      <c r="F66" s="28"/>
    </row>
    <row r="67" spans="2:6" x14ac:dyDescent="0.3">
      <c r="B67" s="1" t="s">
        <v>29</v>
      </c>
      <c r="C67" s="28">
        <f>('Financial Statements'!B39-'Financial Statements'!C39)/'Financial Statements'!B39</f>
        <v>-0.3303679741205014</v>
      </c>
      <c r="D67" s="28">
        <f>('Financial Statements'!C39-'Financial Statements'!D39)/'Financial Statements'!C39</f>
        <v>0.38282674772036474</v>
      </c>
      <c r="E67" s="28">
        <f>('Financial Statements'!C39-'Financial Statements'!D39)/'Financial Statements'!D39</f>
        <v>0.62029056882541245</v>
      </c>
      <c r="F67" s="28"/>
    </row>
    <row r="68" spans="2:6" x14ac:dyDescent="0.3">
      <c r="B68" s="1" t="s">
        <v>47</v>
      </c>
      <c r="C68" s="28">
        <f>('Financial Statements'!B40-'Financial Statements'!C40)/'Financial Statements'!B40</f>
        <v>0.22963234395993648</v>
      </c>
      <c r="D68" s="28">
        <f>('Financial Statements'!C40-'Financial Statements'!D40)/'Financial Statements'!C40</f>
        <v>0.15470905343269384</v>
      </c>
      <c r="E68" s="28">
        <f>('Financial Statements'!C40-'Financial Statements'!D40)/'Financial Statements'!D40</f>
        <v>0.18302461899179367</v>
      </c>
      <c r="F68" s="28"/>
    </row>
    <row r="69" spans="2:6" x14ac:dyDescent="0.3">
      <c r="B69" s="1" t="s">
        <v>30</v>
      </c>
      <c r="C69" s="28">
        <f>('Financial Statements'!B41-'Financial Statements'!C41)/'Financial Statements'!B41</f>
        <v>0.33510813739810585</v>
      </c>
      <c r="D69" s="28">
        <f>('Financial Statements'!C41-'Financial Statements'!D41)/'Financial Statements'!C41</f>
        <v>0.20175749415349728</v>
      </c>
      <c r="E69" s="28">
        <f>('Financial Statements'!C41-'Financial Statements'!D41)/'Financial Statements'!D41</f>
        <v>0.25275213068181818</v>
      </c>
      <c r="F69" s="28"/>
    </row>
    <row r="70" spans="2:6" x14ac:dyDescent="0.3">
      <c r="B70" t="s">
        <v>48</v>
      </c>
    </row>
    <row r="71" spans="2:6" x14ac:dyDescent="0.3">
      <c r="B71" s="1" t="s">
        <v>27</v>
      </c>
      <c r="C71" s="28">
        <f>('Financial Statements'!B44-'Financial Statements'!C44)/'Financial Statements'!B44</f>
        <v>-5.8540623318571253E-2</v>
      </c>
      <c r="D71" s="28">
        <f>('Financial Statements'!C44-'Financial Statements'!D44)/'Financial Statements'!C44</f>
        <v>0.21106219257567818</v>
      </c>
      <c r="E71" s="28">
        <f>('Financial Statements'!C44-'Financial Statements'!D44)/'Financial Statements'!D44</f>
        <v>0.26752703519779553</v>
      </c>
      <c r="F71" s="28"/>
    </row>
    <row r="72" spans="2:6" x14ac:dyDescent="0.3">
      <c r="B72" s="1" t="s">
        <v>32</v>
      </c>
      <c r="C72" s="28">
        <f>('Financial Statements'!B45-'Financial Statements'!C45)/'Financial Statements'!B45</f>
        <v>6.3561032362229028E-2</v>
      </c>
      <c r="D72" s="28">
        <f>('Financial Statements'!C45-'Financial Statements'!D45)/'Financial Statements'!C45</f>
        <v>6.7799188640973632E-2</v>
      </c>
      <c r="E72" s="28">
        <f>('Financial Statements'!C45-'Financial Statements'!D45)/'Financial Statements'!D45</f>
        <v>7.2730239895555673E-2</v>
      </c>
      <c r="F72" s="28"/>
    </row>
    <row r="73" spans="2:6" x14ac:dyDescent="0.3">
      <c r="B73" s="1" t="s">
        <v>49</v>
      </c>
      <c r="C73" s="28">
        <f>('Financial Statements'!B46-'Financial Statements'!C46)/'Financial Statements'!B46</f>
        <v>0.10250238847651943</v>
      </c>
      <c r="D73" s="28">
        <f>('Financial Statements'!C46-'Financial Statements'!D46)/'Financial Statements'!C46</f>
        <v>0.1295215869311552</v>
      </c>
      <c r="E73" s="28">
        <f>('Financial Statements'!C46-'Financial Statements'!D46)/'Financial Statements'!D46</f>
        <v>0.1487935656836461</v>
      </c>
      <c r="F73" s="28"/>
    </row>
    <row r="74" spans="2:6" x14ac:dyDescent="0.3">
      <c r="B74" t="s">
        <v>34</v>
      </c>
    </row>
    <row r="75" spans="2:6" x14ac:dyDescent="0.3">
      <c r="B75" s="1" t="s">
        <v>35</v>
      </c>
      <c r="C75" s="28">
        <f>('Financial Statements'!B51-'Financial Statements'!C51)/'Financial Statements'!B51</f>
        <v>0.14586290259689622</v>
      </c>
      <c r="D75" s="28">
        <f>('Financial Statements'!C51-'Financial Statements'!D51)/'Financial Statements'!C51</f>
        <v>0.2276537077954093</v>
      </c>
      <c r="E75" s="28">
        <f>('Financial Statements'!C51-'Financial Statements'!D51)/'Financial Statements'!D51</f>
        <v>0.29475600529600909</v>
      </c>
      <c r="F75" s="28"/>
    </row>
    <row r="76" spans="2:6" x14ac:dyDescent="0.3">
      <c r="B76" s="1" t="s">
        <v>36</v>
      </c>
      <c r="C76" s="28">
        <f>('Financial Statements'!B52-'Financial Statements'!C52)/'Financial Statements'!B52</f>
        <v>0.21944284657736873</v>
      </c>
      <c r="D76" s="28">
        <f>('Financial Statements'!C52-'Financial Statements'!D52)/'Financial Statements'!C52</f>
        <v>0.10125702735139916</v>
      </c>
      <c r="E76" s="28">
        <f>('Financial Statements'!C52-'Financial Statements'!D52)/'Financial Statements'!D52</f>
        <v>0.1126651672757942</v>
      </c>
      <c r="F76" s="28"/>
    </row>
    <row r="77" spans="2:6" x14ac:dyDescent="0.3">
      <c r="B77" s="1" t="s">
        <v>37</v>
      </c>
      <c r="C77" s="28">
        <f>('Financial Statements'!B53-'Financial Statements'!C53)/'Financial Statements'!B53</f>
        <v>3.7917087967644085E-2</v>
      </c>
      <c r="D77" s="28">
        <f>('Financial Statements'!C53-'Financial Statements'!D53)/'Financial Statements'!C53</f>
        <v>0.12729900157645824</v>
      </c>
      <c r="E77" s="28">
        <f>('Financial Statements'!C53-'Financial Statements'!D53)/'Financial Statements'!C53</f>
        <v>0.12729900157645824</v>
      </c>
      <c r="F77" s="28"/>
    </row>
    <row r="78" spans="2:6" x14ac:dyDescent="0.3">
      <c r="B78" s="1" t="s">
        <v>38</v>
      </c>
      <c r="C78" s="28">
        <f>('Financial Statements'!B54-'Financial Statements'!C54)/'Financial Statements'!B54</f>
        <v>0.39891805249449008</v>
      </c>
      <c r="D78" s="28">
        <f>('Financial Statements'!C54-'Financial Statements'!D54)/'Financial Statements'!C54</f>
        <v>0.16733333333333333</v>
      </c>
      <c r="E78" s="28">
        <f>('Financial Statements'!C54-'Financial Statements'!D54)/'Financial Statements'!D54</f>
        <v>0.20096076861489193</v>
      </c>
      <c r="F78" s="28"/>
    </row>
    <row r="79" spans="2:6" x14ac:dyDescent="0.3">
      <c r="B79" s="1" t="s">
        <v>39</v>
      </c>
      <c r="C79" s="28">
        <f>('Financial Statements'!B55-'Financial Statements'!C55)/'Financial Statements'!B55</f>
        <v>0.13614306254493169</v>
      </c>
      <c r="D79" s="28">
        <f>('Financial Statements'!C55-'Financial Statements'!D55)/'Financial Statements'!C55</f>
        <v>8.7381670654322272E-2</v>
      </c>
      <c r="E79" s="28">
        <f>('Financial Statements'!C55-'Financial Statements'!D55)/'Financial Statements'!D55</f>
        <v>9.5748318705117977E-2</v>
      </c>
      <c r="F79" s="28"/>
    </row>
    <row r="80" spans="2:6" x14ac:dyDescent="0.3">
      <c r="B80" t="s">
        <v>51</v>
      </c>
    </row>
    <row r="81" spans="2:6" x14ac:dyDescent="0.3">
      <c r="B81" s="1" t="s">
        <v>37</v>
      </c>
    </row>
    <row r="82" spans="2:6" x14ac:dyDescent="0.3">
      <c r="B82" s="1" t="s">
        <v>39</v>
      </c>
      <c r="C82" s="28">
        <f>('Financial Statements'!B59-'Financial Statements'!C59)/'Financial Statements'!B59</f>
        <v>-0.10253741448478663</v>
      </c>
      <c r="D82" s="28">
        <f>('Financial Statements'!C59-'Financial Statements'!D59)/'Financial Statements'!C59</f>
        <v>9.5677597932286029E-2</v>
      </c>
      <c r="E82" s="28">
        <f>('Financial Statements'!C59-'Financial Statements'!D59)/'Financial Statements'!D59</f>
        <v>0.1058003182421681</v>
      </c>
      <c r="F82" s="28"/>
    </row>
    <row r="83" spans="2:6" x14ac:dyDescent="0.3">
      <c r="B83" s="1" t="s">
        <v>52</v>
      </c>
      <c r="C83" s="28">
        <f>('Financial Statements'!B60-'Financial Statements'!C60)/'Financial Statements'!B60</f>
        <v>-8.5120670709372834E-2</v>
      </c>
      <c r="D83" s="28">
        <f>('Financial Statements'!C60-'Financial Statements'!D60)/'Financial Statements'!C60</f>
        <v>-2.1847163619315518E-2</v>
      </c>
      <c r="E83" s="28">
        <f>('Financial Statements'!C60-'Financial Statements'!D60)/'Financial Statements'!D60</f>
        <v>-2.1380069737566527E-2</v>
      </c>
      <c r="F83" s="28"/>
    </row>
    <row r="85" spans="2:6" x14ac:dyDescent="0.3">
      <c r="B85" s="17" t="s">
        <v>92</v>
      </c>
    </row>
    <row r="86" spans="2:6" x14ac:dyDescent="0.3">
      <c r="B86" s="1" t="s">
        <v>146</v>
      </c>
      <c r="C86" s="28">
        <f>'Financial Statements'!B12/'Financial Statements'!B8</f>
        <v>0.56690369438639909</v>
      </c>
      <c r="D86" s="28">
        <f>'Financial Statements'!C12/'Financial Statements'!C8</f>
        <v>0.58220640374832222</v>
      </c>
      <c r="E86" s="28">
        <f>'Financial Statements'!D12/'Financial Statements'!D8</f>
        <v>0.61766752272189129</v>
      </c>
      <c r="F86" s="28"/>
    </row>
    <row r="87" spans="2:6" x14ac:dyDescent="0.3">
      <c r="B87" s="1" t="s">
        <v>89</v>
      </c>
      <c r="C87" s="28">
        <f>'Financial Statements'!B13/'Financial Statements'!B8</f>
        <v>0.43309630561360085</v>
      </c>
      <c r="D87" s="28">
        <f>'Financial Statements'!C13/'Financial Statements'!C8</f>
        <v>0.41779359625167778</v>
      </c>
      <c r="E87" s="28">
        <f>'Financial Statements'!D13/'Financial Statements'!D8</f>
        <v>0.38233247727810865</v>
      </c>
      <c r="F87" s="28"/>
    </row>
    <row r="88" spans="2:6" x14ac:dyDescent="0.3">
      <c r="B88" s="1" t="s">
        <v>90</v>
      </c>
    </row>
    <row r="89" spans="2:6" x14ac:dyDescent="0.3">
      <c r="B89" s="1" t="s">
        <v>11</v>
      </c>
      <c r="C89" s="28">
        <f>'Financial Statements'!B15/'Financial Statements'!B8</f>
        <v>6.657148363798665E-2</v>
      </c>
      <c r="D89" s="28">
        <f>'Financial Statements'!C15/'Financial Statements'!C8</f>
        <v>5.9904269074427925E-2</v>
      </c>
      <c r="E89" s="28">
        <f>'Financial Statements'!D15/'Financial Statements'!D8</f>
        <v>6.8309564140393061E-2</v>
      </c>
      <c r="F89" s="28"/>
    </row>
    <row r="90" spans="2:6" x14ac:dyDescent="0.3">
      <c r="B90" s="1" t="s">
        <v>12</v>
      </c>
      <c r="C90" s="28">
        <f>'Financial Statements'!B16/'Financial Statements'!B8</f>
        <v>6.3637378020328261E-2</v>
      </c>
      <c r="D90" s="28">
        <f>'Financial Statements'!C16/'Financial Statements'!C8</f>
        <v>6.006555190163388E-2</v>
      </c>
      <c r="E90" s="28">
        <f>'Financial Statements'!D16/'Financial Statements'!D8</f>
        <v>7.2549769593646979E-2</v>
      </c>
      <c r="F90" s="28"/>
    </row>
    <row r="91" spans="2:6" x14ac:dyDescent="0.3">
      <c r="B91" s="1" t="s">
        <v>14</v>
      </c>
      <c r="C91" s="28">
        <f>'Financial Statements'!B18/'Financial Statements'!B8</f>
        <v>0.30288744395528594</v>
      </c>
      <c r="D91" s="28">
        <f>'Financial Statements'!C18/'Financial Statements'!C8</f>
        <v>0.29782377527561593</v>
      </c>
      <c r="E91" s="28">
        <f>'Financial Statements'!D18/'Financial Statements'!D8</f>
        <v>0.24147314354406862</v>
      </c>
      <c r="F91" s="28"/>
    </row>
    <row r="92" spans="2:6" x14ac:dyDescent="0.3">
      <c r="B92" s="1" t="s">
        <v>93</v>
      </c>
      <c r="C92" s="28">
        <f>'Financial Statements'!B22/'Financial Statements'!B8</f>
        <v>0.25309640705199732</v>
      </c>
      <c r="D92" s="28">
        <f>'Financial Statements'!C22/'Financial Statements'!C8</f>
        <v>0.25881793355694238</v>
      </c>
      <c r="E92" s="28">
        <f>'Financial Statements'!D22/'Financial Statements'!D8</f>
        <v>0.20913611278072236</v>
      </c>
      <c r="F92" s="28"/>
    </row>
    <row r="93" spans="2:6" x14ac:dyDescent="0.3">
      <c r="B93" s="1"/>
    </row>
    <row r="94" spans="2:6" x14ac:dyDescent="0.3">
      <c r="B94" s="17" t="s">
        <v>98</v>
      </c>
    </row>
    <row r="95" spans="2:6" x14ac:dyDescent="0.3">
      <c r="B95" s="1" t="s">
        <v>94</v>
      </c>
      <c r="C95" s="27">
        <f>'Financial Statements'!B21/'Financial Statements'!B20</f>
        <v>0.16204461684424407</v>
      </c>
      <c r="D95" s="27">
        <f>'Financial Statements'!C21/'Financial Statements'!C20</f>
        <v>0.13302260844085087</v>
      </c>
      <c r="E95" s="27">
        <f>'Financial Statements'!D21/'Financial Statements'!D20</f>
        <v>0.14428164731484103</v>
      </c>
      <c r="F95" s="27"/>
    </row>
    <row r="96" spans="2:6" x14ac:dyDescent="0.3">
      <c r="B96" s="1" t="s">
        <v>95</v>
      </c>
      <c r="C96" s="28">
        <f>'Financial Statements'!B96/'Financial Statements'!B8</f>
        <v>-2.7155058732831552E-2</v>
      </c>
      <c r="D96" s="28">
        <f>'Financial Statements'!C96/'Financial Statements'!C8</f>
        <v>-3.0302036264033657E-2</v>
      </c>
      <c r="E96" s="28">
        <f>'Financial Statements'!D96/'Financial Statements'!D8</f>
        <v>-2.6625138881299748E-2</v>
      </c>
      <c r="F96" t="s">
        <v>240</v>
      </c>
    </row>
    <row r="97" spans="2:6" x14ac:dyDescent="0.3">
      <c r="B97" s="1" t="s">
        <v>96</v>
      </c>
      <c r="C97" s="28">
        <f>'Financial Statements'!B96/'Financial Statements'!B45</f>
        <v>-0.25424412944891611</v>
      </c>
      <c r="D97" s="28">
        <f>'Financial Statements'!C96/'Financial Statements'!C45</f>
        <v>-0.28105983772819471</v>
      </c>
      <c r="E97" s="28">
        <f>'Financial Statements'!D96/'Financial Statements'!D45</f>
        <v>-0.19879780231735844</v>
      </c>
      <c r="F97" t="s">
        <v>240</v>
      </c>
    </row>
  </sheetData>
  <mergeCells count="1">
    <mergeCell ref="C2:E2"/>
  </mergeCells>
  <pageMargins left="0.7" right="0.7" top="0.75" bottom="0.75" header="0.3" footer="0.3"/>
  <pageSetup paperSize="9" orientation="portrait" horizontalDpi="300" verticalDpi="300" r:id="rId1"/>
  <ignoredErrors>
    <ignoredError sqref="C19: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91" sqref="D91"/>
    </sheetView>
  </sheetViews>
  <sheetFormatPr defaultRowHeight="14.4" x14ac:dyDescent="0.3"/>
  <cols>
    <col min="1" max="1" width="138.44140625" bestFit="1" customWidth="1"/>
    <col min="2" max="3" width="11.5546875" bestFit="1" customWidth="1"/>
    <col min="4" max="4" width="11.6640625" bestFit="1" customWidth="1"/>
    <col min="5" max="5" width="9.109375" bestFit="1" customWidth="1"/>
    <col min="6" max="6" width="38.5546875" bestFit="1" customWidth="1"/>
    <col min="7" max="7" width="17.554687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33" t="s">
        <v>1</v>
      </c>
      <c r="B2" s="33"/>
      <c r="C2" s="33"/>
      <c r="D2" s="33"/>
    </row>
    <row r="3" spans="1:10" x14ac:dyDescent="0.3">
      <c r="B3" s="32" t="s">
        <v>23</v>
      </c>
      <c r="C3" s="32"/>
      <c r="D3" s="32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  <c r="F6" s="23"/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  <c r="G9" t="s">
        <v>204</v>
      </c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  <c r="F10" s="12">
        <v>2022</v>
      </c>
      <c r="G10" s="23">
        <f>B56-B42</f>
        <v>18577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  <c r="F11" s="12">
        <v>2021</v>
      </c>
      <c r="G11" s="23">
        <f>C56-C42</f>
        <v>-9355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  <c r="F12" s="23">
        <v>2020</v>
      </c>
      <c r="G12" s="23">
        <f>D56-D42</f>
        <v>-38321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  <c r="F13" s="23"/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  <c r="F15" s="23"/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7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  <c r="F17" s="24"/>
    </row>
    <row r="18" spans="1:7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7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7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  <c r="G20" t="s">
        <v>156</v>
      </c>
    </row>
    <row r="21" spans="1:7" x14ac:dyDescent="0.3">
      <c r="A21" t="s">
        <v>17</v>
      </c>
      <c r="B21" s="12">
        <v>19300</v>
      </c>
      <c r="C21" s="12">
        <v>14527</v>
      </c>
      <c r="D21" s="12">
        <v>9680</v>
      </c>
      <c r="F21" s="12">
        <v>2022</v>
      </c>
      <c r="G21">
        <f>G31/B65</f>
        <v>-0.4959983962744221</v>
      </c>
    </row>
    <row r="22" spans="1:7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  <c r="F22">
        <v>2021</v>
      </c>
      <c r="G22">
        <f>G32/C65</f>
        <v>-0.93954501873964957</v>
      </c>
    </row>
    <row r="23" spans="1:7" ht="15" thickTop="1" x14ac:dyDescent="0.3">
      <c r="A23" t="s">
        <v>19</v>
      </c>
      <c r="F23">
        <v>2020</v>
      </c>
      <c r="G23">
        <f>G33/D65</f>
        <v>-5.5618464325803973</v>
      </c>
    </row>
    <row r="24" spans="1:7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7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7" x14ac:dyDescent="0.3">
      <c r="A26" t="s">
        <v>22</v>
      </c>
    </row>
    <row r="27" spans="1:7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7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0" spans="1:7" x14ac:dyDescent="0.3">
      <c r="G30" t="s">
        <v>123</v>
      </c>
    </row>
    <row r="31" spans="1:7" x14ac:dyDescent="0.3">
      <c r="A31" s="33" t="s">
        <v>24</v>
      </c>
      <c r="B31" s="33"/>
      <c r="C31" s="33"/>
      <c r="D31" s="33"/>
      <c r="F31">
        <v>2022</v>
      </c>
      <c r="G31" s="23">
        <f>B22+B79-G46-G39+G52</f>
        <v>-32165</v>
      </c>
    </row>
    <row r="32" spans="1:7" x14ac:dyDescent="0.3">
      <c r="B32" s="32" t="s">
        <v>142</v>
      </c>
      <c r="C32" s="32"/>
      <c r="D32" s="32"/>
      <c r="F32">
        <v>2021</v>
      </c>
      <c r="G32" s="23">
        <f>C22+C79-G47-G40+G53</f>
        <v>-53897</v>
      </c>
    </row>
    <row r="33" spans="1:1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  <c r="F33">
        <v>2020</v>
      </c>
      <c r="G33" s="23">
        <f>D22+D79-G48-G41+G54</f>
        <v>-282425</v>
      </c>
    </row>
    <row r="35" spans="1:14" x14ac:dyDescent="0.3">
      <c r="A35" t="s">
        <v>25</v>
      </c>
    </row>
    <row r="36" spans="1:1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1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14" x14ac:dyDescent="0.3">
      <c r="A38" s="1" t="s">
        <v>28</v>
      </c>
      <c r="B38" s="12">
        <v>28184</v>
      </c>
      <c r="C38" s="12">
        <v>26278</v>
      </c>
      <c r="D38" s="12">
        <v>16120</v>
      </c>
      <c r="G38" t="s">
        <v>155</v>
      </c>
    </row>
    <row r="39" spans="1:14" x14ac:dyDescent="0.3">
      <c r="A39" s="1" t="s">
        <v>29</v>
      </c>
      <c r="B39" s="12">
        <v>4946</v>
      </c>
      <c r="C39" s="12">
        <v>6580</v>
      </c>
      <c r="D39" s="12">
        <v>4061</v>
      </c>
      <c r="F39" s="12">
        <v>2022</v>
      </c>
      <c r="G39" s="23">
        <f>(B45-B96)+B79</f>
        <v>63929</v>
      </c>
      <c r="L39" t="s">
        <v>150</v>
      </c>
      <c r="M39" t="s">
        <v>151</v>
      </c>
      <c r="N39" t="s">
        <v>203</v>
      </c>
    </row>
    <row r="40" spans="1:14" x14ac:dyDescent="0.3">
      <c r="A40" s="1" t="s">
        <v>47</v>
      </c>
      <c r="B40" s="12">
        <v>32748</v>
      </c>
      <c r="C40" s="12">
        <v>25228</v>
      </c>
      <c r="D40" s="12">
        <v>21325</v>
      </c>
      <c r="F40" s="12">
        <v>2021</v>
      </c>
      <c r="G40" s="23">
        <f>(C45-C96)+C79</f>
        <v>61809</v>
      </c>
      <c r="K40" s="12">
        <v>2022</v>
      </c>
      <c r="L40" s="23">
        <f>(B39/B12)*365</f>
        <v>8.0756980666171607</v>
      </c>
      <c r="M40">
        <f>(B38/B8)*365</f>
        <v>26.087825363656648</v>
      </c>
      <c r="N40">
        <f>AVERAGE(B51+B88)/B12*365</f>
        <v>120.11172197221153</v>
      </c>
    </row>
    <row r="41" spans="1:14" x14ac:dyDescent="0.3">
      <c r="A41" s="1" t="s">
        <v>30</v>
      </c>
      <c r="B41" s="12">
        <v>21223</v>
      </c>
      <c r="C41" s="12">
        <v>14111</v>
      </c>
      <c r="D41" s="12">
        <v>11264</v>
      </c>
      <c r="F41" s="12">
        <v>2020</v>
      </c>
      <c r="G41" s="23">
        <f>(D45-D96)+D79</f>
        <v>55131</v>
      </c>
      <c r="K41" s="12">
        <v>2021</v>
      </c>
      <c r="L41">
        <f>(C39/C12)*365</f>
        <v>11.27659274770989</v>
      </c>
      <c r="M41">
        <f>(C38/C8)*365</f>
        <v>26.219311841713207</v>
      </c>
      <c r="N41">
        <f>AVERAGE(C51+C88)/C12*365</f>
        <v>114.97497429348157</v>
      </c>
    </row>
    <row r="42" spans="1:1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  <c r="K42">
        <v>2020</v>
      </c>
      <c r="L42" s="23">
        <f>(D39/D12)*365</f>
        <v>8.7418833562358831</v>
      </c>
      <c r="M42">
        <f>(D38/D8)*365</f>
        <v>21.433437152796749</v>
      </c>
      <c r="N42">
        <f>AVERAGE(D51+D88)/D12*365</f>
        <v>82.304153716405509</v>
      </c>
    </row>
    <row r="43" spans="1:14" x14ac:dyDescent="0.3">
      <c r="A43" t="s">
        <v>48</v>
      </c>
      <c r="B43" s="12"/>
      <c r="C43" s="12"/>
      <c r="D43" s="12"/>
      <c r="L43" s="24"/>
    </row>
    <row r="44" spans="1:1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14" x14ac:dyDescent="0.3">
      <c r="A45" s="1" t="s">
        <v>32</v>
      </c>
      <c r="B45" s="12">
        <v>42117</v>
      </c>
      <c r="C45" s="12">
        <v>39440</v>
      </c>
      <c r="D45" s="12">
        <v>36766</v>
      </c>
      <c r="G45" t="s">
        <v>153</v>
      </c>
      <c r="L45" s="24"/>
    </row>
    <row r="46" spans="1:14" x14ac:dyDescent="0.3">
      <c r="A46" s="1" t="s">
        <v>49</v>
      </c>
      <c r="B46" s="12">
        <v>54428</v>
      </c>
      <c r="C46" s="12">
        <v>48849</v>
      </c>
      <c r="D46" s="12">
        <v>42522</v>
      </c>
      <c r="F46" s="12">
        <v>2022</v>
      </c>
      <c r="G46" s="23">
        <f>B48-B56</f>
        <v>198773</v>
      </c>
      <c r="L46" s="23">
        <f>L40+M40-H10</f>
        <v>34.163523430273813</v>
      </c>
    </row>
    <row r="47" spans="1:1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  <c r="F47">
        <v>2021</v>
      </c>
      <c r="G47" s="23">
        <f>C48-C56</f>
        <v>225521</v>
      </c>
    </row>
    <row r="48" spans="1:1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  <c r="F48">
        <v>2020</v>
      </c>
      <c r="G48" s="23">
        <f>D48-D56</f>
        <v>218496</v>
      </c>
      <c r="K48" s="7"/>
      <c r="L48" s="7"/>
      <c r="M48" s="7"/>
    </row>
    <row r="49" spans="1:13" ht="15" thickTop="1" x14ac:dyDescent="0.3">
      <c r="G49" s="2"/>
      <c r="L49">
        <f>L41+M41-H11</f>
        <v>37.495904589423098</v>
      </c>
    </row>
    <row r="50" spans="1:13" x14ac:dyDescent="0.3">
      <c r="A50" t="s">
        <v>34</v>
      </c>
    </row>
    <row r="51" spans="1:13" x14ac:dyDescent="0.3">
      <c r="A51" s="1" t="s">
        <v>35</v>
      </c>
      <c r="B51" s="12">
        <v>64115</v>
      </c>
      <c r="C51" s="12">
        <v>54763</v>
      </c>
      <c r="D51" s="12">
        <v>42296</v>
      </c>
      <c r="F51" s="12"/>
      <c r="G51" s="2" t="s">
        <v>154</v>
      </c>
      <c r="L51" s="23">
        <f>L42+M42-H12</f>
        <v>30.17532050903263</v>
      </c>
    </row>
    <row r="52" spans="1:13" x14ac:dyDescent="0.3">
      <c r="A52" s="1" t="s">
        <v>36</v>
      </c>
      <c r="B52" s="12">
        <v>60845</v>
      </c>
      <c r="C52" s="12">
        <v>47493</v>
      </c>
      <c r="D52" s="12">
        <v>42684</v>
      </c>
      <c r="F52" s="12">
        <v>2022</v>
      </c>
      <c r="G52" s="23">
        <f>(B55+B59)-B105</f>
        <v>119630</v>
      </c>
    </row>
    <row r="53" spans="1:13" x14ac:dyDescent="0.3">
      <c r="A53" s="1" t="s">
        <v>37</v>
      </c>
      <c r="B53" s="12">
        <v>7912</v>
      </c>
      <c r="C53" s="12">
        <v>7612</v>
      </c>
      <c r="D53" s="12">
        <v>6643</v>
      </c>
      <c r="F53" s="12">
        <v>2021</v>
      </c>
      <c r="G53" s="12">
        <f>(C55+C59)-C105</f>
        <v>127469</v>
      </c>
      <c r="L53" s="23"/>
    </row>
    <row r="54" spans="1:13" x14ac:dyDescent="0.3">
      <c r="A54" s="1" t="s">
        <v>38</v>
      </c>
      <c r="B54" s="12">
        <v>9982</v>
      </c>
      <c r="C54" s="12">
        <v>6000</v>
      </c>
      <c r="D54" s="12">
        <v>4996</v>
      </c>
      <c r="F54" s="12">
        <v>2020</v>
      </c>
      <c r="G54" s="23">
        <f>(D55-D59)-D105</f>
        <v>-77265</v>
      </c>
      <c r="M54" t="s">
        <v>152</v>
      </c>
    </row>
    <row r="55" spans="1:13" x14ac:dyDescent="0.3">
      <c r="A55" s="1" t="s">
        <v>39</v>
      </c>
      <c r="B55" s="12">
        <v>11128</v>
      </c>
      <c r="C55" s="12">
        <v>9613</v>
      </c>
      <c r="D55" s="12">
        <v>8773</v>
      </c>
      <c r="F55" s="23"/>
      <c r="K55" s="25"/>
      <c r="L55" s="25">
        <v>2022</v>
      </c>
      <c r="M55" s="23">
        <f>B42-B56</f>
        <v>-18577</v>
      </c>
    </row>
    <row r="56" spans="1:13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  <c r="L56">
        <v>2021</v>
      </c>
      <c r="M56" s="23">
        <f>C42-C56</f>
        <v>9355</v>
      </c>
    </row>
    <row r="57" spans="1:13" x14ac:dyDescent="0.3">
      <c r="A57" t="s">
        <v>51</v>
      </c>
      <c r="B57" s="12"/>
      <c r="C57" s="12"/>
      <c r="D57" s="12"/>
      <c r="L57" s="2">
        <v>2020</v>
      </c>
      <c r="M57" s="23">
        <f>D42-D56</f>
        <v>38321</v>
      </c>
    </row>
    <row r="58" spans="1:13" x14ac:dyDescent="0.3">
      <c r="A58" s="1" t="s">
        <v>37</v>
      </c>
      <c r="B58" s="12"/>
      <c r="C58" s="12"/>
      <c r="D58" s="12"/>
    </row>
    <row r="59" spans="1:13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13" x14ac:dyDescent="0.3">
      <c r="A60" s="1" t="s">
        <v>52</v>
      </c>
      <c r="B60" s="12">
        <v>49142</v>
      </c>
      <c r="C60" s="12">
        <v>53325</v>
      </c>
      <c r="D60" s="12">
        <v>54490</v>
      </c>
      <c r="G60" t="s">
        <v>125</v>
      </c>
      <c r="L60">
        <f>(M57/D8)*100</f>
        <v>13.959528623208204</v>
      </c>
    </row>
    <row r="61" spans="1:13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  <c r="F61">
        <v>2022</v>
      </c>
      <c r="G61">
        <f>B8/(AVERAGE(B91+B48))</f>
        <v>0.83032852817189085</v>
      </c>
    </row>
    <row r="62" spans="1:13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  <c r="F62">
        <v>2021</v>
      </c>
      <c r="G62">
        <f>C8/(AVERAGE(C91+C48))</f>
        <v>0.80392273206751053</v>
      </c>
    </row>
    <row r="63" spans="1:13" x14ac:dyDescent="0.3">
      <c r="B63" s="12"/>
      <c r="C63" s="12"/>
      <c r="D63" s="12"/>
      <c r="F63">
        <v>2020</v>
      </c>
      <c r="G63">
        <f>D8/(AVERAGE(D91+D48))</f>
        <v>0.67854865261690422</v>
      </c>
    </row>
    <row r="64" spans="1:13" x14ac:dyDescent="0.3">
      <c r="A64" t="s">
        <v>42</v>
      </c>
      <c r="B64" s="12"/>
      <c r="C64" s="12"/>
      <c r="D64" s="12"/>
    </row>
    <row r="65" spans="1:8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8" x14ac:dyDescent="0.3">
      <c r="A66" s="1" t="s">
        <v>43</v>
      </c>
      <c r="B66" s="12">
        <v>-3068</v>
      </c>
      <c r="C66" s="12">
        <v>5562</v>
      </c>
      <c r="D66" s="12">
        <v>14966</v>
      </c>
      <c r="G66" t="s">
        <v>126</v>
      </c>
    </row>
    <row r="67" spans="1:8" x14ac:dyDescent="0.3">
      <c r="A67" s="1" t="s">
        <v>44</v>
      </c>
      <c r="B67" s="12">
        <v>-11109</v>
      </c>
      <c r="C67" s="12">
        <v>163</v>
      </c>
      <c r="D67" s="12">
        <v>-406</v>
      </c>
      <c r="F67" s="12">
        <v>2022</v>
      </c>
      <c r="G67">
        <f>B22/(AVERAGE(B45+B96))</f>
        <v>3.1775287338024132</v>
      </c>
    </row>
    <row r="68" spans="1:8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  <c r="F68">
        <v>2021</v>
      </c>
      <c r="G68">
        <f>C22/(AVERAGE(C45+C96))</f>
        <v>3.3390936342796684</v>
      </c>
    </row>
    <row r="69" spans="1:8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  <c r="F69">
        <v>2020</v>
      </c>
      <c r="G69">
        <f>D22/(AVERAGE(D45+D96))</f>
        <v>1.9489764741827069</v>
      </c>
    </row>
    <row r="70" spans="1:8" ht="15" thickTop="1" x14ac:dyDescent="0.3"/>
    <row r="71" spans="1:8" x14ac:dyDescent="0.3">
      <c r="A71" s="33" t="s">
        <v>55</v>
      </c>
      <c r="B71" s="33"/>
      <c r="C71" s="33"/>
      <c r="D71" s="33"/>
    </row>
    <row r="72" spans="1:8" x14ac:dyDescent="0.3">
      <c r="B72" s="32" t="s">
        <v>23</v>
      </c>
      <c r="C72" s="32"/>
      <c r="D72" s="32"/>
    </row>
    <row r="73" spans="1:8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  <c r="F73" s="2"/>
      <c r="G73" t="s">
        <v>127</v>
      </c>
      <c r="H73" s="2"/>
    </row>
    <row r="74" spans="1:8" x14ac:dyDescent="0.3">
      <c r="F74">
        <v>2022</v>
      </c>
      <c r="G74">
        <f>B12/(AVERAGE(B85+B39))</f>
        <v>34.76609642301711</v>
      </c>
    </row>
    <row r="75" spans="1:8" x14ac:dyDescent="0.3">
      <c r="A75" s="7" t="s">
        <v>56</v>
      </c>
      <c r="B75" s="15"/>
      <c r="C75" s="15"/>
      <c r="D75" s="15"/>
      <c r="F75" s="12">
        <v>2021</v>
      </c>
      <c r="G75">
        <f>C12/(AVERAGE(C85+C39))</f>
        <v>54.083544946673442</v>
      </c>
      <c r="H75" s="12"/>
    </row>
    <row r="76" spans="1:8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  <c r="F76">
        <v>2020</v>
      </c>
      <c r="G76" s="23">
        <f>D12/(AVERAGE(D85+D39))</f>
        <v>43.10091509913574</v>
      </c>
    </row>
    <row r="77" spans="1:8" x14ac:dyDescent="0.3">
      <c r="A77" s="11" t="s">
        <v>18</v>
      </c>
      <c r="B77" s="15"/>
      <c r="C77" s="15"/>
      <c r="D77" s="15"/>
      <c r="F77" s="12"/>
      <c r="G77" s="23"/>
      <c r="H77" s="12"/>
    </row>
    <row r="78" spans="1:8" x14ac:dyDescent="0.3">
      <c r="A78" s="1" t="s">
        <v>58</v>
      </c>
      <c r="B78" s="12"/>
      <c r="C78" s="12"/>
      <c r="D78" s="12"/>
      <c r="G78" s="23"/>
    </row>
    <row r="79" spans="1:8" x14ac:dyDescent="0.3">
      <c r="A79" s="3" t="s">
        <v>59</v>
      </c>
      <c r="B79" s="12">
        <v>11104</v>
      </c>
      <c r="C79" s="12">
        <v>11284</v>
      </c>
      <c r="D79" s="12">
        <v>11056</v>
      </c>
      <c r="G79" t="s">
        <v>157</v>
      </c>
    </row>
    <row r="80" spans="1:8" x14ac:dyDescent="0.3">
      <c r="A80" s="3" t="s">
        <v>83</v>
      </c>
      <c r="B80" s="12">
        <v>9038</v>
      </c>
      <c r="C80" s="12">
        <v>7906</v>
      </c>
      <c r="D80" s="12">
        <v>6829</v>
      </c>
      <c r="F80" s="12">
        <v>2022</v>
      </c>
      <c r="G80">
        <f>B76/(AVERAGE(F88+B48))</f>
        <v>0.26606825325310646</v>
      </c>
    </row>
    <row r="81" spans="1:7" x14ac:dyDescent="0.3">
      <c r="A81" s="3" t="s">
        <v>60</v>
      </c>
      <c r="B81" s="12">
        <v>895</v>
      </c>
      <c r="C81" s="12">
        <v>-4774</v>
      </c>
      <c r="D81" s="12">
        <v>-215</v>
      </c>
      <c r="F81" s="12">
        <v>2021</v>
      </c>
      <c r="G81">
        <f>C76/(AVERAGE(F89+C48))</f>
        <v>0.26273726273726272</v>
      </c>
    </row>
    <row r="82" spans="1:7" x14ac:dyDescent="0.3">
      <c r="A82" s="3" t="s">
        <v>61</v>
      </c>
      <c r="B82" s="12">
        <v>111</v>
      </c>
      <c r="C82" s="12">
        <v>-147</v>
      </c>
      <c r="D82" s="12">
        <v>-97</v>
      </c>
      <c r="F82" s="12">
        <v>2020</v>
      </c>
      <c r="G82">
        <f>D76/(AVERAGE(F90+D48))</f>
        <v>0.16537760225377429</v>
      </c>
    </row>
    <row r="83" spans="1:7" x14ac:dyDescent="0.3">
      <c r="A83" t="s">
        <v>62</v>
      </c>
      <c r="B83" s="12"/>
      <c r="C83" s="12"/>
      <c r="D83" s="12"/>
    </row>
    <row r="84" spans="1:7" x14ac:dyDescent="0.3">
      <c r="A84" s="1" t="s">
        <v>28</v>
      </c>
      <c r="B84" s="12">
        <v>-1823</v>
      </c>
      <c r="C84" s="12">
        <v>-10125</v>
      </c>
      <c r="D84" s="12">
        <v>6917</v>
      </c>
      <c r="F84" s="23"/>
    </row>
    <row r="85" spans="1:7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7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7" x14ac:dyDescent="0.3">
      <c r="A87" s="1" t="s">
        <v>84</v>
      </c>
      <c r="B87" s="12">
        <v>-6499</v>
      </c>
      <c r="C87" s="12">
        <v>-8042</v>
      </c>
      <c r="D87" s="12">
        <v>-9588</v>
      </c>
      <c r="F87" s="23" t="s">
        <v>158</v>
      </c>
    </row>
    <row r="88" spans="1:7" x14ac:dyDescent="0.3">
      <c r="A88" s="1" t="s">
        <v>35</v>
      </c>
      <c r="B88" s="12">
        <v>9448</v>
      </c>
      <c r="C88" s="12">
        <v>12326</v>
      </c>
      <c r="D88" s="12">
        <v>-4062</v>
      </c>
      <c r="F88" s="12">
        <f>SUM(B79:B90)</f>
        <v>22348</v>
      </c>
    </row>
    <row r="89" spans="1:7" x14ac:dyDescent="0.3">
      <c r="A89" s="1" t="s">
        <v>37</v>
      </c>
      <c r="B89" s="12">
        <v>478</v>
      </c>
      <c r="C89" s="12">
        <v>1676</v>
      </c>
      <c r="D89" s="12">
        <v>2081</v>
      </c>
      <c r="F89" s="12">
        <f>SUM(C79:C90)</f>
        <v>9358</v>
      </c>
    </row>
    <row r="90" spans="1:7" x14ac:dyDescent="0.3">
      <c r="A90" s="1" t="s">
        <v>85</v>
      </c>
      <c r="B90" s="12">
        <v>5632</v>
      </c>
      <c r="C90" s="12">
        <v>5799</v>
      </c>
      <c r="D90" s="12">
        <v>8916</v>
      </c>
      <c r="F90" s="23">
        <f>SUM(D79:D90)</f>
        <v>23263</v>
      </c>
    </row>
    <row r="91" spans="1:7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7" x14ac:dyDescent="0.3">
      <c r="A92" s="7" t="s">
        <v>64</v>
      </c>
      <c r="B92" s="12"/>
      <c r="C92" s="12"/>
      <c r="D92" s="12"/>
      <c r="G92" t="s">
        <v>159</v>
      </c>
    </row>
    <row r="93" spans="1:7" x14ac:dyDescent="0.3">
      <c r="A93" s="1" t="s">
        <v>65</v>
      </c>
      <c r="B93" s="12">
        <v>-76923</v>
      </c>
      <c r="C93" s="12">
        <v>-109558</v>
      </c>
      <c r="D93" s="12">
        <v>-114938</v>
      </c>
      <c r="F93" s="12">
        <v>2022</v>
      </c>
      <c r="G93" s="26">
        <v>155.81</v>
      </c>
    </row>
    <row r="94" spans="1:7" x14ac:dyDescent="0.3">
      <c r="A94" s="1" t="s">
        <v>66</v>
      </c>
      <c r="B94" s="12">
        <v>29917</v>
      </c>
      <c r="C94" s="12">
        <v>59023</v>
      </c>
      <c r="D94" s="12">
        <v>69918</v>
      </c>
      <c r="F94" s="12">
        <v>2021</v>
      </c>
      <c r="G94" s="26">
        <v>154.30000000000001</v>
      </c>
    </row>
    <row r="95" spans="1:7" x14ac:dyDescent="0.3">
      <c r="A95" s="1" t="s">
        <v>67</v>
      </c>
      <c r="B95" s="12">
        <v>37446</v>
      </c>
      <c r="C95" s="12">
        <v>47460</v>
      </c>
      <c r="D95" s="12">
        <v>50473</v>
      </c>
      <c r="F95" s="12">
        <v>2020</v>
      </c>
      <c r="G95" s="26">
        <v>113.02</v>
      </c>
    </row>
    <row r="96" spans="1:7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7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7" x14ac:dyDescent="0.3">
      <c r="A98" s="1" t="s">
        <v>61</v>
      </c>
      <c r="B98" s="12">
        <v>-1780</v>
      </c>
      <c r="C98" s="12">
        <v>-352</v>
      </c>
      <c r="D98" s="12">
        <v>-909</v>
      </c>
      <c r="G98" s="12"/>
    </row>
    <row r="99" spans="1:7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  <c r="F99" t="s">
        <v>160</v>
      </c>
    </row>
    <row r="100" spans="1:7" x14ac:dyDescent="0.3">
      <c r="A100" s="7" t="s">
        <v>71</v>
      </c>
      <c r="B100" s="12"/>
      <c r="C100" s="12"/>
      <c r="D100" s="12"/>
      <c r="F100">
        <f>G93/B24</f>
        <v>25.334959349593493</v>
      </c>
    </row>
    <row r="101" spans="1:7" x14ac:dyDescent="0.3">
      <c r="A101" s="1" t="s">
        <v>86</v>
      </c>
      <c r="B101" s="12">
        <v>-6223</v>
      </c>
      <c r="C101" s="12">
        <v>-6556</v>
      </c>
      <c r="D101" s="12">
        <v>-3634</v>
      </c>
      <c r="F101">
        <f>G94/C24</f>
        <v>27.213403880070548</v>
      </c>
    </row>
    <row r="102" spans="1:7" x14ac:dyDescent="0.3">
      <c r="A102" s="1" t="s">
        <v>72</v>
      </c>
      <c r="B102" s="12">
        <v>-14841</v>
      </c>
      <c r="C102" s="12">
        <v>-14467</v>
      </c>
      <c r="D102" s="12">
        <v>-14081</v>
      </c>
      <c r="F102">
        <f>G95/D24</f>
        <v>34.145015105740178</v>
      </c>
    </row>
    <row r="103" spans="1:7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7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7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7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7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7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7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7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7" ht="15" thickTop="1" x14ac:dyDescent="0.3">
      <c r="B111" s="12"/>
      <c r="C111" s="12"/>
      <c r="D111" s="12"/>
    </row>
    <row r="112" spans="1:7" x14ac:dyDescent="0.3">
      <c r="A112" t="s">
        <v>80</v>
      </c>
      <c r="B112" s="12"/>
      <c r="C112" s="12"/>
      <c r="D112" s="12"/>
      <c r="F112" s="12"/>
      <c r="G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Ratios</vt:lpstr>
      <vt:lpstr>Financial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2020-05-18T16:32:37Z</dcterms:created>
  <dcterms:modified xsi:type="dcterms:W3CDTF">2023-10-30T16:32:31Z</dcterms:modified>
</cp:coreProperties>
</file>