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 Jarvis\Documents\investement analysis\"/>
    </mc:Choice>
  </mc:AlternateContent>
  <xr:revisionPtr revIDLastSave="0" documentId="13_ncr:1_{F22543F3-002F-48D0-841F-1C8C1F605C7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2" r:id="rId1"/>
    <sheet name="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3" l="1"/>
  <c r="D95" i="3"/>
  <c r="C95" i="3"/>
  <c r="E97" i="3"/>
  <c r="D97" i="3"/>
  <c r="C97" i="3"/>
  <c r="E96" i="3"/>
  <c r="D96" i="3"/>
  <c r="C96" i="3"/>
  <c r="E92" i="3"/>
  <c r="D92" i="3"/>
  <c r="C92" i="3"/>
  <c r="E91" i="3"/>
  <c r="D91" i="3"/>
  <c r="C91" i="3"/>
  <c r="E90" i="3"/>
  <c r="D90" i="3"/>
  <c r="C90" i="3"/>
  <c r="E89" i="3"/>
  <c r="D89" i="3"/>
  <c r="C89" i="3"/>
  <c r="E87" i="3"/>
  <c r="D87" i="3"/>
  <c r="C87" i="3"/>
  <c r="E86" i="3"/>
  <c r="D86" i="3"/>
  <c r="C86" i="3"/>
  <c r="C83" i="3"/>
  <c r="D83" i="3"/>
  <c r="E83" i="3"/>
  <c r="C82" i="3"/>
  <c r="D82" i="3"/>
  <c r="E82" i="3"/>
  <c r="C79" i="3"/>
  <c r="D79" i="3"/>
  <c r="E79" i="3"/>
  <c r="C78" i="3"/>
  <c r="D78" i="3"/>
  <c r="E78" i="3"/>
  <c r="C77" i="3"/>
  <c r="D77" i="3"/>
  <c r="E77" i="3"/>
  <c r="C76" i="3"/>
  <c r="D76" i="3"/>
  <c r="E76" i="3"/>
  <c r="C75" i="3"/>
  <c r="D75" i="3"/>
  <c r="E75" i="3"/>
  <c r="C73" i="3"/>
  <c r="D73" i="3"/>
  <c r="E73" i="3"/>
  <c r="C72" i="3"/>
  <c r="D72" i="3"/>
  <c r="E72" i="3"/>
  <c r="C71" i="3"/>
  <c r="E71" i="3"/>
  <c r="D71" i="3"/>
  <c r="C69" i="3"/>
  <c r="D69" i="3"/>
  <c r="E69" i="3"/>
  <c r="C68" i="3"/>
  <c r="D68" i="3"/>
  <c r="E68" i="3"/>
  <c r="C67" i="3"/>
  <c r="D55" i="3"/>
  <c r="D56" i="3"/>
  <c r="D57" i="3"/>
  <c r="D58" i="3"/>
  <c r="D60" i="3"/>
  <c r="D61" i="3"/>
  <c r="D66" i="3"/>
  <c r="D64" i="3"/>
  <c r="D65" i="3"/>
  <c r="D67" i="3"/>
  <c r="E67" i="3"/>
  <c r="C66" i="3"/>
  <c r="E66" i="3"/>
  <c r="C65" i="3"/>
  <c r="E65" i="3"/>
  <c r="C64" i="3"/>
  <c r="E64" i="3"/>
  <c r="C61" i="3"/>
  <c r="E61" i="3"/>
  <c r="C60" i="3"/>
  <c r="E60" i="3"/>
  <c r="C58" i="3"/>
  <c r="E58" i="3"/>
  <c r="C57" i="3"/>
  <c r="E57" i="3"/>
  <c r="E56" i="3"/>
  <c r="C56" i="3"/>
  <c r="C55" i="3"/>
  <c r="E55" i="3"/>
  <c r="E51" i="3"/>
  <c r="D51" i="3"/>
  <c r="C51" i="3"/>
  <c r="E49" i="3"/>
  <c r="D49" i="3"/>
  <c r="C49" i="3"/>
  <c r="E47" i="3"/>
  <c r="D47" i="3"/>
  <c r="C47" i="3"/>
  <c r="D45" i="3"/>
  <c r="D46" i="3" s="1"/>
  <c r="E45" i="3"/>
  <c r="C45" i="3"/>
  <c r="C46" i="3" s="1"/>
  <c r="E41" i="3"/>
  <c r="D41" i="3"/>
  <c r="C41" i="3"/>
  <c r="C40" i="3" s="1"/>
  <c r="E43" i="3"/>
  <c r="C43" i="3"/>
  <c r="D43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D31" i="3"/>
  <c r="C31" i="3"/>
  <c r="E27" i="3"/>
  <c r="D27" i="3"/>
  <c r="C27" i="3"/>
  <c r="E26" i="3"/>
  <c r="D26" i="3"/>
  <c r="C26" i="3"/>
  <c r="E25" i="3"/>
  <c r="D25" i="3"/>
  <c r="C25" i="3"/>
  <c r="E21" i="3"/>
  <c r="E29" i="3" s="1"/>
  <c r="D21" i="3"/>
  <c r="D20" i="3" s="1"/>
  <c r="C21" i="3"/>
  <c r="C29" i="3" s="1"/>
  <c r="E19" i="3"/>
  <c r="E18" i="3" s="1"/>
  <c r="D19" i="3"/>
  <c r="D18" i="3" s="1"/>
  <c r="C19" i="3"/>
  <c r="C18" i="3" s="1"/>
  <c r="E11" i="3"/>
  <c r="D11" i="3"/>
  <c r="C11" i="3"/>
  <c r="E10" i="3"/>
  <c r="D10" i="3"/>
  <c r="C10" i="3"/>
  <c r="E9" i="3"/>
  <c r="D9" i="3"/>
  <c r="C9" i="3"/>
  <c r="E5" i="3"/>
  <c r="D5" i="3"/>
  <c r="C5" i="3"/>
  <c r="E6" i="3"/>
  <c r="D6" i="3"/>
  <c r="E7" i="3"/>
  <c r="C7" i="3"/>
  <c r="D7" i="3"/>
  <c r="E8" i="3"/>
  <c r="D8" i="3"/>
  <c r="C8" i="3"/>
  <c r="E12" i="3"/>
  <c r="D12" i="3"/>
  <c r="C12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E22" i="3"/>
  <c r="D22" i="3"/>
  <c r="C22" i="3"/>
  <c r="G12" i="1"/>
  <c r="G11" i="1"/>
  <c r="G10" i="1"/>
  <c r="E28" i="3"/>
  <c r="D28" i="3"/>
  <c r="C28" i="3"/>
  <c r="G31" i="1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E42" i="3" l="1" a="1"/>
  <c r="E42" i="3" s="1"/>
  <c r="E40" i="3"/>
  <c r="D29" i="3"/>
  <c r="E44" i="3"/>
  <c r="C50" i="3"/>
  <c r="C20" i="3"/>
  <c r="E20" i="3"/>
  <c r="D42" i="3"/>
  <c r="C44" i="3"/>
  <c r="E46" i="3"/>
  <c r="E48" i="3"/>
  <c r="E50" i="3"/>
  <c r="D50" i="3"/>
  <c r="D44" i="3"/>
  <c r="C48" i="3"/>
  <c r="D48" i="3"/>
  <c r="D40" i="3"/>
  <c r="C42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<sst xmlns="http://schemas.openxmlformats.org/spreadsheetml/2006/main" count="307" uniqueCount="238">
  <si>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</si>
  <si>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</si>
  <si>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</si>
  <si>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</si>
  <si>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</si>
  <si>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</si>
  <si>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</si>
  <si>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</si>
  <si>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</si>
  <si>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</si>
  <si>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</si>
  <si>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</si>
  <si>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</si>
  <si>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</si>
  <si>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</si>
  <si>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</si>
  <si>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</si>
  <si>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</si>
  <si>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</si>
  <si>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</si>
  <si>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</si>
  <si>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</si>
  <si>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</si>
  <si>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</si>
  <si>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</si>
  <si>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</si>
  <si>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</si>
  <si>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</si>
  <si>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</si>
  <si>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</si>
  <si>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</si>
  <si>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</si>
  <si>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</si>
  <si>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</si>
  <si>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</si>
  <si>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</si>
  <si>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</si>
  <si>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</si>
  <si>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</si>
  <si>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</si>
  <si>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</si>
  <si>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</si>
  <si>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</si>
  <si>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</si>
  <si>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</si>
  <si>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</si>
  <si>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</si>
  <si>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</si>
  <si>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</si>
  <si>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</si>
  <si>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</si>
  <si>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</si>
  <si>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</si>
  <si>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</si>
  <si>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</si>
  <si>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</si>
  <si>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</si>
  <si>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</si>
  <si>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</si>
  <si>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</si>
  <si>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</si>
  <si>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</si>
  <si>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</si>
  <si>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</si>
  <si>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</si>
  <si>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</si>
  <si>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</si>
  <si>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</si>
  <si>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</si>
  <si>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</si>
  <si>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</si>
  <si>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</si>
  <si>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</si>
  <si>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</si>
  <si>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</si>
  <si>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</si>
  <si>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</si>
  <si>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</si>
  <si>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</si>
  <si>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</si>
  <si>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</si>
  <si>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</si>
  <si>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</si>
  <si>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</si>
  <si>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</si>
  <si>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</si>
  <si>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</si>
  <si>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</si>
  <si>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</si>
  <si>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</si>
  <si>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</si>
  <si>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</si>
  <si>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</si>
  <si>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</si>
  <si>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</si>
  <si>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</si>
  <si>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</si>
  <si>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</si>
  <si>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</si>
  <si>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</si>
  <si>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</si>
  <si>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</si>
  <si>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</si>
  <si>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</si>
  <si>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</si>
  <si>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</si>
  <si>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</si>
  <si>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</si>
  <si>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</si>
  <si>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</si>
  <si>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</si>
  <si>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</si>
  <si>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</si>
  <si>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</si>
  <si>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</si>
  <si>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</si>
  <si>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</si>
  <si>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</si>
  <si>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</si>
  <si>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</si>
  <si>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</si>
  <si>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</si>
  <si>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</si>
  <si>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</si>
  <si>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</si>
  <si>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</si>
  <si>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</si>
  <si>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</si>
  <si>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</si>
  <si>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</si>
  <si>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</si>
  <si>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</si>
  <si>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</si>
  <si>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</si>
  <si>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</si>
  <si>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</si>
  <si>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</si>
  <si>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</si>
  <si>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</si>
  <si>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</si>
  <si>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</si>
  <si>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</si>
  <si>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</si>
  <si>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</si>
  <si>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</si>
  <si>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</si>
  <si>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</si>
  <si>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</si>
  <si>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</si>
  <si>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</si>
  <si>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</si>
  <si>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</si>
  <si>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</si>
  <si>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</si>
  <si>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</si>
  <si>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</si>
  <si>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</si>
  <si>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</si>
  <si>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</si>
  <si>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</si>
  <si>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</si>
  <si>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</si>
  <si>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</si>
  <si>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</si>
  <si>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</si>
  <si>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</si>
  <si>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</si>
  <si>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</si>
  <si>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</si>
  <si>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</si>
  <si>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</si>
  <si>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</si>
  <si>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</si>
  <si>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</si>
  <si>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</si>
  <si>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</si>
  <si>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</si>
  <si>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</si>
  <si>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</si>
  <si>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</si>
  <si>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</si>
  <si>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</si>
  <si>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</si>
  <si>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</si>
  <si>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</si>
  <si>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</si>
  <si>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</si>
  <si>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</si>
  <si>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</si>
  <si>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</si>
  <si>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</si>
  <si>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</si>
  <si>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</si>
  <si>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</si>
  <si>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</si>
  <si>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</si>
  <si>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</si>
  <si>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</si>
  <si>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</si>
  <si>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</si>
  <si>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</si>
  <si>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</si>
  <si>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</si>
  <si>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</si>
  <si>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</si>
  <si>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</si>
  <si>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remove row 85 from formula, only the inventory balance in the balance sheet should be considered</t>
  </si>
  <si>
    <t>remove row 88 from formula, only the payables balance in the balance sheet should be considered</t>
  </si>
  <si>
    <t>remove row 84 from formula, only the receivables balance in the balance sheet should be considered</t>
  </si>
  <si>
    <t>remove *100 and use the % formatting instead</t>
  </si>
  <si>
    <t>Operating Income (in income statement) + D&amp;A in cash flow</t>
  </si>
  <si>
    <t>EBIT/Sales revenue</t>
  </si>
  <si>
    <t>Operating income in income statement</t>
  </si>
  <si>
    <t>EBIT/(interest paid + debt repayment)  debt repayment can be found in cash flow statement</t>
  </si>
  <si>
    <t>free cash flow per share= free cash flow/diluted number of shares</t>
  </si>
  <si>
    <t>change in WC can be found in cash flow and Capex is purchase of PPE in cash flow</t>
  </si>
  <si>
    <t>sales/total assets</t>
  </si>
  <si>
    <t>sales/PPE</t>
  </si>
  <si>
    <t>COGS/Inventory</t>
  </si>
  <si>
    <t xml:space="preserve"> current stock price/earnings per share</t>
  </si>
  <si>
    <t>net income/diluted number of shares (at the bottom of income statement)</t>
  </si>
  <si>
    <t>EPS/ BVPS</t>
  </si>
  <si>
    <t>Total shareholder equity/diluted number of shares</t>
  </si>
  <si>
    <t>DPS/EPS</t>
  </si>
  <si>
    <t>Dividend paid(can be found in cash flow)/diluted number of shares</t>
  </si>
  <si>
    <t>DPS/Share price</t>
  </si>
  <si>
    <t>Net income/total shareholder equity</t>
  </si>
  <si>
    <t>EBIT/(term debt + shareholder equity)</t>
  </si>
  <si>
    <t>EV/EBIDTA (calculated from above)</t>
  </si>
  <si>
    <t>net trading cycle= day inventory outstanding days sales outstanding-days payable outstanding</t>
  </si>
  <si>
    <t>Term debt (under non-current liabilities)/Total shareholder equity</t>
  </si>
  <si>
    <t>Term debt (under non-current liabilities)/Total assets</t>
  </si>
  <si>
    <t>Term debt (under non-current liabilities)/Property plant and equipment (under non-current assets)</t>
  </si>
  <si>
    <t>Net income/total assets</t>
  </si>
  <si>
    <t>market cap (share price*diluted number of shares)+Term debt in balance sheet - Cash in balance sheet</t>
  </si>
  <si>
    <t>Please calculate the below ratios</t>
  </si>
  <si>
    <t>Net Sales</t>
  </si>
  <si>
    <t>Sales (each category and net sales):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</si>
</sst>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2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8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7"/>
  <sheetViews>
    <sheetView tabSelected="1" topLeftCell="A71" workbookViewId="0">
      <selection activeCell="F89" sqref="F89"/>
    </sheetView>
  </sheetViews>
  <sheetFormatPr defaultRowHeight="14.4" x14ac:dyDescent="0.3"/>
  <cols>
    <col min="1" max="1" width="4.6640625" customWidth="1"/>
    <col min="2" max="2" width="77.109375" bestFit="1" customWidth="1"/>
    <col min="3" max="4" width="12.109375" bestFit="1" customWidth="1"/>
    <col min="5" max="5" width="12" bestFit="1" customWidth="1"/>
    <col min="6" max="6" width="64.88671875" customWidth="1"/>
    <col min="9" max="9" width="78.886718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0" t="s">
        <v>23</v>
      </c>
      <c r="D2" s="30"/>
      <c r="E2" s="30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161</v>
      </c>
    </row>
    <row r="4" spans="1:10" x14ac:dyDescent="0.3">
      <c r="A4" s="18">
        <v>1</v>
      </c>
      <c r="B4" s="7" t="s">
        <v>99</v>
      </c>
      <c r="I4" t="s">
        <v>162</v>
      </c>
    </row>
    <row r="5" spans="1:10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I5" t="s">
        <v>163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7"/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  <c r="I6" t="s">
        <v>164</v>
      </c>
    </row>
    <row r="7" spans="1:10" x14ac:dyDescent="0.3">
      <c r="A7" s="18">
        <f t="shared" si="0"/>
        <v>1.3000000000000003</v>
      </c>
      <c r="B7" s="1" t="s">
        <v>102</v>
      </c>
      <c r="C7" s="27">
        <f>'Financial Statements'!B42/'Financial Statements'!B62</f>
        <v>0.44823773598646732</v>
      </c>
      <c r="D7" s="27">
        <f>'Financial Statements'!C42/'Financial Statements'!C62</f>
        <v>0.46832365444997082</v>
      </c>
      <c r="E7" s="27">
        <f>'Financial Statements'!D42/'Financial Statements'!D62</f>
        <v>0.55584434671957739</v>
      </c>
      <c r="I7" t="s">
        <v>165</v>
      </c>
    </row>
    <row r="8" spans="1:10" x14ac:dyDescent="0.3">
      <c r="A8" s="18">
        <f t="shared" si="0"/>
        <v>1.4000000000000004</v>
      </c>
      <c r="B8" s="1" t="s">
        <v>103</v>
      </c>
      <c r="C8" s="27">
        <f>'Financial Statements'!B42/('Financial Statements'!B12+'Financial Statements'!B17-'Financial Statements'!B79/365)</f>
        <v>0.49263157686989129</v>
      </c>
      <c r="D8" s="27">
        <f>'Financial Statements'!C42/('Financial Statements'!C12+'Financial Statements'!C17-'Financial Statements'!B79/365)</f>
        <v>0.52498548306996773</v>
      </c>
      <c r="E8" s="27">
        <f>'Financial Statements'!D42/('Financial Statements'!D12+'Financial Statements'!D17-'Financial Statements'!D79/365)</f>
        <v>0.69027507823574485</v>
      </c>
      <c r="I8" t="s">
        <v>166</v>
      </c>
    </row>
    <row r="9" spans="1:10" x14ac:dyDescent="0.3">
      <c r="A9" s="18">
        <f t="shared" si="0"/>
        <v>1.5000000000000004</v>
      </c>
      <c r="B9" s="1" t="s">
        <v>104</v>
      </c>
      <c r="C9" s="27">
        <f>'Financial Statements'!B39/'Financial Statements'!B12*365</f>
        <v>8.0756980666171607</v>
      </c>
      <c r="D9" s="27">
        <f>'Financial Statements'!C39/'Financial Statements'!C12*365</f>
        <v>11.27659274770989</v>
      </c>
      <c r="E9" s="27">
        <f>'Financial Statements'!D39/'Financial Statements'!D12*365</f>
        <v>8.7418833562358831</v>
      </c>
      <c r="F9" t="s">
        <v>206</v>
      </c>
      <c r="I9" t="s">
        <v>167</v>
      </c>
    </row>
    <row r="10" spans="1:10" x14ac:dyDescent="0.3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  <c r="F10" t="s">
        <v>207</v>
      </c>
    </row>
    <row r="11" spans="1:10" x14ac:dyDescent="0.3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  <c r="F11" t="s">
        <v>208</v>
      </c>
      <c r="J11" t="s">
        <v>169</v>
      </c>
    </row>
    <row r="12" spans="1:10" x14ac:dyDescent="0.3">
      <c r="A12" s="18">
        <f t="shared" si="0"/>
        <v>1.8000000000000007</v>
      </c>
      <c r="B12" s="1" t="s">
        <v>107</v>
      </c>
      <c r="C12" s="27">
        <f>'Financial Statements'!L40+'Financial Statements'!M40-'Financial Statements'!N40</f>
        <v>-85.948198541937714</v>
      </c>
      <c r="D12" s="27">
        <f>'Financial Statements'!L41+'Financial Statements'!M41-'Financial Statements'!N41</f>
        <v>-77.479069704058475</v>
      </c>
      <c r="E12" s="27">
        <f>'Financial Statements'!L42+'Financial Statements'!M42-'Financial Statements'!N42</f>
        <v>-52.128833207372878</v>
      </c>
      <c r="F12" t="s">
        <v>229</v>
      </c>
      <c r="J12" t="s">
        <v>170</v>
      </c>
    </row>
    <row r="13" spans="1:10" x14ac:dyDescent="0.3">
      <c r="A13" s="18">
        <f t="shared" si="0"/>
        <v>1.9000000000000008</v>
      </c>
      <c r="B13" s="1" t="s">
        <v>108</v>
      </c>
      <c r="C13" s="28">
        <f>C14/'Financial Statements'!B8</f>
        <v>-4.711052727678481E-2</v>
      </c>
      <c r="D13" s="28">
        <f>D14/'Financial Statements'!C8</f>
        <v>2.557289573748623E-2</v>
      </c>
      <c r="E13" s="28">
        <f>E14/'Financial Statements'!D8</f>
        <v>0.13959528623208203</v>
      </c>
      <c r="F13" t="s">
        <v>209</v>
      </c>
      <c r="J13" t="s">
        <v>171</v>
      </c>
    </row>
    <row r="14" spans="1:10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I14" t="s">
        <v>172</v>
      </c>
    </row>
    <row r="15" spans="1:10" x14ac:dyDescent="0.3">
      <c r="A15" s="18"/>
      <c r="C15" s="27"/>
      <c r="D15" s="27"/>
      <c r="E15" s="27"/>
      <c r="J15" t="s">
        <v>173</v>
      </c>
    </row>
    <row r="16" spans="1:10" x14ac:dyDescent="0.3">
      <c r="A16" s="18">
        <f>+A4+1</f>
        <v>2</v>
      </c>
      <c r="B16" s="17" t="s">
        <v>110</v>
      </c>
      <c r="C16" s="27"/>
      <c r="D16" s="27"/>
      <c r="E16" s="27"/>
      <c r="I16" t="s">
        <v>174</v>
      </c>
    </row>
    <row r="17" spans="1:10" x14ac:dyDescent="0.3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  <c r="J17" t="s">
        <v>175</v>
      </c>
    </row>
    <row r="18" spans="1:10" x14ac:dyDescent="0.3">
      <c r="A18" s="18">
        <f>+A17+0.1</f>
        <v>2.2000000000000002</v>
      </c>
      <c r="B18" s="1" t="s">
        <v>111</v>
      </c>
      <c r="C18" s="29">
        <f>C19/'Financial Statements'!B8</f>
        <v>0.3310467428130896</v>
      </c>
      <c r="D18" s="29">
        <f>D19/'Financial Statements'!C8</f>
        <v>0.32866979938056462</v>
      </c>
      <c r="E18" s="29">
        <f>E19/'Financial Statements'!D8</f>
        <v>0.2817478097736007</v>
      </c>
      <c r="I18" t="s">
        <v>176</v>
      </c>
    </row>
    <row r="19" spans="1:10" x14ac:dyDescent="0.3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  <c r="F19" t="s">
        <v>210</v>
      </c>
      <c r="J19" t="s">
        <v>177</v>
      </c>
    </row>
    <row r="20" spans="1:10" x14ac:dyDescent="0.3">
      <c r="A20" s="18">
        <f>+A18+0.1</f>
        <v>2.3000000000000003</v>
      </c>
      <c r="B20" s="1" t="s">
        <v>113</v>
      </c>
      <c r="C20" s="12">
        <f>C21/'Financial Statements'!B8</f>
        <v>0.30288744395528594</v>
      </c>
      <c r="D20" s="12">
        <f>D21/'Financial Statements'!C8</f>
        <v>0.29782377527561593</v>
      </c>
      <c r="E20" s="12">
        <f>E21/'Financial Statements'!D8</f>
        <v>0.24147314354406862</v>
      </c>
      <c r="F20" t="s">
        <v>211</v>
      </c>
      <c r="I20" t="s">
        <v>178</v>
      </c>
    </row>
    <row r="21" spans="1:10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t="s">
        <v>212</v>
      </c>
      <c r="J21" t="s">
        <v>179</v>
      </c>
    </row>
    <row r="22" spans="1:10" x14ac:dyDescent="0.3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I22" t="s">
        <v>205</v>
      </c>
    </row>
    <row r="23" spans="1:10" x14ac:dyDescent="0.3">
      <c r="A23" s="18"/>
      <c r="C23" s="27"/>
      <c r="D23" s="27"/>
      <c r="E23" s="27"/>
      <c r="I23" t="s">
        <v>180</v>
      </c>
    </row>
    <row r="24" spans="1:10" x14ac:dyDescent="0.3">
      <c r="A24" s="18">
        <f>+A16+1</f>
        <v>3</v>
      </c>
      <c r="B24" s="7" t="s">
        <v>116</v>
      </c>
      <c r="C24" s="27"/>
      <c r="D24" s="27"/>
      <c r="E24" s="27"/>
      <c r="I24" t="s">
        <v>181</v>
      </c>
    </row>
    <row r="25" spans="1:10" x14ac:dyDescent="0.3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  <c r="F25" t="s">
        <v>230</v>
      </c>
      <c r="I25" t="s">
        <v>182</v>
      </c>
    </row>
    <row r="26" spans="1:10" x14ac:dyDescent="0.3">
      <c r="A26" s="18">
        <f t="shared" ref="A26:A30" si="1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  <c r="F26" t="s">
        <v>231</v>
      </c>
      <c r="I26" t="s">
        <v>183</v>
      </c>
    </row>
    <row r="27" spans="1:10" x14ac:dyDescent="0.3">
      <c r="A27" s="18">
        <f t="shared" si="1"/>
        <v>3.3000000000000003</v>
      </c>
      <c r="B27" s="1" t="s">
        <v>119</v>
      </c>
      <c r="C27" s="27">
        <f>'Financial Statements'!B59/'Financial Statements'!B45</f>
        <v>2.3496212930645584</v>
      </c>
      <c r="D27" s="27">
        <f>'Financial Statements'!C59/'Financial Statements'!C45</f>
        <v>2.7663793103448278</v>
      </c>
      <c r="E27" s="27">
        <f>'Financial Statements'!D59/'Financial Statements'!D45</f>
        <v>2.683647935592667</v>
      </c>
      <c r="F27" t="s">
        <v>232</v>
      </c>
      <c r="I27" t="s">
        <v>184</v>
      </c>
    </row>
    <row r="28" spans="1:10" x14ac:dyDescent="0.3">
      <c r="A28" s="18">
        <f t="shared" si="1"/>
        <v>3.4000000000000004</v>
      </c>
      <c r="B28" s="1" t="s">
        <v>120</v>
      </c>
      <c r="C28" s="27">
        <f>'Financial Statements'!B22/'Financial Statements'!B114</f>
        <v>34.835253054101223</v>
      </c>
      <c r="D28" s="27">
        <f>'Financial Statements'!C22/'Financial Statements'!C114</f>
        <v>35.236323036844063</v>
      </c>
      <c r="E28" s="27">
        <f>'Financial Statements'!D22/'Financial Statements'!D114</f>
        <v>19.124250499666889</v>
      </c>
      <c r="I28" t="s">
        <v>185</v>
      </c>
    </row>
    <row r="29" spans="1:10" x14ac:dyDescent="0.3">
      <c r="A29" s="18">
        <f t="shared" si="1"/>
        <v>3.5000000000000004</v>
      </c>
      <c r="B29" s="1" t="s">
        <v>121</v>
      </c>
      <c r="C29" s="27">
        <f>C21/('Financial Statements'!B114+'Financial Statements'!B105)</f>
        <v>-17.88514525306978</v>
      </c>
      <c r="D29" s="27">
        <f>D21/('Financial Statements'!C114+'Financial Statements'!C105)</f>
        <v>-17.969487052614216</v>
      </c>
      <c r="E29" s="27">
        <f>E21/('Financial Statements'!D114+'Financial Statements'!D105)</f>
        <v>-6.8856341539420383</v>
      </c>
      <c r="F29" t="s">
        <v>213</v>
      </c>
    </row>
    <row r="30" spans="1:10" x14ac:dyDescent="0.3">
      <c r="A30" s="18">
        <f t="shared" si="1"/>
        <v>3.6000000000000005</v>
      </c>
      <c r="B30" s="1" t="s">
        <v>122</v>
      </c>
      <c r="C30" s="27"/>
      <c r="D30" s="27"/>
      <c r="E30" s="27"/>
      <c r="F30" t="s">
        <v>214</v>
      </c>
      <c r="I30" t="s">
        <v>186</v>
      </c>
    </row>
    <row r="31" spans="1:10" x14ac:dyDescent="0.3">
      <c r="A31" s="18"/>
      <c r="B31" s="3" t="s">
        <v>123</v>
      </c>
      <c r="C31" s="12">
        <f>'Financial Statements'!B22+'Financial Statements'!B79-'Financial Statements'!G46-'Financial Statements'!B96+'Financial Statements'!G52</f>
        <v>42472</v>
      </c>
      <c r="D31" s="12">
        <f>'Financial Statements'!C22+'Financial Statements'!C79-'Financial Statements'!G47-'Financial Statements'!C96+'Financial Statements'!G53</f>
        <v>18997</v>
      </c>
      <c r="E31" s="12">
        <f>'Financial Statements'!D22+'Financial Statements'!D79-'Financial Statements'!G48-'Financial Statements'!D96+'Financial Statements'!G54</f>
        <v>-219985</v>
      </c>
      <c r="F31" t="s">
        <v>215</v>
      </c>
      <c r="I31" t="s">
        <v>187</v>
      </c>
    </row>
    <row r="32" spans="1:10" x14ac:dyDescent="0.3">
      <c r="A32" s="18"/>
      <c r="C32" s="27"/>
      <c r="D32" s="27"/>
      <c r="E32" s="27"/>
      <c r="I32" t="s">
        <v>188</v>
      </c>
    </row>
    <row r="33" spans="1:11" x14ac:dyDescent="0.3">
      <c r="A33" s="18">
        <f>+A24+1</f>
        <v>4</v>
      </c>
      <c r="B33" s="17" t="s">
        <v>124</v>
      </c>
      <c r="C33" s="27"/>
      <c r="D33" s="27"/>
      <c r="E33" s="27"/>
      <c r="I33" t="s">
        <v>189</v>
      </c>
    </row>
    <row r="34" spans="1:11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  <c r="F34" t="s">
        <v>216</v>
      </c>
      <c r="I34" t="s">
        <v>190</v>
      </c>
    </row>
    <row r="35" spans="1:11" x14ac:dyDescent="0.3">
      <c r="A35" s="18">
        <f t="shared" ref="A35:A37" si="2">+A34+0.1</f>
        <v>4.1999999999999993</v>
      </c>
      <c r="B35" s="1" t="s">
        <v>126</v>
      </c>
      <c r="C35" s="27">
        <f>'Financial Statements'!B8/'Financial Statements'!B45</f>
        <v>9.3626801529073767</v>
      </c>
      <c r="D35" s="27">
        <f>'Financial Statements'!C8/'Financial Statements'!C45</f>
        <v>9.2752789046653152</v>
      </c>
      <c r="E35" s="27">
        <f>'Financial Statements'!D8/'Financial Statements'!D38</f>
        <v>17.029466501240694</v>
      </c>
      <c r="F35" t="s">
        <v>217</v>
      </c>
      <c r="J35" t="s">
        <v>191</v>
      </c>
    </row>
    <row r="36" spans="1:11" x14ac:dyDescent="0.3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  <c r="F36" t="s">
        <v>218</v>
      </c>
      <c r="I36" t="s">
        <v>192</v>
      </c>
      <c r="K36" t="s">
        <v>168</v>
      </c>
    </row>
    <row r="37" spans="1:11" x14ac:dyDescent="0.3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F37" t="s">
        <v>233</v>
      </c>
      <c r="J37" t="s">
        <v>193</v>
      </c>
    </row>
    <row r="38" spans="1:11" x14ac:dyDescent="0.3">
      <c r="A38" s="18"/>
      <c r="J38" t="s">
        <v>194</v>
      </c>
    </row>
    <row r="39" spans="1:11" x14ac:dyDescent="0.3">
      <c r="A39" s="18">
        <f>+A33+1</f>
        <v>5</v>
      </c>
      <c r="B39" s="17" t="s">
        <v>129</v>
      </c>
      <c r="I39" t="s">
        <v>195</v>
      </c>
    </row>
    <row r="40" spans="1:11" x14ac:dyDescent="0.3">
      <c r="A40" s="18">
        <f>+A39+0.1</f>
        <v>5.0999999999999996</v>
      </c>
      <c r="B40" s="1" t="s">
        <v>130</v>
      </c>
      <c r="C40" s="27">
        <f>'Financial Statements'!G93/Ratios!C41</f>
        <v>9.5387824013306224E-3</v>
      </c>
      <c r="D40" s="27">
        <f>'Financial Statements'!G94/Ratios!D41</f>
        <v>9.142617237008873E-3</v>
      </c>
      <c r="E40" s="27">
        <f>'Financial Statements'!G95/Ratios!E41</f>
        <v>6.4570483008482681E-3</v>
      </c>
      <c r="F40" t="s">
        <v>219</v>
      </c>
      <c r="J40" t="s">
        <v>196</v>
      </c>
    </row>
    <row r="41" spans="1:11" x14ac:dyDescent="0.3">
      <c r="A41" s="18">
        <f t="shared" ref="A41:A44" si="3">+A40+0.1</f>
        <v>5.1999999999999993</v>
      </c>
      <c r="B41" s="3" t="s">
        <v>131</v>
      </c>
      <c r="C41" s="27">
        <f>'Financial Statements'!B22/'Financial Statements'!B25</f>
        <v>16334.369885433714</v>
      </c>
      <c r="D41" s="27">
        <f>'Financial Statements'!C22/'Financial Statements'!C25</f>
        <v>16877.005347593582</v>
      </c>
      <c r="E41" s="27">
        <f>'Financial Statements'!D22/'Financial Statements'!D25</f>
        <v>17503.353658536587</v>
      </c>
      <c r="F41" t="s">
        <v>220</v>
      </c>
      <c r="I41" t="s">
        <v>197</v>
      </c>
    </row>
    <row r="42" spans="1:11" x14ac:dyDescent="0.3">
      <c r="A42" s="18">
        <f t="shared" si="3"/>
        <v>5.2999999999999989</v>
      </c>
      <c r="B42" s="1" t="s">
        <v>132</v>
      </c>
      <c r="C42" s="27">
        <f>C41/C43</f>
        <v>1.9695887275023682</v>
      </c>
      <c r="D42" s="27">
        <f>D41/D43</f>
        <v>1.5007132667617689</v>
      </c>
      <c r="E42" s="27" cm="1">
        <f t="array" ref="E42">E41/_xlfn.ANCHORARRAY(E43)</f>
        <v>0.87866358530127497</v>
      </c>
      <c r="F42" t="s">
        <v>221</v>
      </c>
      <c r="I42" t="s">
        <v>198</v>
      </c>
    </row>
    <row r="43" spans="1:11" x14ac:dyDescent="0.3">
      <c r="A43" s="18">
        <f t="shared" si="3"/>
        <v>5.3999999999999986</v>
      </c>
      <c r="B43" s="3" t="s">
        <v>133</v>
      </c>
      <c r="C43" s="27">
        <f>'Financial Statements'!B68/'Financial Statements'!B25</f>
        <v>8293.2896890343691</v>
      </c>
      <c r="D43" s="27">
        <f>'Financial Statements'!C68/'Financial Statements'!C25</f>
        <v>11245.989304812834</v>
      </c>
      <c r="E43" s="27">
        <f>'Financial Statements'!D68/'Financial Statements'!D25</f>
        <v>19920.426829268294</v>
      </c>
      <c r="F43" t="s">
        <v>222</v>
      </c>
      <c r="I43" t="s">
        <v>199</v>
      </c>
    </row>
    <row r="44" spans="1:11" x14ac:dyDescent="0.3">
      <c r="A44" s="18">
        <f t="shared" si="3"/>
        <v>5.4999999999999982</v>
      </c>
      <c r="B44" s="1" t="s">
        <v>134</v>
      </c>
      <c r="C44" s="32">
        <f>C45/C41</f>
        <v>-0.14870294480125848</v>
      </c>
      <c r="D44" s="27">
        <f>D45/D41</f>
        <v>-0.15279890156316012</v>
      </c>
      <c r="E44" s="27">
        <f>E45/E41</f>
        <v>-0.24526658654264863</v>
      </c>
      <c r="F44" t="s">
        <v>223</v>
      </c>
      <c r="I44" t="s">
        <v>200</v>
      </c>
    </row>
    <row r="45" spans="1:11" x14ac:dyDescent="0.3">
      <c r="A45" s="18"/>
      <c r="B45" s="3" t="s">
        <v>135</v>
      </c>
      <c r="C45" s="27">
        <f>'Financial Statements'!B102/'Financial Statements'!B25</f>
        <v>-2428.9689034369885</v>
      </c>
      <c r="D45" s="27">
        <f>'Financial Statements'!C102/'Financial Statements'!C25</f>
        <v>-2578.7878787878785</v>
      </c>
      <c r="E45" s="27">
        <f>'Financial Statements'!D102/'Financial Statements'!D25</f>
        <v>-4292.9878048780492</v>
      </c>
      <c r="F45" t="s">
        <v>224</v>
      </c>
      <c r="I45" t="s">
        <v>201</v>
      </c>
    </row>
    <row r="46" spans="1:11" x14ac:dyDescent="0.3">
      <c r="A46" s="18">
        <f>+A44+0.1</f>
        <v>5.5999999999999979</v>
      </c>
      <c r="B46" s="1" t="s">
        <v>136</v>
      </c>
      <c r="C46" s="27">
        <f>C45/'Financial Statements'!G93</f>
        <v>-15.589300452069756</v>
      </c>
      <c r="D46" s="27">
        <f>D45/'Financial Statements'!G94</f>
        <v>-16.71281839784756</v>
      </c>
      <c r="E46" s="27">
        <f>E45/'Financial Statements'!G95</f>
        <v>-37.984319632614131</v>
      </c>
      <c r="F46" t="s">
        <v>225</v>
      </c>
      <c r="J46" t="s">
        <v>202</v>
      </c>
    </row>
    <row r="47" spans="1:11" x14ac:dyDescent="0.3">
      <c r="A47" s="18">
        <f t="shared" ref="A47:A50" si="4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t="s">
        <v>226</v>
      </c>
    </row>
    <row r="48" spans="1:11" x14ac:dyDescent="0.3">
      <c r="A48" s="18">
        <f t="shared" si="4"/>
        <v>5.6999999999999975</v>
      </c>
      <c r="B48" s="1" t="s">
        <v>138</v>
      </c>
      <c r="C48" s="24">
        <f>C21/('Financial Statements'!B59+'Financial Statements'!B68)</f>
        <v>0.79821026391589978</v>
      </c>
      <c r="D48" s="24">
        <f>D21/('Financial Statements'!C59+'Financial Statements'!C68)</f>
        <v>0.63270343097400639</v>
      </c>
      <c r="E48" s="24">
        <f>E21/('Financial Statements'!D59+'Financial Statements'!D68)</f>
        <v>0.40418033486579757</v>
      </c>
      <c r="F48" t="s">
        <v>227</v>
      </c>
    </row>
    <row r="49" spans="1:6" x14ac:dyDescent="0.3">
      <c r="A49" s="18">
        <f t="shared" si="4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F49" t="s">
        <v>233</v>
      </c>
    </row>
    <row r="50" spans="1:6" x14ac:dyDescent="0.3">
      <c r="A50" s="18">
        <f t="shared" si="4"/>
        <v>5.7999999999999972</v>
      </c>
      <c r="B50" s="1" t="s">
        <v>139</v>
      </c>
      <c r="C50" s="24">
        <f>C51/C19</f>
        <v>0.58422257451681847</v>
      </c>
      <c r="D50" s="24">
        <f>D51/D19</f>
        <v>0.62405182437433993</v>
      </c>
      <c r="E50" s="24">
        <f>E51/E19</f>
        <v>0.78896495655771615</v>
      </c>
      <c r="F50" t="s">
        <v>228</v>
      </c>
    </row>
    <row r="51" spans="1:6" x14ac:dyDescent="0.3">
      <c r="A51" s="18"/>
      <c r="B51" s="3" t="s">
        <v>140</v>
      </c>
      <c r="C51" s="27">
        <f>('Financial Statements'!G93*'Financial Statements'!B25)+'Financial Statements'!B59-'Financial Statements'!B36</f>
        <v>76264.999100000001</v>
      </c>
      <c r="D51" s="27">
        <f>('Financial Statements'!G94*'Financial Statements'!C25)+'Financial Statements'!C59-'Financial Statements'!C36</f>
        <v>75031.623000000007</v>
      </c>
      <c r="E51" s="27">
        <f>('Financial Statements'!G95*'Financial Statements'!D25)+'Financial Statements'!D59-'Financial Statements'!D36</f>
        <v>61021.705600000001</v>
      </c>
      <c r="F51" t="s">
        <v>234</v>
      </c>
    </row>
    <row r="53" spans="1:6" x14ac:dyDescent="0.3">
      <c r="B53" s="17" t="s">
        <v>149</v>
      </c>
      <c r="F53" t="s">
        <v>235</v>
      </c>
    </row>
    <row r="54" spans="1:6" x14ac:dyDescent="0.3">
      <c r="B54" s="1" t="s">
        <v>237</v>
      </c>
    </row>
    <row r="55" spans="1:6" x14ac:dyDescent="0.3">
      <c r="B55" s="1" t="s">
        <v>4</v>
      </c>
      <c r="C55" s="28">
        <f>('Financial Statements'!B6-'Financial Statements'!C6)/'Financial Statements'!B6</f>
        <v>5.9478366471747222E-2</v>
      </c>
      <c r="D55" s="28">
        <f>('Financial Statements'!C6-'Financial Statements'!D6)/'Financial Statements'!C6</f>
        <v>0.25772381234195946</v>
      </c>
      <c r="E55" s="28">
        <f>('Financial Statements'!C6-'Financial Statements'!D6)/'Financial Statements'!D6</f>
        <v>0.34720743656765435</v>
      </c>
    </row>
    <row r="56" spans="1:6" x14ac:dyDescent="0.3">
      <c r="B56" s="1" t="s">
        <v>5</v>
      </c>
      <c r="C56" s="28">
        <f>('Financial Statements'!B7-'Financial Statements'!C7)/'Financial Statements'!B7</f>
        <v>0.12420484071215554</v>
      </c>
      <c r="D56" s="28">
        <f>('Financial Statements'!C7-'Financial Statements'!D7)/'Financial Statements'!C7</f>
        <v>0.21420533430763611</v>
      </c>
      <c r="E56" s="28">
        <f>('Financial Statements'!C7-'Financial Statements'!D7)/'Financial Statements'!D7</f>
        <v>0.27259708376729652</v>
      </c>
    </row>
    <row r="57" spans="1:6" x14ac:dyDescent="0.3">
      <c r="B57" s="1" t="s">
        <v>236</v>
      </c>
      <c r="C57" s="28">
        <f>('Financial Statements'!B8-'Financial Statements'!C8)/'Financial Statements'!B8</f>
        <v>7.2302753038079967E-2</v>
      </c>
      <c r="D57" s="28">
        <f>('Financial Statements'!C8-'Financial Statements'!D8)/'Financial Statements'!C8</f>
        <v>0.24958380829759141</v>
      </c>
      <c r="E57" s="28">
        <f>('Financial Statements'!C8-'Financial Statements'!D8)/'Financial Statements'!D8</f>
        <v>0.33259384733074693</v>
      </c>
    </row>
    <row r="58" spans="1:6" x14ac:dyDescent="0.3">
      <c r="B58" s="1" t="s">
        <v>89</v>
      </c>
      <c r="C58" s="28">
        <f>('Financial Statements'!B13-'Financial Statements'!C13)/'Financial Statements'!B13</f>
        <v>0.10508133175627409</v>
      </c>
      <c r="D58" s="28">
        <f>('Financial Statements'!C13-'Financial Statements'!D13)/'Financial Statements'!C13</f>
        <v>0.31327697662854304</v>
      </c>
      <c r="E58" s="28">
        <f>('Financial Statements'!C13-'Financial Statements'!D13)/'Financial Statements'!D13</f>
        <v>0.45619116582186819</v>
      </c>
    </row>
    <row r="59" spans="1:6" x14ac:dyDescent="0.3">
      <c r="B59" s="1" t="s">
        <v>90</v>
      </c>
    </row>
    <row r="60" spans="1:6" x14ac:dyDescent="0.3">
      <c r="B60" s="1" t="s">
        <v>11</v>
      </c>
      <c r="C60" s="28">
        <f>('Financial Statements'!B15-'Financial Statements'!C15)/'Financial Statements'!B15</f>
        <v>0.16521275379985526</v>
      </c>
      <c r="D60" s="28">
        <f>('Financial Statements'!C15-'Financial Statements'!D15)/'Financial Statements'!C15</f>
        <v>0.14429132061695721</v>
      </c>
      <c r="E60" s="28">
        <f>('Financial Statements'!C15-'Financial Statements'!D15)/'Financial Statements'!D15</f>
        <v>0.16862201365187712</v>
      </c>
    </row>
    <row r="61" spans="1:6" x14ac:dyDescent="0.3">
      <c r="B61" s="1" t="s">
        <v>12</v>
      </c>
      <c r="C61" s="28">
        <f>('Financial Statements'!B16-'Financial Statements'!C16)/'Financial Statements'!B16</f>
        <v>0.1243723599266757</v>
      </c>
      <c r="D61" s="28">
        <f>('Financial Statements'!C16-'Financial Statements'!D16)/'Financial Statements'!C16</f>
        <v>9.3614891002594097E-2</v>
      </c>
      <c r="E61" s="28">
        <f>('Financial Statements'!C16-'Financial Statements'!D16)/'Financial Statements'!D16</f>
        <v>0.10328379192608958</v>
      </c>
    </row>
    <row r="62" spans="1:6" x14ac:dyDescent="0.3">
      <c r="B62" s="11" t="s">
        <v>91</v>
      </c>
      <c r="D62" s="28"/>
    </row>
    <row r="63" spans="1:6" x14ac:dyDescent="0.3">
      <c r="B63" t="s">
        <v>25</v>
      </c>
    </row>
    <row r="64" spans="1:6" x14ac:dyDescent="0.3">
      <c r="B64" s="1" t="s">
        <v>26</v>
      </c>
      <c r="C64" s="28">
        <f>('Financial Statements'!B36-'Financial Statements'!C36)/'Financial Statements'!B36</f>
        <v>-0.47762835151822719</v>
      </c>
      <c r="D64" s="28">
        <f>('Financial Statements'!C36-'Financial Statements'!D36)/'Financial Statements'!C36</f>
        <v>-8.8036634230108754E-2</v>
      </c>
      <c r="E64" s="28">
        <f>('Financial Statements'!C36-'Financial Statements'!D36)/'Financial Statements'!D36</f>
        <v>-8.0913299663299659E-2</v>
      </c>
    </row>
    <row r="65" spans="2:5" x14ac:dyDescent="0.3">
      <c r="B65" s="1" t="s">
        <v>27</v>
      </c>
      <c r="C65" s="28">
        <f>('Financial Statements'!B37-'Financial Statements'!C37)/'Financial Statements'!B37</f>
        <v>-0.1233271149322735</v>
      </c>
      <c r="D65" s="28">
        <f>('Financial Statements'!C37-'Financial Statements'!D37)/'Financial Statements'!C37</f>
        <v>-0.91079100328531715</v>
      </c>
      <c r="E65" s="28">
        <f>('Financial Statements'!C37-'Financial Statements'!D37)/'Financial Statements'!D37</f>
        <v>-0.47665652691442933</v>
      </c>
    </row>
    <row r="66" spans="2:5" x14ac:dyDescent="0.3">
      <c r="B66" s="1" t="s">
        <v>28</v>
      </c>
      <c r="C66" s="28">
        <f>('Financial Statements'!B38-'Financial Statements'!C38)/'Financial Statements'!B38</f>
        <v>6.7627022424070399E-2</v>
      </c>
      <c r="D66" s="28">
        <f>('Financial Statements'!C38-'Financial Statements'!D38)/'Financial Statements'!C38</f>
        <v>0.38655909886597156</v>
      </c>
      <c r="E66" s="28">
        <f>('Financial Statements'!C38-'Financial Statements'!D38)/'Financial Statements'!D38</f>
        <v>0.63014888337468977</v>
      </c>
    </row>
    <row r="67" spans="2:5" x14ac:dyDescent="0.3">
      <c r="B67" s="1" t="s">
        <v>29</v>
      </c>
      <c r="C67" s="28">
        <f>('Financial Statements'!B39-'Financial Statements'!C39)/'Financial Statements'!B39</f>
        <v>-0.3303679741205014</v>
      </c>
      <c r="D67" s="28">
        <f>('Financial Statements'!C39-'Financial Statements'!D39)/'Financial Statements'!C39</f>
        <v>0.38282674772036474</v>
      </c>
      <c r="E67" s="28">
        <f>('Financial Statements'!C39-'Financial Statements'!D39)/'Financial Statements'!D39</f>
        <v>0.62029056882541245</v>
      </c>
    </row>
    <row r="68" spans="2:5" x14ac:dyDescent="0.3">
      <c r="B68" s="1" t="s">
        <v>47</v>
      </c>
      <c r="C68" s="28">
        <f>('Financial Statements'!B40-'Financial Statements'!C40)/'Financial Statements'!B40</f>
        <v>0.22963234395993648</v>
      </c>
      <c r="D68" s="28">
        <f>('Financial Statements'!C40-'Financial Statements'!D40)/'Financial Statements'!C40</f>
        <v>0.15470905343269384</v>
      </c>
      <c r="E68" s="28">
        <f>('Financial Statements'!C40-'Financial Statements'!D40)/'Financial Statements'!D40</f>
        <v>0.18302461899179367</v>
      </c>
    </row>
    <row r="69" spans="2:5" x14ac:dyDescent="0.3">
      <c r="B69" s="1" t="s">
        <v>30</v>
      </c>
      <c r="C69" s="28">
        <f>('Financial Statements'!B41-'Financial Statements'!C41)/'Financial Statements'!B41</f>
        <v>0.33510813739810585</v>
      </c>
      <c r="D69" s="28">
        <f>('Financial Statements'!C41-'Financial Statements'!D41)/'Financial Statements'!C41</f>
        <v>0.20175749415349728</v>
      </c>
      <c r="E69" s="28">
        <f>('Financial Statements'!C41-'Financial Statements'!D41)/'Financial Statements'!D41</f>
        <v>0.25275213068181818</v>
      </c>
    </row>
    <row r="70" spans="2:5" x14ac:dyDescent="0.3">
      <c r="B70" t="s">
        <v>48</v>
      </c>
    </row>
    <row r="71" spans="2:5" x14ac:dyDescent="0.3">
      <c r="B71" s="1" t="s">
        <v>27</v>
      </c>
      <c r="C71" s="28">
        <f>('Financial Statements'!B44-'Financial Statements'!C44)/'Financial Statements'!B44</f>
        <v>-5.8540623318571253E-2</v>
      </c>
      <c r="D71" s="28">
        <f>('Financial Statements'!C44-'Financial Statements'!D44)/'Financial Statements'!C44</f>
        <v>0.21106219257567818</v>
      </c>
      <c r="E71" s="28">
        <f>('Financial Statements'!C44-'Financial Statements'!D44)/'Financial Statements'!D44</f>
        <v>0.26752703519779553</v>
      </c>
    </row>
    <row r="72" spans="2:5" x14ac:dyDescent="0.3">
      <c r="B72" s="1" t="s">
        <v>32</v>
      </c>
      <c r="C72" s="28">
        <f>('Financial Statements'!B45-'Financial Statements'!C45)/'Financial Statements'!B45</f>
        <v>6.3561032362229028E-2</v>
      </c>
      <c r="D72" s="28">
        <f>('Financial Statements'!C45-'Financial Statements'!D45)/'Financial Statements'!C45</f>
        <v>6.7799188640973632E-2</v>
      </c>
      <c r="E72" s="28">
        <f>('Financial Statements'!C45-'Financial Statements'!D45)/'Financial Statements'!D45</f>
        <v>7.2730239895555673E-2</v>
      </c>
    </row>
    <row r="73" spans="2:5" x14ac:dyDescent="0.3">
      <c r="B73" s="1" t="s">
        <v>49</v>
      </c>
      <c r="C73" s="28">
        <f>('Financial Statements'!B46-'Financial Statements'!C46)/'Financial Statements'!B46</f>
        <v>0.10250238847651943</v>
      </c>
      <c r="D73" s="28">
        <f>('Financial Statements'!C46-'Financial Statements'!D46)/'Financial Statements'!C46</f>
        <v>0.1295215869311552</v>
      </c>
      <c r="E73" s="28">
        <f>('Financial Statements'!C46-'Financial Statements'!D46)/'Financial Statements'!D46</f>
        <v>0.1487935656836461</v>
      </c>
    </row>
    <row r="74" spans="2:5" x14ac:dyDescent="0.3">
      <c r="B74" t="s">
        <v>34</v>
      </c>
    </row>
    <row r="75" spans="2:5" x14ac:dyDescent="0.3">
      <c r="B75" s="1" t="s">
        <v>35</v>
      </c>
      <c r="C75" s="28">
        <f>('Financial Statements'!B51-'Financial Statements'!C51)/'Financial Statements'!B51</f>
        <v>0.14586290259689622</v>
      </c>
      <c r="D75" s="28">
        <f>('Financial Statements'!C51-'Financial Statements'!D51)/'Financial Statements'!C51</f>
        <v>0.2276537077954093</v>
      </c>
      <c r="E75" s="28">
        <f>('Financial Statements'!C51-'Financial Statements'!D51)/'Financial Statements'!D51</f>
        <v>0.29475600529600909</v>
      </c>
    </row>
    <row r="76" spans="2:5" x14ac:dyDescent="0.3">
      <c r="B76" s="1" t="s">
        <v>36</v>
      </c>
      <c r="C76" s="28">
        <f>('Financial Statements'!B52-'Financial Statements'!C52)/'Financial Statements'!B52</f>
        <v>0.21944284657736873</v>
      </c>
      <c r="D76" s="28">
        <f>('Financial Statements'!C52-'Financial Statements'!D52)/'Financial Statements'!C52</f>
        <v>0.10125702735139916</v>
      </c>
      <c r="E76" s="28">
        <f>('Financial Statements'!C52-'Financial Statements'!D52)/'Financial Statements'!D52</f>
        <v>0.1126651672757942</v>
      </c>
    </row>
    <row r="77" spans="2:5" x14ac:dyDescent="0.3">
      <c r="B77" s="1" t="s">
        <v>37</v>
      </c>
      <c r="C77" s="28">
        <f>('Financial Statements'!B53-'Financial Statements'!C53)/'Financial Statements'!B53</f>
        <v>3.7917087967644085E-2</v>
      </c>
      <c r="D77" s="28">
        <f>('Financial Statements'!C53-'Financial Statements'!D53)/'Financial Statements'!C53</f>
        <v>0.12729900157645824</v>
      </c>
      <c r="E77" s="28">
        <f>('Financial Statements'!C53-'Financial Statements'!D53)/'Financial Statements'!C53</f>
        <v>0.12729900157645824</v>
      </c>
    </row>
    <row r="78" spans="2:5" x14ac:dyDescent="0.3">
      <c r="B78" s="1" t="s">
        <v>38</v>
      </c>
      <c r="C78" s="28">
        <f>('Financial Statements'!B54-'Financial Statements'!C54)/'Financial Statements'!B54</f>
        <v>0.39891805249449008</v>
      </c>
      <c r="D78" s="28">
        <f>('Financial Statements'!C54-'Financial Statements'!D54)/'Financial Statements'!C54</f>
        <v>0.16733333333333333</v>
      </c>
      <c r="E78" s="28">
        <f>('Financial Statements'!C54-'Financial Statements'!D54)/'Financial Statements'!D54</f>
        <v>0.20096076861489193</v>
      </c>
    </row>
    <row r="79" spans="2:5" x14ac:dyDescent="0.3">
      <c r="B79" s="1" t="s">
        <v>39</v>
      </c>
      <c r="C79" s="28">
        <f>('Financial Statements'!B55-'Financial Statements'!C55)/'Financial Statements'!B55</f>
        <v>0.13614306254493169</v>
      </c>
      <c r="D79" s="28">
        <f>('Financial Statements'!C55-'Financial Statements'!D55)/'Financial Statements'!C55</f>
        <v>8.7381670654322272E-2</v>
      </c>
      <c r="E79" s="28">
        <f>('Financial Statements'!C55-'Financial Statements'!D55)/'Financial Statements'!D55</f>
        <v>9.5748318705117977E-2</v>
      </c>
    </row>
    <row r="80" spans="2:5" x14ac:dyDescent="0.3">
      <c r="B80" t="s">
        <v>51</v>
      </c>
    </row>
    <row r="81" spans="2:5" x14ac:dyDescent="0.3">
      <c r="B81" s="1" t="s">
        <v>37</v>
      </c>
    </row>
    <row r="82" spans="2:5" x14ac:dyDescent="0.3">
      <c r="B82" s="1" t="s">
        <v>39</v>
      </c>
      <c r="C82" s="28">
        <f>('Financial Statements'!B59-'Financial Statements'!C59)/'Financial Statements'!B59</f>
        <v>-0.10253741448478663</v>
      </c>
      <c r="D82" s="28">
        <f>('Financial Statements'!C59-'Financial Statements'!D59)/'Financial Statements'!C59</f>
        <v>9.5677597932286029E-2</v>
      </c>
      <c r="E82" s="28">
        <f>('Financial Statements'!C59-'Financial Statements'!D59)/'Financial Statements'!D59</f>
        <v>0.1058003182421681</v>
      </c>
    </row>
    <row r="83" spans="2:5" x14ac:dyDescent="0.3">
      <c r="B83" s="1" t="s">
        <v>52</v>
      </c>
      <c r="C83" s="28">
        <f>('Financial Statements'!B60-'Financial Statements'!C60)/'Financial Statements'!B60</f>
        <v>-8.5120670709372834E-2</v>
      </c>
      <c r="D83" s="28">
        <f>('Financial Statements'!C60-'Financial Statements'!D60)/'Financial Statements'!C60</f>
        <v>-2.1847163619315518E-2</v>
      </c>
      <c r="E83" s="28">
        <f>('Financial Statements'!C60-'Financial Statements'!D60)/'Financial Statements'!D60</f>
        <v>-2.1380069737566527E-2</v>
      </c>
    </row>
    <row r="85" spans="2:5" x14ac:dyDescent="0.3">
      <c r="B85" s="17" t="s">
        <v>92</v>
      </c>
    </row>
    <row r="86" spans="2:5" x14ac:dyDescent="0.3">
      <c r="B86" s="1" t="s">
        <v>146</v>
      </c>
      <c r="C86" s="28">
        <f>'Financial Statements'!B12/'Financial Statements'!B8</f>
        <v>0.56690369438639909</v>
      </c>
      <c r="D86" s="28">
        <f>'Financial Statements'!C12/'Financial Statements'!C8</f>
        <v>0.58220640374832222</v>
      </c>
      <c r="E86" s="28">
        <f>'Financial Statements'!D12/'Financial Statements'!D8</f>
        <v>0.61766752272189129</v>
      </c>
    </row>
    <row r="87" spans="2:5" x14ac:dyDescent="0.3">
      <c r="B87" s="1" t="s">
        <v>89</v>
      </c>
      <c r="C87" s="28">
        <f>'Financial Statements'!B13/'Financial Statements'!B8</f>
        <v>0.43309630561360085</v>
      </c>
      <c r="D87" s="28">
        <f>'Financial Statements'!C13/'Financial Statements'!C8</f>
        <v>0.41779359625167778</v>
      </c>
      <c r="E87" s="28">
        <f>'Financial Statements'!D13/'Financial Statements'!D8</f>
        <v>0.38233247727810865</v>
      </c>
    </row>
    <row r="88" spans="2:5" x14ac:dyDescent="0.3">
      <c r="B88" s="1" t="s">
        <v>90</v>
      </c>
    </row>
    <row r="89" spans="2:5" x14ac:dyDescent="0.3">
      <c r="B89" s="1" t="s">
        <v>11</v>
      </c>
      <c r="C89" s="28">
        <f>'Financial Statements'!B15/'Financial Statements'!B8</f>
        <v>6.657148363798665E-2</v>
      </c>
      <c r="D89" s="28">
        <f>'Financial Statements'!C15/'Financial Statements'!C8</f>
        <v>5.9904269074427925E-2</v>
      </c>
      <c r="E89" s="28">
        <f>'Financial Statements'!D15/'Financial Statements'!D8</f>
        <v>6.8309564140393061E-2</v>
      </c>
    </row>
    <row r="90" spans="2:5" x14ac:dyDescent="0.3">
      <c r="B90" s="1" t="s">
        <v>12</v>
      </c>
      <c r="C90" s="28">
        <f>'Financial Statements'!B16/'Financial Statements'!B8</f>
        <v>6.3637378020328261E-2</v>
      </c>
      <c r="D90" s="28">
        <f>'Financial Statements'!C16/'Financial Statements'!C8</f>
        <v>6.006555190163388E-2</v>
      </c>
      <c r="E90" s="28">
        <f>'Financial Statements'!D16/'Financial Statements'!D8</f>
        <v>7.2549769593646979E-2</v>
      </c>
    </row>
    <row r="91" spans="2:5" x14ac:dyDescent="0.3">
      <c r="B91" s="1" t="s">
        <v>14</v>
      </c>
      <c r="C91" s="28">
        <f>'Financial Statements'!B18/'Financial Statements'!B8</f>
        <v>0.30288744395528594</v>
      </c>
      <c r="D91" s="28">
        <f>'Financial Statements'!C18/'Financial Statements'!C8</f>
        <v>0.29782377527561593</v>
      </c>
      <c r="E91" s="28">
        <f>'Financial Statements'!D18/'Financial Statements'!D8</f>
        <v>0.24147314354406862</v>
      </c>
    </row>
    <row r="92" spans="2:5" x14ac:dyDescent="0.3">
      <c r="B92" s="1" t="s">
        <v>93</v>
      </c>
      <c r="C92" s="28">
        <f>'Financial Statements'!B22/'Financial Statements'!B8</f>
        <v>0.25309640705199732</v>
      </c>
      <c r="D92" s="28">
        <f>'Financial Statements'!C22/'Financial Statements'!C8</f>
        <v>0.25881793355694238</v>
      </c>
      <c r="E92" s="28">
        <f>'Financial Statements'!D22/'Financial Statements'!D8</f>
        <v>0.20913611278072236</v>
      </c>
    </row>
    <row r="93" spans="2:5" x14ac:dyDescent="0.3">
      <c r="B93" s="1"/>
    </row>
    <row r="94" spans="2:5" x14ac:dyDescent="0.3">
      <c r="B94" s="17" t="s">
        <v>98</v>
      </c>
    </row>
    <row r="95" spans="2:5" x14ac:dyDescent="0.3">
      <c r="B95" s="1" t="s">
        <v>94</v>
      </c>
      <c r="C95" s="27">
        <f>'Financial Statements'!B21/'Financial Statements'!B20</f>
        <v>0.16204461684424407</v>
      </c>
      <c r="D95" s="27">
        <f>'Financial Statements'!C21/'Financial Statements'!C20</f>
        <v>0.13302260844085087</v>
      </c>
      <c r="E95" s="27">
        <f>'Financial Statements'!D21/'Financial Statements'!D20</f>
        <v>0.14428164731484103</v>
      </c>
    </row>
    <row r="96" spans="2:5" x14ac:dyDescent="0.3">
      <c r="B96" s="1" t="s">
        <v>95</v>
      </c>
      <c r="C96" s="28">
        <f>'Financial Statements'!B96/'Financial Statements'!B8</f>
        <v>-2.7155058732831552E-2</v>
      </c>
      <c r="D96" s="28">
        <f>'Financial Statements'!C96/'Financial Statements'!C8</f>
        <v>-3.0302036264033657E-2</v>
      </c>
      <c r="E96" s="28">
        <f>'Financial Statements'!D96/'Financial Statements'!D8</f>
        <v>-2.6625138881299748E-2</v>
      </c>
    </row>
    <row r="97" spans="2:5" x14ac:dyDescent="0.3">
      <c r="B97" s="1" t="s">
        <v>96</v>
      </c>
      <c r="C97" s="28">
        <f>'Financial Statements'!B96/'Financial Statements'!B45</f>
        <v>-0.25424412944891611</v>
      </c>
      <c r="D97" s="28">
        <f>'Financial Statements'!C96/'Financial Statements'!C45</f>
        <v>-0.28105983772819471</v>
      </c>
      <c r="E97" s="28">
        <f>'Financial Statements'!D96/'Financial Statements'!D45</f>
        <v>-0.19879780231735844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  <ignoredErrors>
    <ignoredError sqref="C19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B20" sqref="B20"/>
    </sheetView>
  </sheetViews>
  <sheetFormatPr defaultRowHeight="14.4" x14ac:dyDescent="0.3"/>
  <cols>
    <col min="1" max="1" width="138.44140625" bestFit="1" customWidth="1"/>
    <col min="2" max="3" width="11.5546875" bestFit="1" customWidth="1"/>
    <col min="4" max="4" width="11.6640625" bestFit="1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  <c r="G9" t="s">
        <v>204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G20" t="s">
        <v>156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31" t="s">
        <v>24</v>
      </c>
      <c r="B31" s="31"/>
      <c r="C31" s="31"/>
      <c r="D31" s="31"/>
      <c r="F31">
        <v>2022</v>
      </c>
      <c r="G31" s="23">
        <f>B22+B79-G46-G39+G52</f>
        <v>-32165</v>
      </c>
    </row>
    <row r="32" spans="1:7" x14ac:dyDescent="0.3">
      <c r="B32" s="30" t="s">
        <v>142</v>
      </c>
      <c r="C32" s="30"/>
      <c r="D32" s="30"/>
      <c r="F32">
        <v>2021</v>
      </c>
      <c r="G32" s="23">
        <f>C22+C79-G47-G40+G53</f>
        <v>-53897</v>
      </c>
    </row>
    <row r="33" spans="1:1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3">
      <c r="A35" t="s">
        <v>25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G38" t="s">
        <v>155</v>
      </c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150</v>
      </c>
      <c r="M39" t="s">
        <v>151</v>
      </c>
      <c r="N39" t="s">
        <v>203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3">
      <c r="A43" t="s">
        <v>48</v>
      </c>
      <c r="B43" s="12"/>
      <c r="C43" s="12"/>
      <c r="D43" s="12"/>
      <c r="L43" s="24"/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G45" t="s">
        <v>153</v>
      </c>
      <c r="L45" s="24"/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154</v>
      </c>
      <c r="L51" s="23">
        <f>L42+M42-H12</f>
        <v>30.17532050903263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152</v>
      </c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3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3">
      <c r="A58" s="1" t="s">
        <v>37</v>
      </c>
      <c r="B58" s="12"/>
      <c r="C58" s="12"/>
      <c r="D58" s="12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" thickTop="1" x14ac:dyDescent="0.3"/>
    <row r="71" spans="1:8" x14ac:dyDescent="0.3">
      <c r="A71" s="31" t="s">
        <v>55</v>
      </c>
      <c r="B71" s="31"/>
      <c r="C71" s="31"/>
      <c r="D71" s="31"/>
    </row>
    <row r="72" spans="1:8" x14ac:dyDescent="0.3">
      <c r="B72" s="30" t="s">
        <v>23</v>
      </c>
      <c r="C72" s="30"/>
      <c r="D72" s="30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3">
      <c r="F74">
        <v>2022</v>
      </c>
      <c r="G74">
        <f>B12/(AVERAGE(B85+B39))</f>
        <v>34.76609642301711</v>
      </c>
    </row>
    <row r="75" spans="1:8" x14ac:dyDescent="0.3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3">
      <c r="A77" s="11" t="s">
        <v>18</v>
      </c>
      <c r="B77" s="15"/>
      <c r="C77" s="15"/>
      <c r="D77" s="15"/>
      <c r="F77" s="12"/>
      <c r="G77" s="23"/>
      <c r="H77" s="12"/>
    </row>
    <row r="78" spans="1:8" x14ac:dyDescent="0.3">
      <c r="A78" s="1" t="s">
        <v>58</v>
      </c>
      <c r="B78" s="12"/>
      <c r="C78" s="12"/>
      <c r="D78" s="12"/>
      <c r="G78" s="23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  <c r="G79" t="s">
        <v>157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3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3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3">
      <c r="A83" t="s">
        <v>62</v>
      </c>
      <c r="B83" s="12"/>
      <c r="C83" s="12"/>
      <c r="D83" s="12"/>
    </row>
    <row r="84" spans="1:7" x14ac:dyDescent="0.3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3">
      <c r="A87" s="1" t="s">
        <v>84</v>
      </c>
      <c r="B87" s="12">
        <v>-6499</v>
      </c>
      <c r="C87" s="12">
        <v>-8042</v>
      </c>
      <c r="D87" s="12">
        <v>-9588</v>
      </c>
      <c r="F87" s="23" t="s">
        <v>158</v>
      </c>
    </row>
    <row r="88" spans="1:7" x14ac:dyDescent="0.3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3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3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3">
      <c r="A92" s="7" t="s">
        <v>64</v>
      </c>
      <c r="B92" s="12"/>
      <c r="C92" s="12"/>
      <c r="D92" s="12"/>
      <c r="G92" t="s">
        <v>159</v>
      </c>
    </row>
    <row r="93" spans="1:7" x14ac:dyDescent="0.3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3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3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160</v>
      </c>
    </row>
    <row r="100" spans="1:7" x14ac:dyDescent="0.3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3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80</v>
      </c>
      <c r="B112" s="12"/>
      <c r="C112" s="12"/>
      <c r="D112" s="12"/>
      <c r="F112" s="12"/>
      <c r="G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Emily Jarvis</cp:lastModifiedBy>
  <dcterms:created xsi:type="dcterms:W3CDTF">2020-05-18T16:32:37Z</dcterms:created>
  <dcterms:modified xsi:type="dcterms:W3CDTF">2023-10-28T16:02:24Z</dcterms:modified>
</cp:coreProperties>
</file>