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5970" windowHeight="1755" activeTab="3"/>
  </bookViews>
  <sheets>
    <sheet name="Sheet1" sheetId="2" r:id="rId1"/>
    <sheet name="Historicals" sheetId="1" r:id="rId2"/>
    <sheet name="Segmental forecast" sheetId="3" r:id="rId3"/>
    <sheet name="Three Statements" sheetId="4" r:id="rId4"/>
  </sheets>
  <calcPr calcId="124519"/>
  <fileRecoveryPr repairLoad="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69" i="4"/>
  <c r="K69"/>
  <c r="L69"/>
  <c r="M69"/>
  <c r="N69"/>
  <c r="J70"/>
  <c r="K70"/>
  <c r="L70"/>
  <c r="M70"/>
  <c r="N70"/>
  <c r="J43"/>
  <c r="K43"/>
  <c r="L43"/>
  <c r="M43"/>
  <c r="N43"/>
  <c r="K36"/>
  <c r="L36"/>
  <c r="M36" s="1"/>
  <c r="N36" s="1"/>
  <c r="J36"/>
  <c r="L41"/>
  <c r="M41"/>
  <c r="N41"/>
  <c r="K41"/>
  <c r="K42"/>
  <c r="L42"/>
  <c r="M42"/>
  <c r="N42"/>
  <c r="J42"/>
  <c r="J41"/>
  <c r="K40"/>
  <c r="L40"/>
  <c r="M40"/>
  <c r="N40"/>
  <c r="J40"/>
  <c r="K38"/>
  <c r="L38" s="1"/>
  <c r="M38" s="1"/>
  <c r="N38" s="1"/>
  <c r="J38"/>
  <c r="K37"/>
  <c r="L37"/>
  <c r="M37"/>
  <c r="N37" s="1"/>
  <c r="J37"/>
  <c r="K35"/>
  <c r="L35"/>
  <c r="M35"/>
  <c r="N35"/>
  <c r="J35"/>
  <c r="K34"/>
  <c r="L34"/>
  <c r="M34"/>
  <c r="N34" s="1"/>
  <c r="J34"/>
  <c r="J31"/>
  <c r="K31"/>
  <c r="L31"/>
  <c r="M31"/>
  <c r="N31"/>
  <c r="J30"/>
  <c r="K30" s="1"/>
  <c r="L30" s="1"/>
  <c r="M30" s="1"/>
  <c r="N30" s="1"/>
  <c r="J29"/>
  <c r="K29" s="1"/>
  <c r="L29" s="1"/>
  <c r="M29" s="1"/>
  <c r="N29" s="1"/>
  <c r="K28"/>
  <c r="L28"/>
  <c r="M28"/>
  <c r="N28" s="1"/>
  <c r="J28"/>
  <c r="K27"/>
  <c r="L27" s="1"/>
  <c r="M27" s="1"/>
  <c r="N27" s="1"/>
  <c r="J27"/>
  <c r="K25"/>
  <c r="L25" s="1"/>
  <c r="M25" s="1"/>
  <c r="N25" s="1"/>
  <c r="J25"/>
  <c r="K26"/>
  <c r="L26" s="1"/>
  <c r="M26" s="1"/>
  <c r="N26" s="1"/>
  <c r="J26"/>
  <c r="K22"/>
  <c r="L22"/>
  <c r="M22"/>
  <c r="N22" s="1"/>
  <c r="J22"/>
  <c r="J17"/>
  <c r="K17"/>
  <c r="L17"/>
  <c r="L18" s="1"/>
  <c r="M17"/>
  <c r="N18" s="1"/>
  <c r="N17"/>
  <c r="J18"/>
  <c r="K18"/>
  <c r="J19"/>
  <c r="K19"/>
  <c r="L19"/>
  <c r="M19"/>
  <c r="N19"/>
  <c r="K16"/>
  <c r="L16"/>
  <c r="M16"/>
  <c r="N16"/>
  <c r="J16"/>
  <c r="J14"/>
  <c r="K14"/>
  <c r="L14"/>
  <c r="M14"/>
  <c r="N14"/>
  <c r="K12"/>
  <c r="L12"/>
  <c r="M12"/>
  <c r="N12"/>
  <c r="J12"/>
  <c r="K11"/>
  <c r="L11"/>
  <c r="M11"/>
  <c r="N11"/>
  <c r="J11"/>
  <c r="K10"/>
  <c r="L10"/>
  <c r="M10"/>
  <c r="N10"/>
  <c r="J10"/>
  <c r="J53"/>
  <c r="K53"/>
  <c r="L53"/>
  <c r="M53"/>
  <c r="N53"/>
  <c r="N50"/>
  <c r="M50"/>
  <c r="L50"/>
  <c r="K50"/>
  <c r="J50"/>
  <c r="K21"/>
  <c r="L21"/>
  <c r="M21"/>
  <c r="N21"/>
  <c r="J21"/>
  <c r="J67"/>
  <c r="J68"/>
  <c r="K67" s="1"/>
  <c r="K68" s="1"/>
  <c r="L67" s="1"/>
  <c r="L68" s="1"/>
  <c r="M67" s="1"/>
  <c r="M68" s="1"/>
  <c r="N67" s="1"/>
  <c r="N68" s="1"/>
  <c r="J66"/>
  <c r="K66"/>
  <c r="L66"/>
  <c r="M66"/>
  <c r="N66"/>
  <c r="K65"/>
  <c r="L65" s="1"/>
  <c r="M65" s="1"/>
  <c r="N65" s="1"/>
  <c r="J65"/>
  <c r="J64"/>
  <c r="K64"/>
  <c r="L64"/>
  <c r="M64"/>
  <c r="N64"/>
  <c r="K63"/>
  <c r="L63"/>
  <c r="M63"/>
  <c r="N63" s="1"/>
  <c r="J63"/>
  <c r="K62"/>
  <c r="L62" s="1"/>
  <c r="M62" s="1"/>
  <c r="N62" s="1"/>
  <c r="J62"/>
  <c r="K61"/>
  <c r="L61"/>
  <c r="M61"/>
  <c r="N61" s="1"/>
  <c r="J61"/>
  <c r="D77"/>
  <c r="E77"/>
  <c r="F77"/>
  <c r="G77"/>
  <c r="H77"/>
  <c r="I77"/>
  <c r="C77"/>
  <c r="D60"/>
  <c r="E60"/>
  <c r="F60"/>
  <c r="G60"/>
  <c r="H60"/>
  <c r="I60"/>
  <c r="J60"/>
  <c r="K60"/>
  <c r="L60"/>
  <c r="M60"/>
  <c r="N60"/>
  <c r="K59"/>
  <c r="L59"/>
  <c r="M59"/>
  <c r="N59" s="1"/>
  <c r="J59"/>
  <c r="J58"/>
  <c r="K58"/>
  <c r="L58"/>
  <c r="M58"/>
  <c r="N58"/>
  <c r="K57"/>
  <c r="L57" s="1"/>
  <c r="M57" s="1"/>
  <c r="N57" s="1"/>
  <c r="J57"/>
  <c r="J55"/>
  <c r="K55"/>
  <c r="L55"/>
  <c r="M55"/>
  <c r="N55"/>
  <c r="K54"/>
  <c r="L54"/>
  <c r="M54"/>
  <c r="N54" s="1"/>
  <c r="J54"/>
  <c r="J49"/>
  <c r="K49"/>
  <c r="L49"/>
  <c r="M49"/>
  <c r="N49"/>
  <c r="K48"/>
  <c r="L48"/>
  <c r="M48"/>
  <c r="N48" s="1"/>
  <c r="J48"/>
  <c r="J51"/>
  <c r="K51"/>
  <c r="L51"/>
  <c r="M51"/>
  <c r="N51"/>
  <c r="K23"/>
  <c r="L23"/>
  <c r="M23"/>
  <c r="N23"/>
  <c r="J23"/>
  <c r="K15"/>
  <c r="L15"/>
  <c r="M15"/>
  <c r="N15" s="1"/>
  <c r="J15"/>
  <c r="C76"/>
  <c r="D76"/>
  <c r="E76"/>
  <c r="F76"/>
  <c r="G76"/>
  <c r="H76"/>
  <c r="I76"/>
  <c r="B76"/>
  <c r="B18"/>
  <c r="B19"/>
  <c r="D18"/>
  <c r="E18"/>
  <c r="F18"/>
  <c r="G18"/>
  <c r="H18"/>
  <c r="I18"/>
  <c r="C17"/>
  <c r="D17"/>
  <c r="E17"/>
  <c r="F17"/>
  <c r="G17"/>
  <c r="H17"/>
  <c r="I17"/>
  <c r="B17"/>
  <c r="C18" s="1"/>
  <c r="C19"/>
  <c r="D19"/>
  <c r="E19"/>
  <c r="F19"/>
  <c r="G19"/>
  <c r="H19"/>
  <c r="I19"/>
  <c r="C70"/>
  <c r="D70"/>
  <c r="E70"/>
  <c r="F70"/>
  <c r="G70"/>
  <c r="H70"/>
  <c r="I70"/>
  <c r="B70"/>
  <c r="C69"/>
  <c r="D69"/>
  <c r="E69"/>
  <c r="F69"/>
  <c r="G69"/>
  <c r="H69"/>
  <c r="I69"/>
  <c r="B69"/>
  <c r="I68"/>
  <c r="H68"/>
  <c r="G68"/>
  <c r="F68"/>
  <c r="G67" s="1"/>
  <c r="E68"/>
  <c r="D68"/>
  <c r="E67" s="1"/>
  <c r="D67"/>
  <c r="F67"/>
  <c r="H67"/>
  <c r="I67"/>
  <c r="C68"/>
  <c r="C67"/>
  <c r="B68"/>
  <c r="C66"/>
  <c r="D66"/>
  <c r="E66"/>
  <c r="F66"/>
  <c r="G66"/>
  <c r="H66"/>
  <c r="I66"/>
  <c r="B66"/>
  <c r="C65"/>
  <c r="D65"/>
  <c r="E65"/>
  <c r="F65"/>
  <c r="G65"/>
  <c r="H65"/>
  <c r="I65"/>
  <c r="B65"/>
  <c r="C64"/>
  <c r="D64"/>
  <c r="E64"/>
  <c r="F64"/>
  <c r="G64"/>
  <c r="H64"/>
  <c r="I64"/>
  <c r="B64"/>
  <c r="C63"/>
  <c r="D63"/>
  <c r="E63"/>
  <c r="F63"/>
  <c r="G63"/>
  <c r="H63"/>
  <c r="I63"/>
  <c r="B63"/>
  <c r="C59"/>
  <c r="D59"/>
  <c r="E59"/>
  <c r="F59"/>
  <c r="G59"/>
  <c r="H59"/>
  <c r="I59"/>
  <c r="B59"/>
  <c r="C60" s="1"/>
  <c r="C62"/>
  <c r="D62"/>
  <c r="E62"/>
  <c r="F62"/>
  <c r="G62"/>
  <c r="H62"/>
  <c r="I62"/>
  <c r="B62"/>
  <c r="C61"/>
  <c r="D61"/>
  <c r="E61"/>
  <c r="F61"/>
  <c r="G61"/>
  <c r="H61"/>
  <c r="I61"/>
  <c r="B61"/>
  <c r="C58"/>
  <c r="D58"/>
  <c r="E58"/>
  <c r="F58"/>
  <c r="G58"/>
  <c r="H58"/>
  <c r="I58"/>
  <c r="B58"/>
  <c r="C57"/>
  <c r="D57"/>
  <c r="E57"/>
  <c r="F57"/>
  <c r="G57"/>
  <c r="H57"/>
  <c r="I57"/>
  <c r="B57"/>
  <c r="C55"/>
  <c r="D55"/>
  <c r="E55"/>
  <c r="F55"/>
  <c r="G55"/>
  <c r="H55"/>
  <c r="I55"/>
  <c r="B55"/>
  <c r="C54"/>
  <c r="D54"/>
  <c r="E54"/>
  <c r="F54"/>
  <c r="G54"/>
  <c r="H54"/>
  <c r="I54"/>
  <c r="B54"/>
  <c r="D51"/>
  <c r="E51"/>
  <c r="E53" s="1"/>
  <c r="F51"/>
  <c r="G51"/>
  <c r="H51"/>
  <c r="I51"/>
  <c r="I53" s="1"/>
  <c r="C53"/>
  <c r="D53"/>
  <c r="F53"/>
  <c r="G53"/>
  <c r="H53"/>
  <c r="B53"/>
  <c r="C52"/>
  <c r="D52"/>
  <c r="E52"/>
  <c r="F52"/>
  <c r="G52"/>
  <c r="H52"/>
  <c r="I52"/>
  <c r="B52"/>
  <c r="K52"/>
  <c r="L52"/>
  <c r="M52"/>
  <c r="N52"/>
  <c r="J52"/>
  <c r="C51"/>
  <c r="B51"/>
  <c r="M18" l="1"/>
  <c r="C50" l="1"/>
  <c r="D50"/>
  <c r="E50"/>
  <c r="F50"/>
  <c r="G50"/>
  <c r="H50"/>
  <c r="I50"/>
  <c r="B50"/>
  <c r="C49"/>
  <c r="D49"/>
  <c r="E49"/>
  <c r="F49"/>
  <c r="G49"/>
  <c r="H49"/>
  <c r="I49"/>
  <c r="B49"/>
  <c r="C48"/>
  <c r="D48"/>
  <c r="E48"/>
  <c r="F48"/>
  <c r="G48"/>
  <c r="H48"/>
  <c r="I48"/>
  <c r="B48"/>
  <c r="J47"/>
  <c r="K47"/>
  <c r="L47"/>
  <c r="M47"/>
  <c r="N47"/>
  <c r="J46"/>
  <c r="K46"/>
  <c r="L46"/>
  <c r="M46"/>
  <c r="N46"/>
  <c r="C47"/>
  <c r="D47"/>
  <c r="E47"/>
  <c r="F47"/>
  <c r="G47"/>
  <c r="H47"/>
  <c r="I47"/>
  <c r="C46"/>
  <c r="D46"/>
  <c r="E46"/>
  <c r="F46"/>
  <c r="G46"/>
  <c r="H46"/>
  <c r="I46"/>
  <c r="B47"/>
  <c r="B46"/>
  <c r="C43"/>
  <c r="D43"/>
  <c r="E43"/>
  <c r="F43"/>
  <c r="G43"/>
  <c r="H43"/>
  <c r="I43"/>
  <c r="B43"/>
  <c r="C42"/>
  <c r="D42"/>
  <c r="E42"/>
  <c r="F42"/>
  <c r="G42"/>
  <c r="H42"/>
  <c r="I42"/>
  <c r="B42"/>
  <c r="C41"/>
  <c r="D41"/>
  <c r="E41"/>
  <c r="F41"/>
  <c r="G41"/>
  <c r="H41"/>
  <c r="I41"/>
  <c r="B41"/>
  <c r="C40"/>
  <c r="D40"/>
  <c r="E40"/>
  <c r="F40"/>
  <c r="G40"/>
  <c r="H40"/>
  <c r="I40"/>
  <c r="B40"/>
  <c r="C35"/>
  <c r="D35"/>
  <c r="E35"/>
  <c r="F35"/>
  <c r="G35"/>
  <c r="H35"/>
  <c r="I35"/>
  <c r="B35"/>
  <c r="C38"/>
  <c r="D38"/>
  <c r="E38"/>
  <c r="F38"/>
  <c r="G38"/>
  <c r="H38"/>
  <c r="I38"/>
  <c r="B38"/>
  <c r="C37"/>
  <c r="D37"/>
  <c r="E37"/>
  <c r="F37"/>
  <c r="G37"/>
  <c r="H37"/>
  <c r="I37"/>
  <c r="B37"/>
  <c r="C36"/>
  <c r="D36"/>
  <c r="E36"/>
  <c r="F36"/>
  <c r="G36"/>
  <c r="H36"/>
  <c r="I36"/>
  <c r="B36"/>
  <c r="C34"/>
  <c r="D34"/>
  <c r="E34"/>
  <c r="F34"/>
  <c r="G34"/>
  <c r="H34"/>
  <c r="I34"/>
  <c r="B34"/>
  <c r="C33"/>
  <c r="D33"/>
  <c r="E33"/>
  <c r="F33"/>
  <c r="G33"/>
  <c r="H33"/>
  <c r="I33"/>
  <c r="B33"/>
  <c r="C31"/>
  <c r="D31"/>
  <c r="E31"/>
  <c r="F31"/>
  <c r="G31"/>
  <c r="H31"/>
  <c r="I31"/>
  <c r="B31"/>
  <c r="C30"/>
  <c r="D30"/>
  <c r="E30"/>
  <c r="F30"/>
  <c r="G30"/>
  <c r="H30"/>
  <c r="I30"/>
  <c r="B30"/>
  <c r="C25"/>
  <c r="D25"/>
  <c r="E25"/>
  <c r="F25"/>
  <c r="G25"/>
  <c r="H25"/>
  <c r="I25"/>
  <c r="B25"/>
  <c r="C22"/>
  <c r="D22"/>
  <c r="E22"/>
  <c r="F22"/>
  <c r="G22"/>
  <c r="H22"/>
  <c r="I22"/>
  <c r="B22"/>
  <c r="C29"/>
  <c r="D29"/>
  <c r="E29"/>
  <c r="F29"/>
  <c r="G29"/>
  <c r="H29"/>
  <c r="I29"/>
  <c r="B29"/>
  <c r="C28"/>
  <c r="D28"/>
  <c r="E28"/>
  <c r="F28"/>
  <c r="G28"/>
  <c r="H28"/>
  <c r="I28"/>
  <c r="B28"/>
  <c r="C27"/>
  <c r="D27"/>
  <c r="E27"/>
  <c r="F27"/>
  <c r="G27"/>
  <c r="H27"/>
  <c r="I27"/>
  <c r="B27"/>
  <c r="C26"/>
  <c r="D26"/>
  <c r="E26"/>
  <c r="F26"/>
  <c r="G26"/>
  <c r="H26"/>
  <c r="I26"/>
  <c r="B26"/>
  <c r="C24"/>
  <c r="D24"/>
  <c r="E24"/>
  <c r="F24"/>
  <c r="G24"/>
  <c r="H24"/>
  <c r="I24"/>
  <c r="B24"/>
  <c r="C23"/>
  <c r="D23"/>
  <c r="E23"/>
  <c r="F23"/>
  <c r="G23"/>
  <c r="H23"/>
  <c r="I23"/>
  <c r="B23"/>
  <c r="C21"/>
  <c r="D21"/>
  <c r="E21"/>
  <c r="F21"/>
  <c r="G21"/>
  <c r="H21"/>
  <c r="I21"/>
  <c r="B21"/>
  <c r="C16"/>
  <c r="D16"/>
  <c r="E16"/>
  <c r="F16"/>
  <c r="G16"/>
  <c r="H16"/>
  <c r="I16"/>
  <c r="B16"/>
  <c r="C15"/>
  <c r="D15"/>
  <c r="E15"/>
  <c r="F15"/>
  <c r="G15"/>
  <c r="H15"/>
  <c r="I15"/>
  <c r="B15"/>
  <c r="C14"/>
  <c r="D14"/>
  <c r="E14"/>
  <c r="F14"/>
  <c r="G14"/>
  <c r="H14"/>
  <c r="I14"/>
  <c r="B14"/>
  <c r="C12"/>
  <c r="D12"/>
  <c r="E12"/>
  <c r="F12"/>
  <c r="G12"/>
  <c r="H12"/>
  <c r="I12"/>
  <c r="B12"/>
  <c r="C11"/>
  <c r="D11"/>
  <c r="E11"/>
  <c r="F11"/>
  <c r="G11"/>
  <c r="H11"/>
  <c r="I11"/>
  <c r="B11"/>
  <c r="C10"/>
  <c r="D10"/>
  <c r="E10"/>
  <c r="F10"/>
  <c r="G10"/>
  <c r="H10"/>
  <c r="I10"/>
  <c r="B10"/>
  <c r="C9"/>
  <c r="D9"/>
  <c r="E9"/>
  <c r="F9"/>
  <c r="G9"/>
  <c r="H9"/>
  <c r="I9"/>
  <c r="J9"/>
  <c r="K9"/>
  <c r="L9"/>
  <c r="M9"/>
  <c r="N9"/>
  <c r="B9"/>
  <c r="C8"/>
  <c r="D8"/>
  <c r="E8"/>
  <c r="F8"/>
  <c r="G8"/>
  <c r="H8"/>
  <c r="I8"/>
  <c r="J8"/>
  <c r="K8"/>
  <c r="L8"/>
  <c r="M8"/>
  <c r="N8"/>
  <c r="B8"/>
  <c r="C7"/>
  <c r="D7"/>
  <c r="E7"/>
  <c r="F7"/>
  <c r="G7"/>
  <c r="H7"/>
  <c r="I7"/>
  <c r="J7"/>
  <c r="K7"/>
  <c r="L7"/>
  <c r="M7"/>
  <c r="N7"/>
  <c r="B7"/>
  <c r="C6"/>
  <c r="D6"/>
  <c r="E6"/>
  <c r="F6"/>
  <c r="G6"/>
  <c r="H6"/>
  <c r="I6"/>
  <c r="J6"/>
  <c r="K6"/>
  <c r="L6"/>
  <c r="M6"/>
  <c r="N6"/>
  <c r="B6"/>
  <c r="C5"/>
  <c r="D5"/>
  <c r="E5"/>
  <c r="F5"/>
  <c r="G5"/>
  <c r="H5"/>
  <c r="I5"/>
  <c r="J5"/>
  <c r="K5"/>
  <c r="L5"/>
  <c r="M5"/>
  <c r="N5"/>
  <c r="B5"/>
  <c r="N4"/>
  <c r="M4"/>
  <c r="L4"/>
  <c r="K4"/>
  <c r="J4"/>
  <c r="I4"/>
  <c r="H4"/>
  <c r="G4"/>
  <c r="F4"/>
  <c r="E4"/>
  <c r="D4"/>
  <c r="C4"/>
  <c r="B4"/>
  <c r="C3"/>
  <c r="D3"/>
  <c r="E3"/>
  <c r="F3"/>
  <c r="G3"/>
  <c r="H3"/>
  <c r="I3"/>
  <c r="J3"/>
  <c r="K3"/>
  <c r="L3"/>
  <c r="M3"/>
  <c r="N3"/>
  <c r="B3"/>
  <c r="F220" i="3" l="1"/>
  <c r="D219"/>
  <c r="C219"/>
  <c r="B219"/>
  <c r="I220"/>
  <c r="J220" s="1"/>
  <c r="G220"/>
  <c r="F219"/>
  <c r="E219"/>
  <c r="D220"/>
  <c r="C220"/>
  <c r="M217"/>
  <c r="N217" s="1"/>
  <c r="H216"/>
  <c r="G216"/>
  <c r="F216"/>
  <c r="I216"/>
  <c r="H217"/>
  <c r="G217"/>
  <c r="E216"/>
  <c r="C216"/>
  <c r="B216"/>
  <c r="I214"/>
  <c r="J214" s="1"/>
  <c r="K214" s="1"/>
  <c r="L214" s="1"/>
  <c r="M214" s="1"/>
  <c r="N214" s="1"/>
  <c r="H214"/>
  <c r="B214"/>
  <c r="I213"/>
  <c r="H213"/>
  <c r="B213"/>
  <c r="G205"/>
  <c r="D214"/>
  <c r="C214"/>
  <c r="K211"/>
  <c r="C211"/>
  <c r="B211"/>
  <c r="I210"/>
  <c r="H210"/>
  <c r="G210"/>
  <c r="I209"/>
  <c r="H209"/>
  <c r="G209"/>
  <c r="I211"/>
  <c r="J211" s="1"/>
  <c r="H211"/>
  <c r="F211"/>
  <c r="D211"/>
  <c r="C210"/>
  <c r="B210"/>
  <c r="K207"/>
  <c r="L207" s="1"/>
  <c r="M207" s="1"/>
  <c r="N207" s="1"/>
  <c r="H207"/>
  <c r="H205"/>
  <c r="H206" s="1"/>
  <c r="C205"/>
  <c r="B205"/>
  <c r="B207" s="1"/>
  <c r="I204"/>
  <c r="H204"/>
  <c r="G204"/>
  <c r="I217"/>
  <c r="J217" s="1"/>
  <c r="K217" s="1"/>
  <c r="L217" s="1"/>
  <c r="F217"/>
  <c r="D204"/>
  <c r="C204"/>
  <c r="J204" s="1"/>
  <c r="K204" s="1"/>
  <c r="L204" s="1"/>
  <c r="M204" s="1"/>
  <c r="N204" s="1"/>
  <c r="B204"/>
  <c r="J201"/>
  <c r="I201"/>
  <c r="B201"/>
  <c r="H200"/>
  <c r="G200"/>
  <c r="F200"/>
  <c r="I200"/>
  <c r="H201"/>
  <c r="G201"/>
  <c r="E201"/>
  <c r="B200"/>
  <c r="I198"/>
  <c r="J198" s="1"/>
  <c r="K198" s="1"/>
  <c r="L198" s="1"/>
  <c r="M198" s="1"/>
  <c r="N198" s="1"/>
  <c r="H198"/>
  <c r="G197"/>
  <c r="F197"/>
  <c r="E197"/>
  <c r="I197"/>
  <c r="H197"/>
  <c r="G198"/>
  <c r="F198"/>
  <c r="D198"/>
  <c r="B198"/>
  <c r="H195"/>
  <c r="G195"/>
  <c r="F194"/>
  <c r="E194"/>
  <c r="D194"/>
  <c r="I195"/>
  <c r="J195" s="1"/>
  <c r="K195" s="1"/>
  <c r="L195" s="1"/>
  <c r="M195" s="1"/>
  <c r="N195" s="1"/>
  <c r="H194"/>
  <c r="G194"/>
  <c r="F195"/>
  <c r="E195"/>
  <c r="H192"/>
  <c r="G192"/>
  <c r="D191"/>
  <c r="I190"/>
  <c r="H190"/>
  <c r="B190"/>
  <c r="I192"/>
  <c r="J192" s="1"/>
  <c r="G186"/>
  <c r="E191"/>
  <c r="D190"/>
  <c r="C190"/>
  <c r="B192"/>
  <c r="H187"/>
  <c r="H186"/>
  <c r="H188" s="1"/>
  <c r="E186"/>
  <c r="D186"/>
  <c r="D188" s="1"/>
  <c r="K185"/>
  <c r="L185" s="1"/>
  <c r="M185" s="1"/>
  <c r="N185" s="1"/>
  <c r="J184"/>
  <c r="D183"/>
  <c r="D185" s="1"/>
  <c r="C183"/>
  <c r="C185" s="1"/>
  <c r="B183"/>
  <c r="B185" s="1"/>
  <c r="H183"/>
  <c r="H185" s="1"/>
  <c r="G183"/>
  <c r="G185" s="1"/>
  <c r="F183"/>
  <c r="F185" s="1"/>
  <c r="E183"/>
  <c r="E185" s="1"/>
  <c r="M181"/>
  <c r="N181" s="1"/>
  <c r="L181"/>
  <c r="K181"/>
  <c r="D181"/>
  <c r="J180"/>
  <c r="G179"/>
  <c r="G181" s="1"/>
  <c r="F179"/>
  <c r="F181" s="1"/>
  <c r="E179"/>
  <c r="E181" s="1"/>
  <c r="I179"/>
  <c r="I181" s="1"/>
  <c r="H179"/>
  <c r="H181" s="1"/>
  <c r="D179"/>
  <c r="C179"/>
  <c r="C181" s="1"/>
  <c r="B179"/>
  <c r="B181" s="1"/>
  <c r="K177"/>
  <c r="L177" s="1"/>
  <c r="M177" s="1"/>
  <c r="N177" s="1"/>
  <c r="J176"/>
  <c r="I175"/>
  <c r="I177" s="1"/>
  <c r="H175"/>
  <c r="H177" s="1"/>
  <c r="B175"/>
  <c r="B177" s="1"/>
  <c r="F175"/>
  <c r="F177" s="1"/>
  <c r="E175"/>
  <c r="E177" s="1"/>
  <c r="D175"/>
  <c r="C175"/>
  <c r="C177" s="1"/>
  <c r="K173"/>
  <c r="L173" s="1"/>
  <c r="M173" s="1"/>
  <c r="N173" s="1"/>
  <c r="B173"/>
  <c r="J172"/>
  <c r="E171"/>
  <c r="E173" s="1"/>
  <c r="D171"/>
  <c r="D173" s="1"/>
  <c r="C171"/>
  <c r="C173" s="1"/>
  <c r="H171"/>
  <c r="H173" s="1"/>
  <c r="G171"/>
  <c r="G173" s="1"/>
  <c r="F171"/>
  <c r="F173" s="1"/>
  <c r="B171"/>
  <c r="G169"/>
  <c r="F169"/>
  <c r="E169"/>
  <c r="I169"/>
  <c r="H169"/>
  <c r="F201"/>
  <c r="E198"/>
  <c r="D195"/>
  <c r="B169"/>
  <c r="H166"/>
  <c r="F165"/>
  <c r="E165"/>
  <c r="D165"/>
  <c r="I166"/>
  <c r="J166" s="1"/>
  <c r="J164" s="1"/>
  <c r="H165"/>
  <c r="G165"/>
  <c r="E166"/>
  <c r="D166"/>
  <c r="C166"/>
  <c r="E162"/>
  <c r="D162"/>
  <c r="C162"/>
  <c r="H163"/>
  <c r="G162"/>
  <c r="F162"/>
  <c r="D163"/>
  <c r="C163"/>
  <c r="B163"/>
  <c r="N160"/>
  <c r="F160"/>
  <c r="E160"/>
  <c r="D159"/>
  <c r="C159"/>
  <c r="B159"/>
  <c r="I160"/>
  <c r="J160" s="1"/>
  <c r="K160" s="1"/>
  <c r="L160" s="1"/>
  <c r="M160" s="1"/>
  <c r="F159"/>
  <c r="E159"/>
  <c r="C160"/>
  <c r="B160"/>
  <c r="F157"/>
  <c r="E157"/>
  <c r="I156"/>
  <c r="B156"/>
  <c r="H155"/>
  <c r="G155"/>
  <c r="F155"/>
  <c r="I155"/>
  <c r="H157"/>
  <c r="G157"/>
  <c r="F156"/>
  <c r="E151"/>
  <c r="C156"/>
  <c r="B155"/>
  <c r="C151"/>
  <c r="B151"/>
  <c r="B153" s="1"/>
  <c r="K150"/>
  <c r="L150" s="1"/>
  <c r="M150" s="1"/>
  <c r="N150" s="1"/>
  <c r="G150"/>
  <c r="F150"/>
  <c r="E150"/>
  <c r="L149"/>
  <c r="K149"/>
  <c r="K148" s="1"/>
  <c r="K147" s="1"/>
  <c r="J148"/>
  <c r="I148"/>
  <c r="I150" s="1"/>
  <c r="H148"/>
  <c r="H150" s="1"/>
  <c r="G148"/>
  <c r="F148"/>
  <c r="E148"/>
  <c r="D148"/>
  <c r="D150" s="1"/>
  <c r="C148"/>
  <c r="C150" s="1"/>
  <c r="B148"/>
  <c r="B150" s="1"/>
  <c r="J147"/>
  <c r="J146"/>
  <c r="I146"/>
  <c r="D146"/>
  <c r="C146"/>
  <c r="B146"/>
  <c r="J145"/>
  <c r="H156"/>
  <c r="F146"/>
  <c r="E146"/>
  <c r="D160"/>
  <c r="D143"/>
  <c r="C143"/>
  <c r="I142"/>
  <c r="H142"/>
  <c r="C142"/>
  <c r="B142"/>
  <c r="I143"/>
  <c r="J143" s="1"/>
  <c r="H143"/>
  <c r="G143"/>
  <c r="E143"/>
  <c r="D142"/>
  <c r="C140"/>
  <c r="I139"/>
  <c r="H139"/>
  <c r="G139"/>
  <c r="B139"/>
  <c r="H140"/>
  <c r="G140"/>
  <c r="F140"/>
  <c r="D140"/>
  <c r="C139"/>
  <c r="J137"/>
  <c r="K137" s="1"/>
  <c r="L137" s="1"/>
  <c r="M137" s="1"/>
  <c r="N137" s="1"/>
  <c r="I137"/>
  <c r="B137"/>
  <c r="I136"/>
  <c r="H136"/>
  <c r="G136"/>
  <c r="F136"/>
  <c r="F137"/>
  <c r="E137"/>
  <c r="C137"/>
  <c r="B136"/>
  <c r="I134"/>
  <c r="J134" s="1"/>
  <c r="C134"/>
  <c r="B134"/>
  <c r="F133"/>
  <c r="E133"/>
  <c r="E132"/>
  <c r="D132"/>
  <c r="C132"/>
  <c r="B132"/>
  <c r="I128"/>
  <c r="G133"/>
  <c r="F132"/>
  <c r="E134"/>
  <c r="D134"/>
  <c r="C133"/>
  <c r="G128"/>
  <c r="F128"/>
  <c r="F130" s="1"/>
  <c r="L127"/>
  <c r="M127" s="1"/>
  <c r="N127" s="1"/>
  <c r="K127"/>
  <c r="J126"/>
  <c r="G125"/>
  <c r="G127" s="1"/>
  <c r="F125"/>
  <c r="F127" s="1"/>
  <c r="E125"/>
  <c r="E127" s="1"/>
  <c r="D125"/>
  <c r="D127" s="1"/>
  <c r="I125"/>
  <c r="I127" s="1"/>
  <c r="H125"/>
  <c r="H127" s="1"/>
  <c r="C125"/>
  <c r="C127" s="1"/>
  <c r="B125"/>
  <c r="B127" s="1"/>
  <c r="K123"/>
  <c r="L123" s="1"/>
  <c r="M123" s="1"/>
  <c r="N123" s="1"/>
  <c r="F123"/>
  <c r="K122"/>
  <c r="J122"/>
  <c r="J121" s="1"/>
  <c r="I121"/>
  <c r="I123" s="1"/>
  <c r="H121"/>
  <c r="H123" s="1"/>
  <c r="G121"/>
  <c r="G123" s="1"/>
  <c r="B121"/>
  <c r="B123" s="1"/>
  <c r="J120"/>
  <c r="F121"/>
  <c r="E121"/>
  <c r="E123" s="1"/>
  <c r="D121"/>
  <c r="D123" s="1"/>
  <c r="C121"/>
  <c r="C123" s="1"/>
  <c r="K119"/>
  <c r="L119" s="1"/>
  <c r="M119" s="1"/>
  <c r="N119" s="1"/>
  <c r="J118"/>
  <c r="E117"/>
  <c r="E119" s="1"/>
  <c r="D117"/>
  <c r="D119" s="1"/>
  <c r="C117"/>
  <c r="C119" s="1"/>
  <c r="B117"/>
  <c r="B119" s="1"/>
  <c r="H117"/>
  <c r="H119" s="1"/>
  <c r="G117"/>
  <c r="G119" s="1"/>
  <c r="F117"/>
  <c r="F119" s="1"/>
  <c r="G115"/>
  <c r="F115"/>
  <c r="E115"/>
  <c r="D115"/>
  <c r="I115"/>
  <c r="H115"/>
  <c r="D133"/>
  <c r="G112"/>
  <c r="F112"/>
  <c r="F111"/>
  <c r="E111"/>
  <c r="D111"/>
  <c r="C111"/>
  <c r="H112"/>
  <c r="G111"/>
  <c r="E112"/>
  <c r="C112"/>
  <c r="B112"/>
  <c r="F109"/>
  <c r="E109"/>
  <c r="E108"/>
  <c r="D108"/>
  <c r="C108"/>
  <c r="B108"/>
  <c r="I109"/>
  <c r="J109" s="1"/>
  <c r="K109" s="1"/>
  <c r="L109" s="1"/>
  <c r="M109" s="1"/>
  <c r="N109" s="1"/>
  <c r="G109"/>
  <c r="F108"/>
  <c r="C109"/>
  <c r="B109"/>
  <c r="M106"/>
  <c r="N106" s="1"/>
  <c r="E106"/>
  <c r="I105"/>
  <c r="D105"/>
  <c r="C105"/>
  <c r="B105"/>
  <c r="I106"/>
  <c r="J106" s="1"/>
  <c r="K106" s="1"/>
  <c r="L106" s="1"/>
  <c r="H106"/>
  <c r="F106"/>
  <c r="E105"/>
  <c r="C106"/>
  <c r="B106"/>
  <c r="F103"/>
  <c r="E103"/>
  <c r="D103"/>
  <c r="I102"/>
  <c r="H102"/>
  <c r="H101"/>
  <c r="G101"/>
  <c r="F101"/>
  <c r="E101"/>
  <c r="I101"/>
  <c r="H103"/>
  <c r="G103"/>
  <c r="F102"/>
  <c r="E97"/>
  <c r="E99" s="1"/>
  <c r="D97"/>
  <c r="E98" s="1"/>
  <c r="B102"/>
  <c r="I97"/>
  <c r="I99" s="1"/>
  <c r="J99" s="1"/>
  <c r="K99" s="1"/>
  <c r="L99" s="1"/>
  <c r="M99" s="1"/>
  <c r="N99" s="1"/>
  <c r="B97"/>
  <c r="L96"/>
  <c r="M96" s="1"/>
  <c r="N96" s="1"/>
  <c r="K96"/>
  <c r="K95"/>
  <c r="J95"/>
  <c r="J94" s="1"/>
  <c r="J93" s="1"/>
  <c r="I94"/>
  <c r="I96" s="1"/>
  <c r="H94"/>
  <c r="H96" s="1"/>
  <c r="G94"/>
  <c r="G96" s="1"/>
  <c r="E94"/>
  <c r="E96" s="1"/>
  <c r="D94"/>
  <c r="D96" s="1"/>
  <c r="C94"/>
  <c r="C96" s="1"/>
  <c r="B94"/>
  <c r="B96" s="1"/>
  <c r="K92"/>
  <c r="L92" s="1"/>
  <c r="M92" s="1"/>
  <c r="N92" s="1"/>
  <c r="J91"/>
  <c r="D90"/>
  <c r="D92" s="1"/>
  <c r="C90"/>
  <c r="C92" s="1"/>
  <c r="B90"/>
  <c r="B92" s="1"/>
  <c r="H90"/>
  <c r="H92" s="1"/>
  <c r="G90"/>
  <c r="G92" s="1"/>
  <c r="F90"/>
  <c r="E90"/>
  <c r="E92" s="1"/>
  <c r="M88"/>
  <c r="N88" s="1"/>
  <c r="L88"/>
  <c r="K88"/>
  <c r="D88"/>
  <c r="K87"/>
  <c r="L87" s="1"/>
  <c r="K86"/>
  <c r="J86"/>
  <c r="F86"/>
  <c r="F88" s="1"/>
  <c r="E86"/>
  <c r="E88" s="1"/>
  <c r="D86"/>
  <c r="J85"/>
  <c r="I86"/>
  <c r="I88" s="1"/>
  <c r="H86"/>
  <c r="H88" s="1"/>
  <c r="G86"/>
  <c r="G88" s="1"/>
  <c r="C86"/>
  <c r="C88" s="1"/>
  <c r="B86"/>
  <c r="B88" s="1"/>
  <c r="H84"/>
  <c r="G84"/>
  <c r="F84"/>
  <c r="I84"/>
  <c r="C84"/>
  <c r="B84"/>
  <c r="I81"/>
  <c r="J81" s="1"/>
  <c r="H81"/>
  <c r="G80"/>
  <c r="F80"/>
  <c r="E80"/>
  <c r="I80"/>
  <c r="H80"/>
  <c r="G81"/>
  <c r="F81"/>
  <c r="E81"/>
  <c r="D81"/>
  <c r="B81"/>
  <c r="H78"/>
  <c r="G78"/>
  <c r="F77"/>
  <c r="E77"/>
  <c r="D77"/>
  <c r="I78"/>
  <c r="J78" s="1"/>
  <c r="K78" s="1"/>
  <c r="L78" s="1"/>
  <c r="M78" s="1"/>
  <c r="N78" s="1"/>
  <c r="H77"/>
  <c r="G77"/>
  <c r="F78"/>
  <c r="E78"/>
  <c r="D78"/>
  <c r="G75"/>
  <c r="F75"/>
  <c r="E74"/>
  <c r="D74"/>
  <c r="C74"/>
  <c r="H75"/>
  <c r="G74"/>
  <c r="F74"/>
  <c r="E75"/>
  <c r="D75"/>
  <c r="B75"/>
  <c r="G72"/>
  <c r="F72"/>
  <c r="I70"/>
  <c r="H70"/>
  <c r="G70"/>
  <c r="I72"/>
  <c r="J72" s="1"/>
  <c r="H72"/>
  <c r="G71"/>
  <c r="F71"/>
  <c r="D71"/>
  <c r="C70"/>
  <c r="B70"/>
  <c r="K68"/>
  <c r="L68" s="1"/>
  <c r="M68" s="1"/>
  <c r="N68" s="1"/>
  <c r="G66"/>
  <c r="G68" s="1"/>
  <c r="C66"/>
  <c r="B66"/>
  <c r="B68" s="1"/>
  <c r="L65"/>
  <c r="M65" s="1"/>
  <c r="K65"/>
  <c r="G65"/>
  <c r="N65" s="1"/>
  <c r="L64"/>
  <c r="K64"/>
  <c r="K63" s="1"/>
  <c r="N64"/>
  <c r="J63"/>
  <c r="I63"/>
  <c r="I65" s="1"/>
  <c r="H63"/>
  <c r="H65" s="1"/>
  <c r="G63"/>
  <c r="J62"/>
  <c r="K62" s="1"/>
  <c r="F63"/>
  <c r="F65" s="1"/>
  <c r="E63"/>
  <c r="E65" s="1"/>
  <c r="D63"/>
  <c r="D65" s="1"/>
  <c r="C63"/>
  <c r="C65" s="1"/>
  <c r="B63"/>
  <c r="B65" s="1"/>
  <c r="K61"/>
  <c r="L61" s="1"/>
  <c r="M61" s="1"/>
  <c r="I61"/>
  <c r="N60"/>
  <c r="K60"/>
  <c r="L60" s="1"/>
  <c r="K59"/>
  <c r="J59"/>
  <c r="I59"/>
  <c r="C59"/>
  <c r="C61" s="1"/>
  <c r="B59"/>
  <c r="B61" s="1"/>
  <c r="G59"/>
  <c r="G61" s="1"/>
  <c r="N61" s="1"/>
  <c r="F59"/>
  <c r="F61" s="1"/>
  <c r="E59"/>
  <c r="D59"/>
  <c r="D61" s="1"/>
  <c r="L57"/>
  <c r="M57" s="1"/>
  <c r="K57"/>
  <c r="C57"/>
  <c r="K56"/>
  <c r="L56" s="1"/>
  <c r="M56" s="1"/>
  <c r="L55"/>
  <c r="K55"/>
  <c r="J55"/>
  <c r="E55"/>
  <c r="E57" s="1"/>
  <c r="D55"/>
  <c r="D57" s="1"/>
  <c r="C55"/>
  <c r="H55"/>
  <c r="H57" s="1"/>
  <c r="G55"/>
  <c r="G57" s="1"/>
  <c r="F55"/>
  <c r="F57" s="1"/>
  <c r="B55"/>
  <c r="B57" s="1"/>
  <c r="G53"/>
  <c r="F53"/>
  <c r="E53"/>
  <c r="I53"/>
  <c r="H53"/>
  <c r="C71"/>
  <c r="I172" i="1"/>
  <c r="I175" s="1"/>
  <c r="I176" s="1"/>
  <c r="H172"/>
  <c r="H175" s="1"/>
  <c r="H176" s="1"/>
  <c r="G172"/>
  <c r="G175" s="1"/>
  <c r="G176" s="1"/>
  <c r="F172"/>
  <c r="F175" s="1"/>
  <c r="F176" s="1"/>
  <c r="E172"/>
  <c r="E175" s="1"/>
  <c r="E176" s="1"/>
  <c r="D172"/>
  <c r="D175" s="1"/>
  <c r="D176" s="1"/>
  <c r="C172"/>
  <c r="C175" s="1"/>
  <c r="C176" s="1"/>
  <c r="B172"/>
  <c r="B175" s="1"/>
  <c r="B176" s="1"/>
  <c r="I161"/>
  <c r="H161"/>
  <c r="G161"/>
  <c r="F161"/>
  <c r="E161"/>
  <c r="D161"/>
  <c r="C161"/>
  <c r="B161"/>
  <c r="I150"/>
  <c r="I153" s="1"/>
  <c r="I154" s="1"/>
  <c r="H150"/>
  <c r="H153" s="1"/>
  <c r="H154" s="1"/>
  <c r="G150"/>
  <c r="G153" s="1"/>
  <c r="G154" s="1"/>
  <c r="F150"/>
  <c r="F153" s="1"/>
  <c r="F154" s="1"/>
  <c r="E150"/>
  <c r="E153" s="1"/>
  <c r="E154" s="1"/>
  <c r="D150"/>
  <c r="D153" s="1"/>
  <c r="D154" s="1"/>
  <c r="C150"/>
  <c r="C153" s="1"/>
  <c r="C154" s="1"/>
  <c r="B150"/>
  <c r="B153" s="1"/>
  <c r="B154" s="1"/>
  <c r="I139"/>
  <c r="I142" s="1"/>
  <c r="I143" s="1"/>
  <c r="H139"/>
  <c r="H142" s="1"/>
  <c r="H143" s="1"/>
  <c r="G139"/>
  <c r="G142" s="1"/>
  <c r="G143" s="1"/>
  <c r="F139"/>
  <c r="F142" s="1"/>
  <c r="F143" s="1"/>
  <c r="E139"/>
  <c r="E142" s="1"/>
  <c r="E143" s="1"/>
  <c r="D139"/>
  <c r="D142" s="1"/>
  <c r="D143" s="1"/>
  <c r="C139"/>
  <c r="C142" s="1"/>
  <c r="C143" s="1"/>
  <c r="B139"/>
  <c r="B142" s="1"/>
  <c r="B143" s="1"/>
  <c r="I125"/>
  <c r="H125"/>
  <c r="G125"/>
  <c r="F125"/>
  <c r="E125"/>
  <c r="D125"/>
  <c r="C125"/>
  <c r="B125"/>
  <c r="F124"/>
  <c r="F131" s="1"/>
  <c r="F132" s="1"/>
  <c r="I119"/>
  <c r="H119"/>
  <c r="G119"/>
  <c r="F119"/>
  <c r="E119"/>
  <c r="D119"/>
  <c r="C119"/>
  <c r="B119"/>
  <c r="I115"/>
  <c r="H115"/>
  <c r="G115"/>
  <c r="F115"/>
  <c r="E115"/>
  <c r="D115"/>
  <c r="C115"/>
  <c r="B115"/>
  <c r="I111"/>
  <c r="H111"/>
  <c r="G111"/>
  <c r="F111"/>
  <c r="E111"/>
  <c r="D111"/>
  <c r="C111"/>
  <c r="B111"/>
  <c r="I107"/>
  <c r="I124" s="1"/>
  <c r="I131" s="1"/>
  <c r="B132" s="1"/>
  <c r="H107"/>
  <c r="H124" s="1"/>
  <c r="H131" s="1"/>
  <c r="H132" s="1"/>
  <c r="G107"/>
  <c r="G124" s="1"/>
  <c r="G131" s="1"/>
  <c r="G132" s="1"/>
  <c r="F107"/>
  <c r="E107"/>
  <c r="E124" s="1"/>
  <c r="E131" s="1"/>
  <c r="E132" s="1"/>
  <c r="D107"/>
  <c r="D124" s="1"/>
  <c r="D131" s="1"/>
  <c r="D132" s="1"/>
  <c r="C107"/>
  <c r="C124" s="1"/>
  <c r="C131" s="1"/>
  <c r="C132" s="1"/>
  <c r="B107"/>
  <c r="B124" s="1"/>
  <c r="B131" s="1"/>
  <c r="I92"/>
  <c r="I94" s="1"/>
  <c r="H92"/>
  <c r="H94" s="1"/>
  <c r="H96" s="1"/>
  <c r="G92"/>
  <c r="G94" s="1"/>
  <c r="G96" s="1"/>
  <c r="G97" s="1"/>
  <c r="F92"/>
  <c r="F94" s="1"/>
  <c r="F96" s="1"/>
  <c r="F97" s="1"/>
  <c r="E92"/>
  <c r="E94" s="1"/>
  <c r="E96" s="1"/>
  <c r="E97" s="1"/>
  <c r="D92"/>
  <c r="D94" s="1"/>
  <c r="D96" s="1"/>
  <c r="D97" s="1"/>
  <c r="C92"/>
  <c r="C94" s="1"/>
  <c r="C96" s="1"/>
  <c r="C97" s="1"/>
  <c r="B92"/>
  <c r="B94" s="1"/>
  <c r="B96" s="1"/>
  <c r="B97" s="1"/>
  <c r="I83"/>
  <c r="H83"/>
  <c r="G83"/>
  <c r="F83"/>
  <c r="E83"/>
  <c r="D83"/>
  <c r="C83"/>
  <c r="B83"/>
  <c r="B99" i="3" l="1"/>
  <c r="B98"/>
  <c r="B140"/>
  <c r="B115"/>
  <c r="B143"/>
  <c r="K134"/>
  <c r="C153"/>
  <c r="C152"/>
  <c r="M64"/>
  <c r="M63" s="1"/>
  <c r="L63"/>
  <c r="L62" s="1"/>
  <c r="M62" s="1"/>
  <c r="N62" s="1"/>
  <c r="K81"/>
  <c r="J80"/>
  <c r="J90"/>
  <c r="K91"/>
  <c r="C97"/>
  <c r="D98" s="1"/>
  <c r="C103"/>
  <c r="C102"/>
  <c r="C101"/>
  <c r="G106"/>
  <c r="G105"/>
  <c r="G97"/>
  <c r="H109"/>
  <c r="H108"/>
  <c r="J142"/>
  <c r="K143"/>
  <c r="D151"/>
  <c r="D157"/>
  <c r="D156"/>
  <c r="D155"/>
  <c r="K180"/>
  <c r="J179"/>
  <c r="J178" s="1"/>
  <c r="K184"/>
  <c r="J183"/>
  <c r="G188"/>
  <c r="E211"/>
  <c r="E205"/>
  <c r="E210"/>
  <c r="E209"/>
  <c r="D216"/>
  <c r="D217"/>
  <c r="J58"/>
  <c r="K58" s="1"/>
  <c r="J89"/>
  <c r="I112"/>
  <c r="J112" s="1"/>
  <c r="I111"/>
  <c r="E152"/>
  <c r="E153"/>
  <c r="E71"/>
  <c r="E66"/>
  <c r="E70"/>
  <c r="E72"/>
  <c r="K172"/>
  <c r="J171"/>
  <c r="J170" s="1"/>
  <c r="F186"/>
  <c r="F191"/>
  <c r="F190"/>
  <c r="F192"/>
  <c r="K201"/>
  <c r="J200"/>
  <c r="H59"/>
  <c r="H61" s="1"/>
  <c r="N59"/>
  <c r="B133"/>
  <c r="G137"/>
  <c r="D177"/>
  <c r="J54"/>
  <c r="I55"/>
  <c r="I57" s="1"/>
  <c r="L59"/>
  <c r="M60"/>
  <c r="M59" s="1"/>
  <c r="I130"/>
  <c r="J130" s="1"/>
  <c r="K130" s="1"/>
  <c r="L130" s="1"/>
  <c r="M130" s="1"/>
  <c r="N130" s="1"/>
  <c r="G146"/>
  <c r="G166"/>
  <c r="H160"/>
  <c r="H159"/>
  <c r="H151"/>
  <c r="I163"/>
  <c r="J163" s="1"/>
  <c r="I162"/>
  <c r="I171"/>
  <c r="I173" s="1"/>
  <c r="L211"/>
  <c r="C75"/>
  <c r="M55"/>
  <c r="N56"/>
  <c r="C68"/>
  <c r="C67"/>
  <c r="K85"/>
  <c r="J83"/>
  <c r="L95"/>
  <c r="K94"/>
  <c r="J117"/>
  <c r="J116" s="1"/>
  <c r="K118"/>
  <c r="L122"/>
  <c r="K121"/>
  <c r="K120" s="1"/>
  <c r="K126"/>
  <c r="J125"/>
  <c r="J124" s="1"/>
  <c r="H128"/>
  <c r="H133"/>
  <c r="H132"/>
  <c r="H134"/>
  <c r="E140"/>
  <c r="E139"/>
  <c r="F143"/>
  <c r="F142"/>
  <c r="E188"/>
  <c r="E187"/>
  <c r="C207"/>
  <c r="C206"/>
  <c r="F92"/>
  <c r="G160"/>
  <c r="I75"/>
  <c r="J75" s="1"/>
  <c r="K75" s="1"/>
  <c r="L75" s="1"/>
  <c r="M75" s="1"/>
  <c r="N75" s="1"/>
  <c r="I74"/>
  <c r="I66"/>
  <c r="L86"/>
  <c r="M87"/>
  <c r="D137"/>
  <c r="D136"/>
  <c r="D128"/>
  <c r="B166"/>
  <c r="B165"/>
  <c r="J175"/>
  <c r="K176"/>
  <c r="G207"/>
  <c r="D53"/>
  <c r="N57"/>
  <c r="E61"/>
  <c r="C78"/>
  <c r="E84"/>
  <c r="F94"/>
  <c r="F96" s="1"/>
  <c r="K93"/>
  <c r="D109"/>
  <c r="D112"/>
  <c r="J174"/>
  <c r="J182"/>
  <c r="C195"/>
  <c r="D99"/>
  <c r="C53"/>
  <c r="K72"/>
  <c r="B78"/>
  <c r="B77"/>
  <c r="C81"/>
  <c r="C80"/>
  <c r="D106"/>
  <c r="D84"/>
  <c r="M149"/>
  <c r="L148"/>
  <c r="L147" s="1"/>
  <c r="K166"/>
  <c r="J165"/>
  <c r="C169"/>
  <c r="C191"/>
  <c r="B195"/>
  <c r="B194"/>
  <c r="C198"/>
  <c r="C197"/>
  <c r="D201"/>
  <c r="D200"/>
  <c r="E220"/>
  <c r="E204"/>
  <c r="F214"/>
  <c r="F213"/>
  <c r="K220"/>
  <c r="J219"/>
  <c r="N63"/>
  <c r="G163"/>
  <c r="G130"/>
  <c r="G129"/>
  <c r="K145"/>
  <c r="K192"/>
  <c r="H220"/>
  <c r="H219"/>
  <c r="C115"/>
  <c r="G175"/>
  <c r="G177" s="1"/>
  <c r="C201"/>
  <c r="E214"/>
  <c r="E217"/>
  <c r="B71"/>
  <c r="F70"/>
  <c r="I71"/>
  <c r="D72"/>
  <c r="B74"/>
  <c r="C77"/>
  <c r="D80"/>
  <c r="I90"/>
  <c r="I92" s="1"/>
  <c r="H97"/>
  <c r="D101"/>
  <c r="G102"/>
  <c r="B103"/>
  <c r="H105"/>
  <c r="I108"/>
  <c r="B111"/>
  <c r="I117"/>
  <c r="I119" s="1"/>
  <c r="E128"/>
  <c r="I132"/>
  <c r="G134"/>
  <c r="E136"/>
  <c r="H137"/>
  <c r="F139"/>
  <c r="I140"/>
  <c r="J140" s="1"/>
  <c r="K140" s="1"/>
  <c r="L140" s="1"/>
  <c r="M140" s="1"/>
  <c r="N140" s="1"/>
  <c r="G142"/>
  <c r="H146"/>
  <c r="I151"/>
  <c r="E155"/>
  <c r="C157"/>
  <c r="I159"/>
  <c r="B162"/>
  <c r="E163"/>
  <c r="C165"/>
  <c r="F166"/>
  <c r="D169"/>
  <c r="I183"/>
  <c r="I185" s="1"/>
  <c r="C186"/>
  <c r="G190"/>
  <c r="B191"/>
  <c r="E192"/>
  <c r="C194"/>
  <c r="D197"/>
  <c r="E200"/>
  <c r="F204"/>
  <c r="I205"/>
  <c r="F209"/>
  <c r="F210"/>
  <c r="G213"/>
  <c r="G214"/>
  <c r="C217"/>
  <c r="I219"/>
  <c r="F163"/>
  <c r="H66"/>
  <c r="H71"/>
  <c r="C72"/>
  <c r="I103"/>
  <c r="J103" s="1"/>
  <c r="F134"/>
  <c r="G156"/>
  <c r="B157"/>
  <c r="B186"/>
  <c r="I191"/>
  <c r="D192"/>
  <c r="J203"/>
  <c r="B217"/>
  <c r="B53"/>
  <c r="B67"/>
  <c r="D70"/>
  <c r="B72"/>
  <c r="H74"/>
  <c r="I77"/>
  <c r="B80"/>
  <c r="F97"/>
  <c r="I98"/>
  <c r="B101"/>
  <c r="E102"/>
  <c r="F105"/>
  <c r="G108"/>
  <c r="H111"/>
  <c r="C128"/>
  <c r="F129"/>
  <c r="G132"/>
  <c r="C136"/>
  <c r="D139"/>
  <c r="E142"/>
  <c r="G151"/>
  <c r="B152"/>
  <c r="C155"/>
  <c r="I157"/>
  <c r="J157" s="1"/>
  <c r="G159"/>
  <c r="H162"/>
  <c r="I165"/>
  <c r="I186"/>
  <c r="D187"/>
  <c r="E190"/>
  <c r="H191"/>
  <c r="C192"/>
  <c r="I194"/>
  <c r="B197"/>
  <c r="C200"/>
  <c r="B206"/>
  <c r="D209"/>
  <c r="D210"/>
  <c r="G211"/>
  <c r="E213"/>
  <c r="G219"/>
  <c r="B220"/>
  <c r="F66"/>
  <c r="D102"/>
  <c r="B128"/>
  <c r="I133"/>
  <c r="F151"/>
  <c r="E156"/>
  <c r="G191"/>
  <c r="F205"/>
  <c r="C209"/>
  <c r="D213"/>
  <c r="B209"/>
  <c r="C213"/>
  <c r="D66"/>
  <c r="D205"/>
  <c r="E164" i="1"/>
  <c r="E165" s="1"/>
  <c r="I95"/>
  <c r="I96" s="1"/>
  <c r="I97" s="1"/>
  <c r="H97"/>
  <c r="I163"/>
  <c r="I164" s="1"/>
  <c r="I165" s="1"/>
  <c r="H163"/>
  <c r="H164" s="1"/>
  <c r="H165" s="1"/>
  <c r="G163"/>
  <c r="G164" s="1"/>
  <c r="G165" s="1"/>
  <c r="F163"/>
  <c r="F164" s="1"/>
  <c r="F165" s="1"/>
  <c r="E163"/>
  <c r="D163"/>
  <c r="D164" s="1"/>
  <c r="D165" s="1"/>
  <c r="C163"/>
  <c r="C164" s="1"/>
  <c r="C165" s="1"/>
  <c r="B163"/>
  <c r="B164" s="1"/>
  <c r="B165" s="1"/>
  <c r="J168" i="3" l="1"/>
  <c r="L120"/>
  <c r="J114"/>
  <c r="L145"/>
  <c r="M211"/>
  <c r="K157"/>
  <c r="J154"/>
  <c r="F98"/>
  <c r="F99"/>
  <c r="H68"/>
  <c r="H67"/>
  <c r="L72"/>
  <c r="M122"/>
  <c r="L121"/>
  <c r="K171"/>
  <c r="K170" s="1"/>
  <c r="L172"/>
  <c r="L180"/>
  <c r="K179"/>
  <c r="K174"/>
  <c r="B187"/>
  <c r="B188"/>
  <c r="L201"/>
  <c r="K200"/>
  <c r="E207"/>
  <c r="E206"/>
  <c r="I67"/>
  <c r="I68"/>
  <c r="K182"/>
  <c r="K178"/>
  <c r="C129"/>
  <c r="C130"/>
  <c r="H98"/>
  <c r="H99"/>
  <c r="N149"/>
  <c r="N148" s="1"/>
  <c r="M148"/>
  <c r="M147" s="1"/>
  <c r="L85"/>
  <c r="H153"/>
  <c r="H152"/>
  <c r="F188"/>
  <c r="F187"/>
  <c r="L184"/>
  <c r="K183"/>
  <c r="L118"/>
  <c r="K117"/>
  <c r="K116" s="1"/>
  <c r="J205"/>
  <c r="J218"/>
  <c r="J208" s="1"/>
  <c r="J215"/>
  <c r="J216" s="1"/>
  <c r="K203"/>
  <c r="D68"/>
  <c r="D67"/>
  <c r="G67"/>
  <c r="F68"/>
  <c r="F67"/>
  <c r="K103"/>
  <c r="I152"/>
  <c r="I153"/>
  <c r="J153" s="1"/>
  <c r="K175"/>
  <c r="L176"/>
  <c r="N87"/>
  <c r="N86" s="1"/>
  <c r="M86"/>
  <c r="J110"/>
  <c r="J100" s="1"/>
  <c r="J107"/>
  <c r="J108" s="1"/>
  <c r="J84"/>
  <c r="J97"/>
  <c r="J161"/>
  <c r="J162" s="1"/>
  <c r="K163"/>
  <c r="L163" s="1"/>
  <c r="M163" s="1"/>
  <c r="N163" s="1"/>
  <c r="K142"/>
  <c r="L143"/>
  <c r="L81"/>
  <c r="K80"/>
  <c r="K124"/>
  <c r="F207"/>
  <c r="F206"/>
  <c r="D207"/>
  <c r="D206"/>
  <c r="I187"/>
  <c r="I188"/>
  <c r="J188" s="1"/>
  <c r="K188" s="1"/>
  <c r="L188" s="1"/>
  <c r="M188" s="1"/>
  <c r="N188" s="1"/>
  <c r="L166"/>
  <c r="K165"/>
  <c r="H130"/>
  <c r="H129"/>
  <c r="M95"/>
  <c r="L94"/>
  <c r="L93" s="1"/>
  <c r="E68"/>
  <c r="E67"/>
  <c r="D153"/>
  <c r="D152"/>
  <c r="G206"/>
  <c r="I129"/>
  <c r="L58"/>
  <c r="M58" s="1"/>
  <c r="N58" s="1"/>
  <c r="G187"/>
  <c r="F153"/>
  <c r="F152"/>
  <c r="E129"/>
  <c r="E130"/>
  <c r="L126"/>
  <c r="K125"/>
  <c r="B130"/>
  <c r="B129"/>
  <c r="G152"/>
  <c r="G153"/>
  <c r="I206"/>
  <c r="I207"/>
  <c r="C187"/>
  <c r="C188"/>
  <c r="K164"/>
  <c r="K146"/>
  <c r="K161"/>
  <c r="K162" s="1"/>
  <c r="L134"/>
  <c r="D130"/>
  <c r="D129"/>
  <c r="K54"/>
  <c r="J52"/>
  <c r="C99"/>
  <c r="C98"/>
  <c r="L192"/>
  <c r="L220"/>
  <c r="K219"/>
  <c r="K112"/>
  <c r="J111"/>
  <c r="G98"/>
  <c r="G99"/>
  <c r="L91"/>
  <c r="K90"/>
  <c r="K89" s="1"/>
  <c r="N55"/>
  <c r="J101" l="1"/>
  <c r="K114"/>
  <c r="L116"/>
  <c r="N147"/>
  <c r="N145" s="1"/>
  <c r="M145"/>
  <c r="K83"/>
  <c r="L170"/>
  <c r="K168"/>
  <c r="L90"/>
  <c r="L89" s="1"/>
  <c r="M91"/>
  <c r="L117"/>
  <c r="M118"/>
  <c r="J128"/>
  <c r="J141"/>
  <c r="J131" s="1"/>
  <c r="J138"/>
  <c r="J139" s="1"/>
  <c r="J115"/>
  <c r="L54"/>
  <c r="K52"/>
  <c r="L164"/>
  <c r="L146"/>
  <c r="L161"/>
  <c r="L162" s="1"/>
  <c r="J66"/>
  <c r="J53"/>
  <c r="J79"/>
  <c r="J76"/>
  <c r="M126"/>
  <c r="L125"/>
  <c r="J104"/>
  <c r="J105" s="1"/>
  <c r="J98"/>
  <c r="K153"/>
  <c r="J151"/>
  <c r="J212"/>
  <c r="J206"/>
  <c r="N122"/>
  <c r="N121" s="1"/>
  <c r="M121"/>
  <c r="M120" s="1"/>
  <c r="N120" s="1"/>
  <c r="K111"/>
  <c r="L112"/>
  <c r="J196"/>
  <c r="J197" s="1"/>
  <c r="J169"/>
  <c r="J186"/>
  <c r="J199"/>
  <c r="J189" s="1"/>
  <c r="M72"/>
  <c r="M176"/>
  <c r="L175"/>
  <c r="L174" s="1"/>
  <c r="N211"/>
  <c r="M166"/>
  <c r="L165"/>
  <c r="K218"/>
  <c r="K208" s="1"/>
  <c r="K215"/>
  <c r="K216" s="1"/>
  <c r="L203"/>
  <c r="K205"/>
  <c r="L183"/>
  <c r="L182" s="1"/>
  <c r="M184"/>
  <c r="M201"/>
  <c r="L200"/>
  <c r="M172"/>
  <c r="L171"/>
  <c r="K154"/>
  <c r="L157"/>
  <c r="L124"/>
  <c r="L103"/>
  <c r="L219"/>
  <c r="M220"/>
  <c r="N95"/>
  <c r="N94" s="1"/>
  <c r="M94"/>
  <c r="M93" s="1"/>
  <c r="N93" s="1"/>
  <c r="M134"/>
  <c r="M143"/>
  <c r="L142"/>
  <c r="M180"/>
  <c r="L179"/>
  <c r="L178" s="1"/>
  <c r="J155"/>
  <c r="M192"/>
  <c r="M81"/>
  <c r="L80"/>
  <c r="M85"/>
  <c r="L83" l="1"/>
  <c r="M174"/>
  <c r="J187"/>
  <c r="J193"/>
  <c r="J194" s="1"/>
  <c r="N192"/>
  <c r="N134"/>
  <c r="J190"/>
  <c r="L168"/>
  <c r="M170"/>
  <c r="M124"/>
  <c r="N124" s="1"/>
  <c r="J132"/>
  <c r="K97"/>
  <c r="K110"/>
  <c r="K100" s="1"/>
  <c r="K107"/>
  <c r="K108" s="1"/>
  <c r="K84"/>
  <c r="N201"/>
  <c r="N200" s="1"/>
  <c r="M200"/>
  <c r="L153"/>
  <c r="K151"/>
  <c r="J73"/>
  <c r="J74" s="1"/>
  <c r="J67"/>
  <c r="K199"/>
  <c r="K189" s="1"/>
  <c r="K169"/>
  <c r="K186"/>
  <c r="K196"/>
  <c r="K197" s="1"/>
  <c r="K128"/>
  <c r="K141"/>
  <c r="K131" s="1"/>
  <c r="K138"/>
  <c r="K139" s="1"/>
  <c r="K115"/>
  <c r="N143"/>
  <c r="N142" s="1"/>
  <c r="M142"/>
  <c r="M171"/>
  <c r="N172"/>
  <c r="N171" s="1"/>
  <c r="L205"/>
  <c r="L218"/>
  <c r="L208" s="1"/>
  <c r="L215"/>
  <c r="M203"/>
  <c r="N72"/>
  <c r="J69"/>
  <c r="K76"/>
  <c r="K53"/>
  <c r="K79"/>
  <c r="K66"/>
  <c r="M90"/>
  <c r="M89" s="1"/>
  <c r="N91"/>
  <c r="N90" s="1"/>
  <c r="N81"/>
  <c r="N80" s="1"/>
  <c r="M80"/>
  <c r="M103"/>
  <c r="J158"/>
  <c r="J159" s="1"/>
  <c r="J152"/>
  <c r="L52"/>
  <c r="M54"/>
  <c r="L114"/>
  <c r="N85"/>
  <c r="N180"/>
  <c r="N179" s="1"/>
  <c r="M179"/>
  <c r="M178" s="1"/>
  <c r="N178" s="1"/>
  <c r="K212"/>
  <c r="K206"/>
  <c r="N176"/>
  <c r="N175" s="1"/>
  <c r="M175"/>
  <c r="M112"/>
  <c r="L111"/>
  <c r="J77"/>
  <c r="N146"/>
  <c r="N161"/>
  <c r="M219"/>
  <c r="N220"/>
  <c r="N219" s="1"/>
  <c r="K155"/>
  <c r="N166"/>
  <c r="N165" s="1"/>
  <c r="M165"/>
  <c r="N126"/>
  <c r="N125" s="1"/>
  <c r="M125"/>
  <c r="M117"/>
  <c r="M116" s="1"/>
  <c r="N118"/>
  <c r="N117" s="1"/>
  <c r="M164"/>
  <c r="M146"/>
  <c r="M161"/>
  <c r="M162" s="1"/>
  <c r="L154"/>
  <c r="M157"/>
  <c r="M183"/>
  <c r="M182" s="1"/>
  <c r="N182" s="1"/>
  <c r="N184"/>
  <c r="N183" s="1"/>
  <c r="J135"/>
  <c r="J136" s="1"/>
  <c r="J129"/>
  <c r="M114" l="1"/>
  <c r="N116"/>
  <c r="N114" s="1"/>
  <c r="N89"/>
  <c r="M83"/>
  <c r="L79"/>
  <c r="L66"/>
  <c r="L76"/>
  <c r="L53"/>
  <c r="M52"/>
  <c r="N54"/>
  <c r="N52" s="1"/>
  <c r="K193"/>
  <c r="K194" s="1"/>
  <c r="K187"/>
  <c r="L155"/>
  <c r="L115"/>
  <c r="L128"/>
  <c r="L141"/>
  <c r="L131" s="1"/>
  <c r="L138"/>
  <c r="L139" s="1"/>
  <c r="J70"/>
  <c r="M153"/>
  <c r="L151"/>
  <c r="N157"/>
  <c r="N154" s="1"/>
  <c r="M154"/>
  <c r="K77"/>
  <c r="L212"/>
  <c r="L206"/>
  <c r="K129"/>
  <c r="K135"/>
  <c r="K136" s="1"/>
  <c r="K158"/>
  <c r="K159" s="1"/>
  <c r="K152"/>
  <c r="N164"/>
  <c r="N162"/>
  <c r="M168"/>
  <c r="N170"/>
  <c r="K104"/>
  <c r="K105" s="1"/>
  <c r="K98"/>
  <c r="K101"/>
  <c r="K69"/>
  <c r="M215"/>
  <c r="N203"/>
  <c r="M205"/>
  <c r="M218"/>
  <c r="M208" s="1"/>
  <c r="N83"/>
  <c r="N174"/>
  <c r="M111"/>
  <c r="N112"/>
  <c r="N111" s="1"/>
  <c r="N103"/>
  <c r="K132"/>
  <c r="L97"/>
  <c r="L110"/>
  <c r="L100" s="1"/>
  <c r="L107"/>
  <c r="L108" s="1"/>
  <c r="L84"/>
  <c r="K67"/>
  <c r="K190"/>
  <c r="L196"/>
  <c r="L197" s="1"/>
  <c r="L169"/>
  <c r="L186"/>
  <c r="L199"/>
  <c r="L189" s="1"/>
  <c r="M199" l="1"/>
  <c r="M189" s="1"/>
  <c r="M196"/>
  <c r="M197" s="1"/>
  <c r="M169"/>
  <c r="M186"/>
  <c r="N153"/>
  <c r="N151" s="1"/>
  <c r="M151"/>
  <c r="M141"/>
  <c r="M131" s="1"/>
  <c r="M128"/>
  <c r="M138"/>
  <c r="M139" s="1"/>
  <c r="M115"/>
  <c r="L158"/>
  <c r="L159" s="1"/>
  <c r="L152"/>
  <c r="M79"/>
  <c r="M66"/>
  <c r="M76"/>
  <c r="M53"/>
  <c r="N138"/>
  <c r="N115"/>
  <c r="N128"/>
  <c r="N141"/>
  <c r="N131" s="1"/>
  <c r="N168"/>
  <c r="L98"/>
  <c r="L104"/>
  <c r="L105" s="1"/>
  <c r="N84"/>
  <c r="N97"/>
  <c r="N110"/>
  <c r="N100" s="1"/>
  <c r="N107"/>
  <c r="K70"/>
  <c r="N155"/>
  <c r="L129"/>
  <c r="L135"/>
  <c r="L136" s="1"/>
  <c r="N79"/>
  <c r="N66"/>
  <c r="N76"/>
  <c r="N53"/>
  <c r="M97"/>
  <c r="M110"/>
  <c r="M100" s="1"/>
  <c r="M107"/>
  <c r="M108" s="1"/>
  <c r="M84"/>
  <c r="N215"/>
  <c r="N205"/>
  <c r="N218"/>
  <c r="N208" s="1"/>
  <c r="L69"/>
  <c r="L101"/>
  <c r="M155"/>
  <c r="L132"/>
  <c r="L193"/>
  <c r="L194" s="1"/>
  <c r="L187"/>
  <c r="M206"/>
  <c r="M212"/>
  <c r="L73"/>
  <c r="L67"/>
  <c r="L190"/>
  <c r="L77"/>
  <c r="K73"/>
  <c r="K74" s="1"/>
  <c r="N101" l="1"/>
  <c r="N186"/>
  <c r="N199"/>
  <c r="N189" s="1"/>
  <c r="N196"/>
  <c r="N197" s="1"/>
  <c r="N169"/>
  <c r="M77"/>
  <c r="N77"/>
  <c r="M73"/>
  <c r="M74" s="1"/>
  <c r="M67"/>
  <c r="M190"/>
  <c r="N212"/>
  <c r="N206"/>
  <c r="M193"/>
  <c r="M194" s="1"/>
  <c r="M187"/>
  <c r="N98"/>
  <c r="N104"/>
  <c r="N158"/>
  <c r="N152"/>
  <c r="N139"/>
  <c r="M158"/>
  <c r="M159" s="1"/>
  <c r="M152"/>
  <c r="L74"/>
  <c r="N69"/>
  <c r="N135"/>
  <c r="N129"/>
  <c r="M132"/>
  <c r="L70"/>
  <c r="M104"/>
  <c r="M105" s="1"/>
  <c r="M98"/>
  <c r="M101"/>
  <c r="N67"/>
  <c r="N132"/>
  <c r="M69"/>
  <c r="M135"/>
  <c r="M136" s="1"/>
  <c r="M129"/>
  <c r="N108"/>
  <c r="N190" l="1"/>
  <c r="M70"/>
  <c r="N70"/>
  <c r="N193"/>
  <c r="N194" s="1"/>
  <c r="N187"/>
  <c r="N105"/>
  <c r="N73"/>
  <c r="N74" s="1"/>
  <c r="N136"/>
  <c r="N159"/>
  <c r="I64" i="1" l="1"/>
  <c r="I76" s="1"/>
  <c r="H64"/>
  <c r="H76" s="1"/>
  <c r="G64"/>
  <c r="G76" s="1"/>
  <c r="F64"/>
  <c r="E64"/>
  <c r="E76" s="1"/>
  <c r="D64"/>
  <c r="C64"/>
  <c r="B64"/>
  <c r="B76"/>
  <c r="C76"/>
  <c r="D76"/>
  <c r="F76"/>
  <c r="I58"/>
  <c r="I59" s="1"/>
  <c r="I60" s="1"/>
  <c r="H58"/>
  <c r="H59" s="1"/>
  <c r="H60" s="1"/>
  <c r="G58"/>
  <c r="G59" s="1"/>
  <c r="G60" s="1"/>
  <c r="F58"/>
  <c r="F59" s="1"/>
  <c r="E58"/>
  <c r="E59" s="1"/>
  <c r="D58"/>
  <c r="D59" s="1"/>
  <c r="C58"/>
  <c r="C59" s="1"/>
  <c r="B58"/>
  <c r="B59" s="1"/>
  <c r="B60" s="1"/>
  <c r="I45"/>
  <c r="H45"/>
  <c r="G45"/>
  <c r="F45"/>
  <c r="E45"/>
  <c r="D45"/>
  <c r="C45"/>
  <c r="B45"/>
  <c r="B36"/>
  <c r="I30"/>
  <c r="I36" s="1"/>
  <c r="H30"/>
  <c r="H36" s="1"/>
  <c r="G30"/>
  <c r="G36" s="1"/>
  <c r="F30"/>
  <c r="F36" s="1"/>
  <c r="E30"/>
  <c r="E36" s="1"/>
  <c r="D30"/>
  <c r="D36" s="1"/>
  <c r="C30"/>
  <c r="C36" s="1"/>
  <c r="B30"/>
  <c r="I7"/>
  <c r="H7"/>
  <c r="G7"/>
  <c r="F7"/>
  <c r="E7"/>
  <c r="D7"/>
  <c r="C7"/>
  <c r="B7"/>
  <c r="I4"/>
  <c r="I10" s="1"/>
  <c r="I12" s="1"/>
  <c r="H4"/>
  <c r="H10" s="1"/>
  <c r="H12" s="1"/>
  <c r="G4"/>
  <c r="G10" s="1"/>
  <c r="G12" s="1"/>
  <c r="F4"/>
  <c r="F10" s="1"/>
  <c r="E4"/>
  <c r="E10" s="1"/>
  <c r="D4"/>
  <c r="D10" s="1"/>
  <c r="C4"/>
  <c r="C10" s="1"/>
  <c r="C12" s="1"/>
  <c r="B4"/>
  <c r="B10" s="1"/>
  <c r="F60" l="1"/>
  <c r="E60"/>
  <c r="D60"/>
  <c r="C60"/>
  <c r="E12"/>
  <c r="E20" s="1"/>
  <c r="I20"/>
  <c r="F12"/>
  <c r="F20" s="1"/>
  <c r="D12"/>
  <c r="D20" s="1"/>
  <c r="B12"/>
  <c r="B20" s="1"/>
  <c r="G20"/>
  <c r="C20"/>
  <c r="J1" i="4"/>
  <c r="K1" s="1"/>
  <c r="L1" s="1"/>
  <c r="M1" s="1"/>
  <c r="N1" s="1"/>
  <c r="H1"/>
  <c r="G1" s="1"/>
  <c r="F1" s="1"/>
  <c r="E1" s="1"/>
  <c r="D1" s="1"/>
  <c r="C1" s="1"/>
  <c r="B1" s="1"/>
  <c r="H20" i="1" l="1"/>
  <c r="I48" i="3" l="1"/>
  <c r="I17" s="1"/>
  <c r="H48"/>
  <c r="H17" s="1"/>
  <c r="G48"/>
  <c r="G17" s="1"/>
  <c r="F48"/>
  <c r="F17" s="1"/>
  <c r="E48"/>
  <c r="E17" s="1"/>
  <c r="D48"/>
  <c r="D17" s="1"/>
  <c r="C48"/>
  <c r="C17" s="1"/>
  <c r="B48"/>
  <c r="K34"/>
  <c r="L34" s="1"/>
  <c r="M34" s="1"/>
  <c r="N34" s="1"/>
  <c r="J32"/>
  <c r="K30"/>
  <c r="L30" s="1"/>
  <c r="M30" s="1"/>
  <c r="N30" s="1"/>
  <c r="J28"/>
  <c r="J24"/>
  <c r="K25"/>
  <c r="L25" s="1"/>
  <c r="M25" s="1"/>
  <c r="N25" s="1"/>
  <c r="N24" s="1"/>
  <c r="K26"/>
  <c r="L26" s="1"/>
  <c r="M26" s="1"/>
  <c r="N26" s="1"/>
  <c r="G18" l="1"/>
  <c r="F18"/>
  <c r="H18"/>
  <c r="E18"/>
  <c r="D18"/>
  <c r="I18"/>
  <c r="B49"/>
  <c r="B17"/>
  <c r="C18" s="1"/>
  <c r="F49"/>
  <c r="C49"/>
  <c r="E49"/>
  <c r="D49"/>
  <c r="G49"/>
  <c r="H49"/>
  <c r="I49"/>
  <c r="L24"/>
  <c r="M24"/>
  <c r="K24"/>
  <c r="K33"/>
  <c r="K29"/>
  <c r="A20"/>
  <c r="H45"/>
  <c r="H14" s="1"/>
  <c r="G45"/>
  <c r="G14" s="1"/>
  <c r="F45"/>
  <c r="F14" s="1"/>
  <c r="E45"/>
  <c r="E14" s="1"/>
  <c r="D45"/>
  <c r="D14" s="1"/>
  <c r="C45"/>
  <c r="C14" s="1"/>
  <c r="B45"/>
  <c r="B14" s="1"/>
  <c r="I45"/>
  <c r="I14" s="1"/>
  <c r="I38"/>
  <c r="H38"/>
  <c r="G38"/>
  <c r="F38"/>
  <c r="E38"/>
  <c r="D38"/>
  <c r="C38"/>
  <c r="B38"/>
  <c r="H42"/>
  <c r="H11" s="1"/>
  <c r="G42"/>
  <c r="G11" s="1"/>
  <c r="F42"/>
  <c r="F11" s="1"/>
  <c r="E42"/>
  <c r="E11" s="1"/>
  <c r="D42"/>
  <c r="D11" s="1"/>
  <c r="C42"/>
  <c r="C11" s="1"/>
  <c r="B42"/>
  <c r="B11" s="1"/>
  <c r="I42"/>
  <c r="I11" s="1"/>
  <c r="B33"/>
  <c r="C33"/>
  <c r="D33"/>
  <c r="E33"/>
  <c r="F33"/>
  <c r="G33"/>
  <c r="H33"/>
  <c r="I33"/>
  <c r="I29"/>
  <c r="H29"/>
  <c r="G29"/>
  <c r="F29"/>
  <c r="E29"/>
  <c r="D29"/>
  <c r="C29"/>
  <c r="B29"/>
  <c r="H25"/>
  <c r="G25"/>
  <c r="F25"/>
  <c r="E25"/>
  <c r="D25"/>
  <c r="C25"/>
  <c r="B25"/>
  <c r="I25"/>
  <c r="I31"/>
  <c r="J31" s="1"/>
  <c r="H31"/>
  <c r="G31"/>
  <c r="F31"/>
  <c r="E31"/>
  <c r="D31"/>
  <c r="C31"/>
  <c r="B31"/>
  <c r="B32" s="1"/>
  <c r="I27"/>
  <c r="J27" s="1"/>
  <c r="H27"/>
  <c r="G27"/>
  <c r="F27"/>
  <c r="E27"/>
  <c r="D27"/>
  <c r="C27"/>
  <c r="B27"/>
  <c r="B28" s="1"/>
  <c r="B30" s="1"/>
  <c r="B23"/>
  <c r="B24" s="1"/>
  <c r="C23"/>
  <c r="D23"/>
  <c r="E23"/>
  <c r="F23"/>
  <c r="G23"/>
  <c r="H23"/>
  <c r="I23"/>
  <c r="J23" s="1"/>
  <c r="H21"/>
  <c r="G21"/>
  <c r="F21"/>
  <c r="E21"/>
  <c r="D21"/>
  <c r="D3" s="1"/>
  <c r="C21"/>
  <c r="B21"/>
  <c r="J1"/>
  <c r="K1" s="1"/>
  <c r="L1" s="1"/>
  <c r="M1" s="1"/>
  <c r="N1" s="1"/>
  <c r="H1"/>
  <c r="G1" s="1"/>
  <c r="F1" s="1"/>
  <c r="E1" s="1"/>
  <c r="D1" s="1"/>
  <c r="C1" s="1"/>
  <c r="B1" s="1"/>
  <c r="D15" l="1"/>
  <c r="D16"/>
  <c r="C50"/>
  <c r="C3"/>
  <c r="C12"/>
  <c r="D41"/>
  <c r="D8"/>
  <c r="C16"/>
  <c r="E12"/>
  <c r="F41"/>
  <c r="F8"/>
  <c r="E15"/>
  <c r="D13"/>
  <c r="D12"/>
  <c r="E41"/>
  <c r="E8"/>
  <c r="E9" s="1"/>
  <c r="B22"/>
  <c r="B3"/>
  <c r="B4" s="1"/>
  <c r="B12"/>
  <c r="C41"/>
  <c r="C8"/>
  <c r="C15"/>
  <c r="B16"/>
  <c r="B15"/>
  <c r="D4"/>
  <c r="D19"/>
  <c r="I15"/>
  <c r="E50"/>
  <c r="E3"/>
  <c r="E13" s="1"/>
  <c r="I41"/>
  <c r="J41" s="1"/>
  <c r="K41" s="1"/>
  <c r="I8"/>
  <c r="H15"/>
  <c r="H16"/>
  <c r="I12"/>
  <c r="B41"/>
  <c r="B8"/>
  <c r="H50"/>
  <c r="H3"/>
  <c r="G44"/>
  <c r="G3"/>
  <c r="H12"/>
  <c r="G12"/>
  <c r="G13"/>
  <c r="H41"/>
  <c r="H8"/>
  <c r="G15"/>
  <c r="G16"/>
  <c r="F50"/>
  <c r="F3"/>
  <c r="F13"/>
  <c r="F12"/>
  <c r="G41"/>
  <c r="G8"/>
  <c r="F16"/>
  <c r="F15"/>
  <c r="B19"/>
  <c r="B18"/>
  <c r="L41"/>
  <c r="G32"/>
  <c r="G34" s="1"/>
  <c r="H24"/>
  <c r="H26" s="1"/>
  <c r="D22"/>
  <c r="E28"/>
  <c r="E30" s="1"/>
  <c r="C24"/>
  <c r="C26" s="1"/>
  <c r="C46"/>
  <c r="D24"/>
  <c r="D26" s="1"/>
  <c r="G43"/>
  <c r="G46"/>
  <c r="C40"/>
  <c r="B50"/>
  <c r="G50"/>
  <c r="D50"/>
  <c r="G24"/>
  <c r="G26" s="1"/>
  <c r="H35"/>
  <c r="H46"/>
  <c r="B34"/>
  <c r="I35"/>
  <c r="I5" s="1"/>
  <c r="B40"/>
  <c r="H47"/>
  <c r="E32"/>
  <c r="E34" s="1"/>
  <c r="C32"/>
  <c r="C34" s="1"/>
  <c r="B35"/>
  <c r="E22"/>
  <c r="E24"/>
  <c r="E26" s="1"/>
  <c r="F28"/>
  <c r="F30" s="1"/>
  <c r="F32"/>
  <c r="F34" s="1"/>
  <c r="E46"/>
  <c r="G47"/>
  <c r="G28"/>
  <c r="G30" s="1"/>
  <c r="H28"/>
  <c r="H30" s="1"/>
  <c r="H32"/>
  <c r="H34" s="1"/>
  <c r="C35"/>
  <c r="D40"/>
  <c r="H22"/>
  <c r="B26"/>
  <c r="D44"/>
  <c r="E39"/>
  <c r="H44"/>
  <c r="F43"/>
  <c r="F40"/>
  <c r="F22"/>
  <c r="F44"/>
  <c r="C28"/>
  <c r="C30" s="1"/>
  <c r="G40"/>
  <c r="F46"/>
  <c r="C22"/>
  <c r="D28"/>
  <c r="D30" s="1"/>
  <c r="D32"/>
  <c r="D34" s="1"/>
  <c r="I24"/>
  <c r="I26" s="1"/>
  <c r="G35"/>
  <c r="H40"/>
  <c r="G22"/>
  <c r="D47"/>
  <c r="F47"/>
  <c r="E44"/>
  <c r="E47"/>
  <c r="J21"/>
  <c r="K23"/>
  <c r="L23" s="1"/>
  <c r="M23" s="1"/>
  <c r="N23" s="1"/>
  <c r="I39"/>
  <c r="I43"/>
  <c r="I46"/>
  <c r="D35"/>
  <c r="D5" s="1"/>
  <c r="E43"/>
  <c r="E40"/>
  <c r="F24"/>
  <c r="F26" s="1"/>
  <c r="E35"/>
  <c r="E5" s="1"/>
  <c r="F35"/>
  <c r="F5" s="1"/>
  <c r="G39"/>
  <c r="B39"/>
  <c r="B43"/>
  <c r="B44"/>
  <c r="B46"/>
  <c r="B47"/>
  <c r="F39"/>
  <c r="H43"/>
  <c r="I28"/>
  <c r="I30" s="1"/>
  <c r="C39"/>
  <c r="C43"/>
  <c r="C44"/>
  <c r="C47"/>
  <c r="H39"/>
  <c r="I32"/>
  <c r="I34" s="1"/>
  <c r="D39"/>
  <c r="D43"/>
  <c r="D46"/>
  <c r="K32"/>
  <c r="K31" s="1"/>
  <c r="L33"/>
  <c r="K28"/>
  <c r="K27" s="1"/>
  <c r="L29"/>
  <c r="B9" l="1"/>
  <c r="B10"/>
  <c r="E7"/>
  <c r="E6"/>
  <c r="G37"/>
  <c r="G5"/>
  <c r="G9"/>
  <c r="G10"/>
  <c r="I9"/>
  <c r="H10"/>
  <c r="H9"/>
  <c r="C4"/>
  <c r="C19"/>
  <c r="F6"/>
  <c r="F7"/>
  <c r="H4"/>
  <c r="H19"/>
  <c r="F10"/>
  <c r="F9"/>
  <c r="C10"/>
  <c r="C9"/>
  <c r="E10"/>
  <c r="E4"/>
  <c r="E19"/>
  <c r="E16"/>
  <c r="C13"/>
  <c r="G4"/>
  <c r="G19"/>
  <c r="H13"/>
  <c r="B13"/>
  <c r="C37"/>
  <c r="C5"/>
  <c r="D6" s="1"/>
  <c r="D7"/>
  <c r="B36"/>
  <c r="B5"/>
  <c r="H37"/>
  <c r="H5"/>
  <c r="I6" s="1"/>
  <c r="F4"/>
  <c r="F19"/>
  <c r="D9"/>
  <c r="D10"/>
  <c r="J102"/>
  <c r="J210"/>
  <c r="J3"/>
  <c r="J156"/>
  <c r="J191"/>
  <c r="J133"/>
  <c r="J71"/>
  <c r="M41"/>
  <c r="I36"/>
  <c r="B37"/>
  <c r="C36"/>
  <c r="G36"/>
  <c r="H36"/>
  <c r="D36"/>
  <c r="D37"/>
  <c r="F37"/>
  <c r="F36"/>
  <c r="E36"/>
  <c r="E37"/>
  <c r="L32"/>
  <c r="L31" s="1"/>
  <c r="M33"/>
  <c r="L28"/>
  <c r="L27" s="1"/>
  <c r="M29"/>
  <c r="K21"/>
  <c r="I21"/>
  <c r="H7" l="1"/>
  <c r="H6"/>
  <c r="C7"/>
  <c r="C6"/>
  <c r="I50"/>
  <c r="J50" s="1"/>
  <c r="J48" s="1"/>
  <c r="I3"/>
  <c r="B6"/>
  <c r="B7"/>
  <c r="G6"/>
  <c r="G7"/>
  <c r="J4"/>
  <c r="K3"/>
  <c r="K4" s="1"/>
  <c r="K210"/>
  <c r="K156"/>
  <c r="K102"/>
  <c r="K133"/>
  <c r="K191"/>
  <c r="K71"/>
  <c r="J38"/>
  <c r="J8" s="1"/>
  <c r="J17"/>
  <c r="N41"/>
  <c r="I22"/>
  <c r="I44"/>
  <c r="J22"/>
  <c r="I40"/>
  <c r="I47"/>
  <c r="J47" s="1"/>
  <c r="I37"/>
  <c r="J37" s="1"/>
  <c r="K22"/>
  <c r="M32"/>
  <c r="M31" s="1"/>
  <c r="N31" s="1"/>
  <c r="N33"/>
  <c r="N32" s="1"/>
  <c r="L21"/>
  <c r="M28"/>
  <c r="M27" s="1"/>
  <c r="N29"/>
  <c r="N28" s="1"/>
  <c r="I4" l="1"/>
  <c r="I19"/>
  <c r="I13"/>
  <c r="I16"/>
  <c r="I10"/>
  <c r="I7"/>
  <c r="J49"/>
  <c r="K50"/>
  <c r="K49" s="1"/>
  <c r="J19"/>
  <c r="J18"/>
  <c r="L210"/>
  <c r="L3"/>
  <c r="L4" s="1"/>
  <c r="L156"/>
  <c r="L133"/>
  <c r="L191"/>
  <c r="L102"/>
  <c r="L71"/>
  <c r="J9"/>
  <c r="J10"/>
  <c r="K47"/>
  <c r="J45"/>
  <c r="K48"/>
  <c r="K37"/>
  <c r="J35"/>
  <c r="J5" s="1"/>
  <c r="L22"/>
  <c r="N27"/>
  <c r="N21" s="1"/>
  <c r="M21"/>
  <c r="L50" l="1"/>
  <c r="L48" s="1"/>
  <c r="L17" s="1"/>
  <c r="J7"/>
  <c r="J6"/>
  <c r="J11"/>
  <c r="N156"/>
  <c r="N133"/>
  <c r="N102"/>
  <c r="N3"/>
  <c r="N210"/>
  <c r="N191"/>
  <c r="N71"/>
  <c r="M156"/>
  <c r="M3"/>
  <c r="M4" s="1"/>
  <c r="M210"/>
  <c r="M133"/>
  <c r="M102"/>
  <c r="M191"/>
  <c r="M71"/>
  <c r="J46"/>
  <c r="J14"/>
  <c r="K38"/>
  <c r="K8" s="1"/>
  <c r="K17"/>
  <c r="J36"/>
  <c r="J42"/>
  <c r="L47"/>
  <c r="K45"/>
  <c r="L37"/>
  <c r="K35"/>
  <c r="M22"/>
  <c r="N22"/>
  <c r="L38" l="1"/>
  <c r="L8" s="1"/>
  <c r="L9" s="1"/>
  <c r="M50"/>
  <c r="M48" s="1"/>
  <c r="M17" s="1"/>
  <c r="L49"/>
  <c r="N4"/>
  <c r="L18"/>
  <c r="L19"/>
  <c r="K46"/>
  <c r="K14"/>
  <c r="J15"/>
  <c r="J16"/>
  <c r="J12"/>
  <c r="J13"/>
  <c r="K9"/>
  <c r="K10"/>
  <c r="K36"/>
  <c r="K5"/>
  <c r="K18"/>
  <c r="K19"/>
  <c r="M49"/>
  <c r="J44"/>
  <c r="J43"/>
  <c r="M47"/>
  <c r="L45"/>
  <c r="K42"/>
  <c r="M37"/>
  <c r="L35"/>
  <c r="L5" s="1"/>
  <c r="M38" l="1"/>
  <c r="M8" s="1"/>
  <c r="M10" s="1"/>
  <c r="L10"/>
  <c r="N50"/>
  <c r="N48" s="1"/>
  <c r="L46"/>
  <c r="L14"/>
  <c r="K6"/>
  <c r="K7"/>
  <c r="L6"/>
  <c r="L11"/>
  <c r="L7"/>
  <c r="K16"/>
  <c r="K15"/>
  <c r="M19"/>
  <c r="M18"/>
  <c r="K11"/>
  <c r="L36"/>
  <c r="L42"/>
  <c r="N47"/>
  <c r="M45"/>
  <c r="K44"/>
  <c r="K43"/>
  <c r="N37"/>
  <c r="N35" s="1"/>
  <c r="N5" s="1"/>
  <c r="M35"/>
  <c r="M5" s="1"/>
  <c r="H1" i="1"/>
  <c r="G1" s="1"/>
  <c r="F1" s="1"/>
  <c r="E1" s="1"/>
  <c r="D1" s="1"/>
  <c r="C1" s="1"/>
  <c r="B1" s="1"/>
  <c r="M9" i="3" l="1"/>
  <c r="N49"/>
  <c r="L15"/>
  <c r="L16"/>
  <c r="M6"/>
  <c r="M7"/>
  <c r="M11"/>
  <c r="M46"/>
  <c r="M14"/>
  <c r="N38"/>
  <c r="N8" s="1"/>
  <c r="N17"/>
  <c r="K12"/>
  <c r="K13"/>
  <c r="L12"/>
  <c r="L13"/>
  <c r="N7"/>
  <c r="N6"/>
  <c r="M36"/>
  <c r="M42"/>
  <c r="L43"/>
  <c r="L44"/>
  <c r="N45"/>
  <c r="N36"/>
  <c r="N42" l="1"/>
  <c r="N44" s="1"/>
  <c r="N18"/>
  <c r="N19"/>
  <c r="N46"/>
  <c r="N14"/>
  <c r="M12"/>
  <c r="M13"/>
  <c r="M15"/>
  <c r="M16"/>
  <c r="N11"/>
  <c r="N10"/>
  <c r="N9"/>
  <c r="M43"/>
  <c r="M44"/>
  <c r="K39"/>
  <c r="M39"/>
  <c r="N39"/>
  <c r="M40"/>
  <c r="N40"/>
  <c r="K40"/>
  <c r="J39"/>
  <c r="L39"/>
  <c r="J40"/>
  <c r="L40"/>
  <c r="N43" l="1"/>
  <c r="N13"/>
  <c r="N12"/>
  <c r="N15"/>
  <c r="N16"/>
</calcChain>
</file>

<file path=xl/sharedStrings.xml><?xml version="1.0" encoding="utf-8"?>
<sst xmlns="http://schemas.openxmlformats.org/spreadsheetml/2006/main" count="547" uniqueCount="232">
  <si>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</si>
  <si>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</si>
  <si>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</si>
  <si>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</si>
  <si>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</si>
  <si>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</si>
  <si>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</si>
  <si>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</si>
  <si>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</si>
  <si>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</si>
  <si>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</si>
  <si>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</si>
  <si>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</si>
  <si>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</si>
  <si>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</si>
  <si>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</si>
  <si>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</si>
  <si>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</si>
  <si>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</si>
  <si>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</si>
  <si>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</si>
  <si>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</si>
  <si>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</si>
  <si>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</si>
  <si>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</si>
  <si>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</si>
  <si>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</si>
  <si>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</si>
  <si>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</si>
  <si>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</si>
  <si>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</si>
  <si>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</si>
  <si>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</si>
  <si>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</si>
  <si>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</si>
  <si>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</si>
  <si>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</si>
  <si>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</si>
  <si>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</si>
  <si>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</si>
  <si>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</si>
  <si>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</si>
  <si>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</si>
  <si>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</si>
  <si>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</si>
  <si>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</si>
  <si>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</si>
  <si>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</si>
  <si>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</si>
  <si>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</si>
  <si>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</si>
  <si>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</si>
  <si>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</si>
  <si>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</si>
  <si>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</si>
  <si>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</si>
  <si>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</si>
  <si>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</si>
  <si>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</si>
  <si>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</si>
  <si>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</si>
  <si>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</si>
  <si>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</si>
  <si>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</si>
  <si>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</si>
  <si>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</si>
  <si>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</si>
  <si>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</si>
  <si>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</si>
  <si>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</si>
  <si>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</si>
  <si>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</si>
  <si>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</si>
  <si>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</si>
  <si>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</si>
  <si>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</si>
  <si>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</si>
  <si>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</si>
  <si>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</si>
  <si>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</si>
  <si>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</si>
  <si>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</si>
  <si>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</si>
  <si>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</si>
  <si>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</si>
  <si>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</si>
  <si>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</si>
  <si>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</si>
  <si>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</si>
  <si>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</si>
  <si>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</si>
  <si>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</si>
  <si>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</si>
  <si>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</si>
  <si>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</si>
  <si>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</si>
  <si>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</si>
  <si>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</si>
  <si>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</si>
  <si>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</si>
  <si>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</si>
  <si>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</si>
  <si>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</si>
  <si>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</si>
  <si>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</si>
  <si>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</si>
  <si>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</si>
  <si>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</si>
  <si>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</si>
  <si>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</si>
  <si>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</si>
  <si>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</si>
  <si>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</si>
  <si>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</si>
  <si>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</si>
  <si>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</si>
  <si>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</si>
  <si>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</si>
  <si>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</si>
  <si>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</si>
  <si>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</si>
  <si>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</si>
  <si>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</si>
  <si>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</si>
  <si>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</si>
  <si>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</si>
  <si>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</si>
  <si>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</si>
  <si>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</si>
  <si>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</si>
  <si>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</si>
  <si>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</si>
  <si>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</si>
  <si>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</si>
  <si>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</si>
  <si>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</si>
  <si>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</si>
  <si>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</si>
  <si>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</si>
  <si>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</si>
  <si>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</si>
  <si>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</si>
  <si>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</si>
  <si>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</si>
  <si>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</si>
  <si>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</si>
  <si>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</si>
  <si>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</si>
  <si>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Guidance: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</si>
  <si>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</si>
  <si>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</si>
  <si>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</si>
  <si>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</si>
  <si>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</si>
  <si>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</si>
  <si>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</si>
  <si>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</si>
  <si>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</si>
  <si>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</si>
  <si>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</si>
  <si>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</si>
  <si>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</si>
  <si>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</si>
  <si>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</si>
  <si>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</si>
  <si>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</si>
  <si>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</si>
  <si>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</si>
  <si>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</si>
  <si>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</si>
  <si>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</si>
  <si>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</si>
  <si>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</si>
  <si>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</si>
  <si>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</si>
  <si>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</si>
  <si>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</si>
  <si>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</si>
  <si>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</si>
  <si>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</si>
  <si>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</si>
  <si>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</si>
  <si>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</si>
  <si>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</si>
  <si>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</si>
  <si>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</si>
  <si>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</si>
  <si>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</si>
  <si>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</si>
  <si>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</si>
  <si>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</si>
  <si>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</si>
  <si>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</si>
  <si>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</si>
  <si>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</si>
  <si>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</si>
  <si>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</si>
  <si>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</si>
  <si>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</si>
  <si>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</si>
  <si>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</si>
  <si>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</si>
  <si>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</si>
  <si>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</si>
  <si>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</si>
  <si>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</si>
  <si>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</si>
  <si>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</si>
  <si>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</si>
  <si>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</si>
  <si>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</si>
  <si>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Read up on the Borrowing, Assets (Tangible and Intangible) from Annual report, press release, presentations and earnings calls to arrive at your justifications</t>
  </si>
  <si>
    <t>Read up on Dividend payments, analyze the historical trend in Payout</t>
  </si>
  <si>
    <t>Forecast group Capex in Cash flow statement and keep corporate capex as the balancing figure between group and segmental capex</t>
  </si>
  <si>
    <t>You can take up to 5 days for this exercise</t>
  </si>
  <si>
    <t>Please write your justifications for your assumptions on the comments column</t>
  </si>
  <si>
    <t>Comments</t>
  </si>
  <si>
    <t>Now that we have forecasted segmental Capex and Depreciation on the revenue model, you can link them in the "Three Statements" sheet</t>
  </si>
  <si>
    <t>Up on the completion of forecasting up to EBIT, next is forecasting Interest, Tax, key balance sheet items including Assets and Borrowing in addition to Dividends</t>
  </si>
  <si>
    <t>Note: Some elements in the cash flow statement are still incomplete, we will tackle them in the next phase to balance the model, therefore, do not worry if the cash flow and balance sheet doesn’t tally</t>
  </si>
  <si>
    <t xml:space="preserve">                     -   </t>
  </si>
  <si>
    <t xml:space="preserve">                         -   </t>
  </si>
  <si>
    <t xml:space="preserve">                          -   </t>
  </si>
  <si>
    <t>This is based on NIKE projection</t>
  </si>
  <si>
    <t>DRIVERS</t>
  </si>
  <si>
    <t>NET DEBT as %age of cash</t>
  </si>
  <si>
    <t>Assumed there no increase as info was not provided</t>
  </si>
  <si>
    <t>Assumed cash tax did not increase</t>
  </si>
  <si>
    <t xml:space="preserve">Assumed no increase </t>
  </si>
  <si>
    <t>%age growth of dividends paid to shareholders</t>
  </si>
  <si>
    <t>Assumed an average growth of 12% based on historical trends</t>
  </si>
  <si>
    <t>Being scheduled maturity of long -term debt from 2023 to 2027</t>
  </si>
</sst>
</file>

<file path=xl/styles.xml><?xml version="1.0" encoding="utf-8"?>
<styleSheet xmlns="http://schemas.openxmlformats.org/spreadsheetml/2006/main">
  <numFmts count="8">
    <numFmt numFmtId="43" formatCode="_-* #,##0.00_-;\-* #,##0.00_-;_-* &quot;-&quot;??_-;_-@_-"/>
    <numFmt numFmtId="164" formatCode="_(* #,##0.00_);_(* \(#,##0.00\);_(* &quot;-&quot;??_);_(@_)"/>
    <numFmt numFmtId="165" formatCode="_(* #,##0_);_(* \(#,##0\);_(* &quot;-&quot;??_);_(@_)"/>
    <numFmt numFmtId="166" formatCode="0.0%"/>
    <numFmt numFmtId="167" formatCode="#,##0.0"/>
    <numFmt numFmtId="168" formatCode="#,##0_);\(#,##0\)"/>
    <numFmt numFmtId="169" formatCode="\$\ 0"/>
    <numFmt numFmtId="171" formatCode="#,##0.000"/>
  </numFmts>
  <fonts count="18">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11"/>
      <color rgb="FF000000"/>
      <name val="Calibri"/>
      <family val="2"/>
      <scheme val="minor"/>
    </font>
    <font>
      <i/>
      <sz val="10"/>
      <color rgb="FF000000"/>
      <name val="Calibri"/>
      <family val="2"/>
      <scheme val="minor"/>
    </font>
    <font>
      <sz val="11"/>
      <color rgb="FF231F2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0070C0"/>
        <bgColor indexed="64"/>
      </patternFill>
    </fill>
    <fill>
      <patternFill patternType="solid">
        <fgColor theme="4" tint="0.39997558519241921"/>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0" fontId="0" fillId="0" borderId="0" xfId="0"/>
    <xf numFmtId="0" fontId="2" fillId="0" borderId="0" xfId="0" applyFont="1"/>
    <xf numFmtId="0" fontId="0" fillId="0" borderId="0" xfId="0" applyAlignment="1">
      <alignment horizontal="left" indent="1"/>
    </xf>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164" fontId="0" fillId="0" borderId="0" xfId="1" applyNumberFormat="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applyFont="1"/>
    <xf numFmtId="0" fontId="7" fillId="2" borderId="0" xfId="0" applyFont="1" applyFill="1" applyAlignment="1">
      <alignment horizontal="center"/>
    </xf>
    <xf numFmtId="165" fontId="15" fillId="0" borderId="0" xfId="0" applyNumberFormat="1" applyFont="1"/>
    <xf numFmtId="167" fontId="0" fillId="0" borderId="0" xfId="0" applyNumberFormat="1"/>
    <xf numFmtId="165" fontId="0" fillId="0" borderId="0" xfId="1" applyNumberFormat="1" applyFont="1" applyFill="1"/>
    <xf numFmtId="165" fontId="14" fillId="0" borderId="0" xfId="0" applyNumberFormat="1" applyFont="1"/>
    <xf numFmtId="168" fontId="17" fillId="0" borderId="5" xfId="0" applyNumberFormat="1" applyFont="1" applyFill="1" applyBorder="1" applyAlignment="1">
      <alignment horizontal="right" vertical="top" shrinkToFit="1"/>
    </xf>
    <xf numFmtId="1" fontId="17" fillId="0" borderId="5" xfId="0" applyNumberFormat="1" applyFont="1" applyFill="1" applyBorder="1" applyAlignment="1">
      <alignment horizontal="right" vertical="top" shrinkToFit="1"/>
    </xf>
    <xf numFmtId="3" fontId="17" fillId="0" borderId="5" xfId="0" applyNumberFormat="1" applyFont="1" applyFill="1" applyBorder="1" applyAlignment="1">
      <alignment horizontal="right" vertical="top" shrinkToFit="1"/>
    </xf>
    <xf numFmtId="1" fontId="17" fillId="0" borderId="6" xfId="0" applyNumberFormat="1" applyFont="1" applyFill="1" applyBorder="1" applyAlignment="1">
      <alignment horizontal="right" vertical="top" shrinkToFit="1"/>
    </xf>
    <xf numFmtId="169" fontId="17" fillId="0" borderId="5" xfId="0" applyNumberFormat="1" applyFont="1" applyFill="1" applyBorder="1" applyAlignment="1">
      <alignment horizontal="right" vertical="top" shrinkToFit="1"/>
    </xf>
    <xf numFmtId="0" fontId="0" fillId="0" borderId="0" xfId="0" applyFont="1" applyFill="1"/>
    <xf numFmtId="166" fontId="9" fillId="0" borderId="0" xfId="2" applyNumberFormat="1" applyFont="1" applyFill="1" applyAlignment="1">
      <alignment horizontal="right"/>
    </xf>
    <xf numFmtId="165" fontId="0" fillId="0" borderId="0" xfId="0" applyNumberFormat="1"/>
    <xf numFmtId="165" fontId="0" fillId="0" borderId="0" xfId="0" applyNumberFormat="1" applyFill="1"/>
    <xf numFmtId="165" fontId="2" fillId="9" borderId="0" xfId="5" applyNumberFormat="1" applyFont="1" applyFill="1"/>
    <xf numFmtId="165" fontId="2" fillId="0" borderId="0" xfId="1" applyNumberFormat="1" applyFont="1" applyFill="1"/>
    <xf numFmtId="165" fontId="2" fillId="0" borderId="0" xfId="0" applyNumberFormat="1" applyFont="1" applyFill="1"/>
    <xf numFmtId="165" fontId="2" fillId="10" borderId="0" xfId="5" applyNumberFormat="1" applyFont="1" applyFill="1"/>
    <xf numFmtId="10" fontId="9" fillId="0" borderId="0" xfId="2" applyNumberFormat="1" applyFont="1" applyAlignment="1">
      <alignment horizontal="right"/>
    </xf>
    <xf numFmtId="10" fontId="9" fillId="0" borderId="0" xfId="2" applyNumberFormat="1" applyFont="1" applyFill="1" applyAlignment="1">
      <alignment horizontal="right"/>
    </xf>
    <xf numFmtId="0" fontId="2" fillId="0" borderId="0" xfId="0" applyFont="1" applyFill="1"/>
    <xf numFmtId="10" fontId="12" fillId="7" borderId="0" xfId="2" applyNumberFormat="1" applyFont="1" applyFill="1"/>
    <xf numFmtId="165" fontId="1" fillId="0" borderId="0" xfId="1" applyNumberFormat="1" applyFont="1" applyAlignment="1">
      <alignment horizontal="left" indent="1"/>
    </xf>
    <xf numFmtId="165" fontId="14" fillId="0" borderId="0" xfId="0" applyNumberFormat="1" applyFont="1" applyFill="1"/>
    <xf numFmtId="166" fontId="12" fillId="0" borderId="0" xfId="2" applyNumberFormat="1" applyFont="1" applyFill="1"/>
    <xf numFmtId="166" fontId="16" fillId="0" borderId="0" xfId="0" applyNumberFormat="1" applyFont="1" applyAlignment="1">
      <alignment horizontal="right"/>
    </xf>
    <xf numFmtId="166" fontId="16" fillId="0" borderId="0" xfId="0" applyNumberFormat="1" applyFont="1" applyFill="1" applyAlignment="1">
      <alignment horizontal="right"/>
    </xf>
    <xf numFmtId="165" fontId="11" fillId="0" borderId="0" xfId="1" applyNumberFormat="1" applyFont="1" applyFill="1" applyAlignment="1">
      <alignment horizontal="left" indent="1"/>
    </xf>
    <xf numFmtId="165" fontId="15" fillId="0" borderId="0" xfId="0" applyNumberFormat="1" applyFont="1" applyFill="1"/>
    <xf numFmtId="0" fontId="0" fillId="0" borderId="0" xfId="0" applyFill="1" applyAlignment="1">
      <alignment horizontal="left" indent="1"/>
    </xf>
    <xf numFmtId="0" fontId="0" fillId="0" borderId="0" xfId="0" applyFill="1"/>
    <xf numFmtId="171" fontId="0" fillId="0" borderId="0" xfId="0" applyNumberFormat="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26"/>
  <sheetViews>
    <sheetView topLeftCell="A5" workbookViewId="0"/>
  </sheetViews>
  <sheetFormatPr defaultRowHeight="15"/>
  <cols>
    <col min="1" max="1" width="176.140625" style="20" customWidth="1"/>
  </cols>
  <sheetData>
    <row r="1" spans="1:1" ht="23.25">
      <c r="A1" s="19" t="s">
        <v>20</v>
      </c>
    </row>
    <row r="2" spans="1:1">
      <c r="A2" s="50" t="s">
        <v>218</v>
      </c>
    </row>
    <row r="3" spans="1:1">
      <c r="A3" s="51" t="s">
        <v>148</v>
      </c>
    </row>
    <row r="4" spans="1:1">
      <c r="A4" s="61" t="s">
        <v>217</v>
      </c>
    </row>
    <row r="5" spans="1:1">
      <c r="A5" s="50" t="s">
        <v>211</v>
      </c>
    </row>
    <row r="6" spans="1:1">
      <c r="A6" s="50" t="s">
        <v>212</v>
      </c>
    </row>
    <row r="7" spans="1:1" s="50" customFormat="1">
      <c r="A7" s="50" t="s">
        <v>215</v>
      </c>
    </row>
    <row r="8" spans="1:1">
      <c r="A8" s="50"/>
    </row>
    <row r="9" spans="1:1">
      <c r="A9" s="51" t="s">
        <v>198</v>
      </c>
    </row>
    <row r="10" spans="1:1">
      <c r="A10" s="50" t="s">
        <v>199</v>
      </c>
    </row>
    <row r="11" spans="1:1" s="17" customFormat="1">
      <c r="A11" s="50" t="s">
        <v>200</v>
      </c>
    </row>
    <row r="12" spans="1:1">
      <c r="A12" s="50" t="s">
        <v>201</v>
      </c>
    </row>
    <row r="13" spans="1:1">
      <c r="A13" s="50" t="s">
        <v>202</v>
      </c>
    </row>
    <row r="14" spans="1:1">
      <c r="A14" s="50" t="s">
        <v>213</v>
      </c>
    </row>
    <row r="15" spans="1:1">
      <c r="A15" s="50" t="s">
        <v>203</v>
      </c>
    </row>
    <row r="16" spans="1:1">
      <c r="A16" s="50" t="s">
        <v>204</v>
      </c>
    </row>
    <row r="17" spans="1:1">
      <c r="A17" s="50" t="s">
        <v>205</v>
      </c>
    </row>
    <row r="18" spans="1:1">
      <c r="A18" s="50" t="s">
        <v>206</v>
      </c>
    </row>
    <row r="19" spans="1:1">
      <c r="A19" s="50" t="s">
        <v>207</v>
      </c>
    </row>
    <row r="20" spans="1:1">
      <c r="A20" s="50" t="s">
        <v>208</v>
      </c>
    </row>
    <row r="21" spans="1:1">
      <c r="A21" s="50" t="s">
        <v>209</v>
      </c>
    </row>
    <row r="22" spans="1:1">
      <c r="A22" s="50" t="s">
        <v>210</v>
      </c>
    </row>
    <row r="23" spans="1:1">
      <c r="A23" s="50"/>
    </row>
    <row r="24" spans="1:1">
      <c r="A24" s="50" t="s">
        <v>219</v>
      </c>
    </row>
    <row r="26" spans="1:1">
      <c r="A26" s="20"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204"/>
  <sheetViews>
    <sheetView workbookViewId="0">
      <pane ySplit="1" topLeftCell="A80" activePane="bottomLeft" state="frozen"/>
      <selection pane="bottomLeft" activeCell="K85" sqref="K85"/>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4" t="s">
        <v>28</v>
      </c>
      <c r="B3" s="25">
        <v>16534</v>
      </c>
      <c r="C3" s="25">
        <v>17405</v>
      </c>
      <c r="D3" s="25">
        <v>19038</v>
      </c>
      <c r="E3" s="25">
        <v>20441</v>
      </c>
      <c r="F3" s="25">
        <v>21643</v>
      </c>
      <c r="G3" s="25">
        <v>21162</v>
      </c>
      <c r="H3" s="25">
        <v>24576</v>
      </c>
      <c r="I3" s="25">
        <v>25231</v>
      </c>
    </row>
    <row r="4" spans="1:9" s="1" customFormat="1">
      <c r="A4" s="23"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22" t="s">
        <v>23</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c r="A8" s="2" t="s">
        <v>24</v>
      </c>
      <c r="B8" s="3">
        <v>28</v>
      </c>
      <c r="C8" s="3">
        <v>19</v>
      </c>
      <c r="D8" s="3">
        <v>59</v>
      </c>
      <c r="E8" s="65">
        <v>54</v>
      </c>
      <c r="F8" s="65">
        <v>49</v>
      </c>
      <c r="G8" s="65">
        <v>89</v>
      </c>
      <c r="H8" s="3">
        <v>262</v>
      </c>
      <c r="I8" s="3">
        <v>205</v>
      </c>
    </row>
    <row r="9" spans="1:9">
      <c r="A9" s="2" t="s">
        <v>5</v>
      </c>
      <c r="B9" s="3">
        <v>-58</v>
      </c>
      <c r="C9" s="3">
        <v>-140</v>
      </c>
      <c r="D9" s="3">
        <v>-196</v>
      </c>
      <c r="E9" s="65">
        <v>66</v>
      </c>
      <c r="F9" s="65">
        <v>-78</v>
      </c>
      <c r="G9" s="65">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65">
        <v>932</v>
      </c>
      <c r="C11" s="65">
        <v>863</v>
      </c>
      <c r="D11" s="65">
        <v>646</v>
      </c>
      <c r="E11" s="65">
        <v>2392</v>
      </c>
      <c r="F11" s="65">
        <v>772</v>
      </c>
      <c r="G11" s="65">
        <v>348</v>
      </c>
      <c r="H11" s="65">
        <v>934</v>
      </c>
      <c r="I11" s="65">
        <v>605</v>
      </c>
    </row>
    <row r="12" spans="1:9" ht="15.7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c r="A13" s="1" t="s">
        <v>8</v>
      </c>
      <c r="B13" s="50"/>
      <c r="C13" s="50"/>
      <c r="D13" s="50"/>
      <c r="E13" s="50"/>
      <c r="F13" s="50"/>
      <c r="G13" s="50"/>
      <c r="H13" s="50"/>
      <c r="I13" s="50"/>
    </row>
    <row r="14" spans="1:9">
      <c r="A14" s="2" t="s">
        <v>6</v>
      </c>
      <c r="B14" s="50">
        <v>1.9</v>
      </c>
      <c r="C14" s="50">
        <v>2.21</v>
      </c>
      <c r="D14" s="50">
        <v>2.56</v>
      </c>
      <c r="E14" s="50">
        <v>1.19</v>
      </c>
      <c r="F14" s="50">
        <v>2.5499999999999998</v>
      </c>
      <c r="G14" s="50">
        <v>1.63</v>
      </c>
      <c r="H14" s="50">
        <v>3.64</v>
      </c>
      <c r="I14" s="50">
        <v>3.83</v>
      </c>
    </row>
    <row r="15" spans="1:9">
      <c r="A15" s="2" t="s">
        <v>7</v>
      </c>
      <c r="B15" s="50">
        <v>1.85</v>
      </c>
      <c r="C15" s="50">
        <v>2.16</v>
      </c>
      <c r="D15" s="50">
        <v>2.5099999999999998</v>
      </c>
      <c r="E15" s="50">
        <v>1.17</v>
      </c>
      <c r="F15" s="50">
        <v>2.4900000000000002</v>
      </c>
      <c r="G15" s="50">
        <v>1.6</v>
      </c>
      <c r="H15" s="50">
        <v>3.56</v>
      </c>
      <c r="I15" s="50">
        <v>3.75</v>
      </c>
    </row>
    <row r="16" spans="1:9">
      <c r="A16" s="1" t="s">
        <v>9</v>
      </c>
      <c r="B16" s="50"/>
      <c r="C16" s="50"/>
      <c r="D16" s="50"/>
      <c r="E16" s="50"/>
      <c r="F16" s="50"/>
      <c r="G16" s="50"/>
      <c r="H16" s="50"/>
      <c r="I16" s="50"/>
    </row>
    <row r="17" spans="1:9">
      <c r="A17" s="2" t="s">
        <v>6</v>
      </c>
      <c r="B17" s="50">
        <v>1723.5</v>
      </c>
      <c r="C17" s="50">
        <v>1697.9</v>
      </c>
      <c r="D17" s="50">
        <v>1657.8</v>
      </c>
      <c r="E17" s="50">
        <v>1623.8</v>
      </c>
      <c r="F17" s="50">
        <v>1579.7</v>
      </c>
      <c r="G17" s="66">
        <v>1558.8</v>
      </c>
      <c r="H17" s="8">
        <v>1573</v>
      </c>
      <c r="I17" s="8">
        <v>1578.8</v>
      </c>
    </row>
    <row r="18" spans="1:9">
      <c r="A18" s="2" t="s">
        <v>7</v>
      </c>
      <c r="B18" s="50">
        <v>1768.8</v>
      </c>
      <c r="C18" s="50">
        <v>1742.5</v>
      </c>
      <c r="D18" s="50">
        <v>1692</v>
      </c>
      <c r="E18" s="50">
        <v>1659.1</v>
      </c>
      <c r="F18" s="50">
        <v>1618.4</v>
      </c>
      <c r="G18" s="66">
        <v>1591.6</v>
      </c>
      <c r="H18" s="8">
        <v>1609.4</v>
      </c>
      <c r="I18" s="8">
        <v>1610.8</v>
      </c>
    </row>
    <row r="20" spans="1:9" s="12" customFormat="1">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30</v>
      </c>
    </row>
    <row r="24" spans="1:9">
      <c r="A24" s="10" t="s">
        <v>31</v>
      </c>
      <c r="B24" s="3"/>
      <c r="C24" s="3"/>
      <c r="D24" s="3"/>
      <c r="E24" s="3"/>
      <c r="F24" s="3"/>
      <c r="G24" s="3"/>
      <c r="H24" s="3"/>
      <c r="I24" s="3"/>
    </row>
    <row r="25" spans="1:9">
      <c r="A25" s="11" t="s">
        <v>32</v>
      </c>
      <c r="B25" s="3">
        <v>3852</v>
      </c>
      <c r="C25" s="3">
        <v>3138</v>
      </c>
      <c r="D25" s="3">
        <v>3808</v>
      </c>
      <c r="E25" s="3">
        <v>4249</v>
      </c>
      <c r="F25" s="3">
        <v>4466</v>
      </c>
      <c r="G25" s="3">
        <v>8348</v>
      </c>
      <c r="H25" s="3">
        <v>9889</v>
      </c>
      <c r="I25" s="3">
        <v>8574</v>
      </c>
    </row>
    <row r="26" spans="1:9">
      <c r="A26" s="11" t="s">
        <v>33</v>
      </c>
      <c r="B26" s="3">
        <v>2072</v>
      </c>
      <c r="C26" s="3">
        <v>2319</v>
      </c>
      <c r="D26" s="3">
        <v>2371</v>
      </c>
      <c r="E26" s="3">
        <v>996</v>
      </c>
      <c r="F26" s="3">
        <v>197</v>
      </c>
      <c r="G26" s="3">
        <v>439</v>
      </c>
      <c r="H26" s="3">
        <v>3587</v>
      </c>
      <c r="I26" s="3">
        <v>4423</v>
      </c>
    </row>
    <row r="27" spans="1:9">
      <c r="A27" s="11" t="s">
        <v>34</v>
      </c>
      <c r="B27" s="67">
        <v>3358</v>
      </c>
      <c r="C27" s="67">
        <v>3241</v>
      </c>
      <c r="D27" s="67">
        <v>3677</v>
      </c>
      <c r="E27" s="67">
        <v>3498</v>
      </c>
      <c r="F27" s="67">
        <v>4272</v>
      </c>
      <c r="G27" s="67">
        <v>2749</v>
      </c>
      <c r="H27" s="67">
        <v>4463</v>
      </c>
      <c r="I27" s="67">
        <v>4667</v>
      </c>
    </row>
    <row r="28" spans="1:9">
      <c r="A28" s="11" t="s">
        <v>35</v>
      </c>
      <c r="B28" s="67">
        <v>4337</v>
      </c>
      <c r="C28" s="67">
        <v>4838</v>
      </c>
      <c r="D28" s="67">
        <v>5055</v>
      </c>
      <c r="E28" s="67">
        <v>5261</v>
      </c>
      <c r="F28" s="67">
        <v>5622</v>
      </c>
      <c r="G28" s="67">
        <v>7367</v>
      </c>
      <c r="H28" s="67">
        <v>6854</v>
      </c>
      <c r="I28" s="67">
        <v>8420</v>
      </c>
    </row>
    <row r="29" spans="1:9">
      <c r="A29" s="11" t="s">
        <v>36</v>
      </c>
      <c r="B29" s="67">
        <v>1968</v>
      </c>
      <c r="C29" s="67">
        <v>1489</v>
      </c>
      <c r="D29" s="67">
        <v>1150</v>
      </c>
      <c r="E29" s="67">
        <v>1130</v>
      </c>
      <c r="F29" s="67">
        <v>1968</v>
      </c>
      <c r="G29" s="67">
        <v>1653</v>
      </c>
      <c r="H29" s="67">
        <v>1498</v>
      </c>
      <c r="I29" s="67">
        <v>2129</v>
      </c>
    </row>
    <row r="30" spans="1:9">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c r="A31" s="2" t="s">
        <v>37</v>
      </c>
      <c r="B31" s="65">
        <v>3011</v>
      </c>
      <c r="C31" s="65">
        <v>3520</v>
      </c>
      <c r="D31" s="65">
        <v>3989</v>
      </c>
      <c r="E31" s="65">
        <v>4454</v>
      </c>
      <c r="F31" s="65">
        <v>4744</v>
      </c>
      <c r="G31" s="65">
        <v>4866</v>
      </c>
      <c r="H31" s="65">
        <v>4904</v>
      </c>
      <c r="I31" s="65">
        <v>4791</v>
      </c>
    </row>
    <row r="32" spans="1:9">
      <c r="A32" s="2" t="s">
        <v>38</v>
      </c>
      <c r="B32" s="65">
        <v>0</v>
      </c>
      <c r="C32" s="65">
        <v>0</v>
      </c>
      <c r="D32" s="65">
        <v>0</v>
      </c>
      <c r="E32" s="65">
        <v>0</v>
      </c>
      <c r="F32" s="65">
        <v>0</v>
      </c>
      <c r="G32" s="65">
        <v>3097</v>
      </c>
      <c r="H32" s="65">
        <v>3113</v>
      </c>
      <c r="I32" s="65">
        <v>2926</v>
      </c>
    </row>
    <row r="33" spans="1:9">
      <c r="A33" s="2" t="s">
        <v>39</v>
      </c>
      <c r="B33" s="65">
        <v>281</v>
      </c>
      <c r="C33" s="65">
        <v>281</v>
      </c>
      <c r="D33" s="65">
        <v>283</v>
      </c>
      <c r="E33" s="65">
        <v>285</v>
      </c>
      <c r="F33" s="65">
        <v>283</v>
      </c>
      <c r="G33" s="65">
        <v>274</v>
      </c>
      <c r="H33" s="65">
        <v>269</v>
      </c>
      <c r="I33" s="65">
        <v>286</v>
      </c>
    </row>
    <row r="34" spans="1:9">
      <c r="A34" s="2" t="s">
        <v>40</v>
      </c>
      <c r="B34" s="65">
        <v>131</v>
      </c>
      <c r="C34" s="65">
        <v>131</v>
      </c>
      <c r="D34" s="65">
        <v>139</v>
      </c>
      <c r="E34" s="65">
        <v>154</v>
      </c>
      <c r="F34" s="65">
        <v>154</v>
      </c>
      <c r="G34" s="65">
        <v>223</v>
      </c>
      <c r="H34" s="65">
        <v>242</v>
      </c>
      <c r="I34" s="65">
        <v>284</v>
      </c>
    </row>
    <row r="35" spans="1:9">
      <c r="A35" s="2" t="s">
        <v>41</v>
      </c>
      <c r="B35" s="65">
        <v>2587</v>
      </c>
      <c r="C35" s="65">
        <v>2439</v>
      </c>
      <c r="D35" s="65">
        <v>2787</v>
      </c>
      <c r="E35" s="65">
        <v>2509</v>
      </c>
      <c r="F35" s="65">
        <v>2011</v>
      </c>
      <c r="G35" s="65">
        <v>2326</v>
      </c>
      <c r="H35" s="65">
        <v>2921</v>
      </c>
      <c r="I35" s="65">
        <v>3821</v>
      </c>
    </row>
    <row r="36" spans="1:9" ht="15.7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67">
        <v>107</v>
      </c>
      <c r="C39" s="67">
        <v>44</v>
      </c>
      <c r="D39" s="67">
        <v>6</v>
      </c>
      <c r="E39" s="67">
        <v>6</v>
      </c>
      <c r="F39" s="67">
        <v>6</v>
      </c>
      <c r="G39" s="67">
        <v>3</v>
      </c>
      <c r="H39" s="67">
        <v>0</v>
      </c>
      <c r="I39" s="67">
        <v>500</v>
      </c>
    </row>
    <row r="40" spans="1:9">
      <c r="A40" s="11" t="s">
        <v>46</v>
      </c>
      <c r="B40" s="67">
        <v>74</v>
      </c>
      <c r="C40" s="67">
        <v>1</v>
      </c>
      <c r="D40" s="67">
        <v>325</v>
      </c>
      <c r="E40" s="67">
        <v>336</v>
      </c>
      <c r="F40" s="67">
        <v>9</v>
      </c>
      <c r="G40" s="67">
        <v>248</v>
      </c>
      <c r="H40" s="67">
        <v>2</v>
      </c>
      <c r="I40" s="67">
        <v>10</v>
      </c>
    </row>
    <row r="41" spans="1:9">
      <c r="A41" s="11" t="s">
        <v>11</v>
      </c>
      <c r="B41" s="67">
        <v>2131</v>
      </c>
      <c r="C41" s="67">
        <v>2191</v>
      </c>
      <c r="D41" s="67">
        <v>2048</v>
      </c>
      <c r="E41" s="67">
        <v>2279</v>
      </c>
      <c r="F41" s="67">
        <v>2612</v>
      </c>
      <c r="G41" s="67">
        <v>2248</v>
      </c>
      <c r="H41" s="67">
        <v>2836</v>
      </c>
      <c r="I41" s="67">
        <v>3358</v>
      </c>
    </row>
    <row r="42" spans="1:9">
      <c r="A42" s="11" t="s">
        <v>47</v>
      </c>
      <c r="B42" s="67">
        <v>0</v>
      </c>
      <c r="C42" s="67">
        <v>0</v>
      </c>
      <c r="D42" s="67">
        <v>0</v>
      </c>
      <c r="E42" s="67">
        <v>0</v>
      </c>
      <c r="F42" s="67">
        <v>0</v>
      </c>
      <c r="G42" s="67">
        <v>445</v>
      </c>
      <c r="H42" s="67">
        <v>467</v>
      </c>
      <c r="I42" s="67">
        <v>420</v>
      </c>
    </row>
    <row r="43" spans="1:9">
      <c r="A43" s="11" t="s">
        <v>12</v>
      </c>
      <c r="B43" s="67">
        <v>3949</v>
      </c>
      <c r="C43" s="67">
        <v>3037</v>
      </c>
      <c r="D43" s="67">
        <v>3011</v>
      </c>
      <c r="E43" s="67">
        <v>3269</v>
      </c>
      <c r="F43" s="67">
        <v>5010</v>
      </c>
      <c r="G43" s="67">
        <v>5184</v>
      </c>
      <c r="H43" s="67">
        <v>6063</v>
      </c>
      <c r="I43" s="67">
        <v>6220</v>
      </c>
    </row>
    <row r="44" spans="1:9">
      <c r="A44" s="11" t="s">
        <v>48</v>
      </c>
      <c r="B44" s="67">
        <v>71</v>
      </c>
      <c r="C44" s="67">
        <v>85</v>
      </c>
      <c r="D44" s="67">
        <v>84</v>
      </c>
      <c r="E44" s="67">
        <v>150</v>
      </c>
      <c r="F44" s="67">
        <v>229</v>
      </c>
      <c r="G44" s="67">
        <v>156</v>
      </c>
      <c r="H44" s="67">
        <v>306</v>
      </c>
      <c r="I44" s="67">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92">
        <v>1079</v>
      </c>
      <c r="C46" s="65">
        <v>2010</v>
      </c>
      <c r="D46" s="65">
        <v>3471</v>
      </c>
      <c r="E46" s="65">
        <v>3468</v>
      </c>
      <c r="F46" s="65">
        <v>3464</v>
      </c>
      <c r="G46" s="65">
        <v>9406</v>
      </c>
      <c r="H46" s="65">
        <v>9413</v>
      </c>
      <c r="I46" s="65">
        <v>8920</v>
      </c>
    </row>
    <row r="47" spans="1:9">
      <c r="A47" s="2" t="s">
        <v>50</v>
      </c>
      <c r="B47" s="92">
        <v>0</v>
      </c>
      <c r="C47" s="65">
        <v>0</v>
      </c>
      <c r="D47" s="65">
        <v>0</v>
      </c>
      <c r="E47" s="65">
        <v>0</v>
      </c>
      <c r="F47" s="65">
        <v>0</v>
      </c>
      <c r="G47" s="65">
        <v>2913</v>
      </c>
      <c r="H47" s="65">
        <v>2931</v>
      </c>
      <c r="I47" s="65">
        <v>2777</v>
      </c>
    </row>
    <row r="48" spans="1:9">
      <c r="A48" s="2" t="s">
        <v>51</v>
      </c>
      <c r="B48" s="92">
        <v>1479</v>
      </c>
      <c r="C48" s="65">
        <v>1770</v>
      </c>
      <c r="D48" s="65">
        <v>1907</v>
      </c>
      <c r="E48" s="65">
        <v>3216</v>
      </c>
      <c r="F48" s="65">
        <v>3347</v>
      </c>
      <c r="G48" s="65">
        <v>2684</v>
      </c>
      <c r="H48" s="65">
        <v>2955</v>
      </c>
      <c r="I48" s="65">
        <v>2613</v>
      </c>
    </row>
    <row r="49" spans="1:9">
      <c r="A49" s="2" t="s">
        <v>52</v>
      </c>
      <c r="B49" s="65" t="s">
        <v>220</v>
      </c>
      <c r="C49" s="65" t="s">
        <v>220</v>
      </c>
      <c r="D49" s="65" t="s">
        <v>220</v>
      </c>
      <c r="E49" s="65" t="s">
        <v>220</v>
      </c>
      <c r="F49" s="65" t="s">
        <v>220</v>
      </c>
      <c r="G49" s="65"/>
      <c r="H49" s="65"/>
      <c r="I49" s="65"/>
    </row>
    <row r="50" spans="1:9">
      <c r="A50" s="11" t="s">
        <v>53</v>
      </c>
      <c r="B50" s="65" t="s">
        <v>220</v>
      </c>
      <c r="C50" s="65" t="s">
        <v>220</v>
      </c>
      <c r="D50" s="65" t="s">
        <v>220</v>
      </c>
      <c r="E50" s="65" t="s">
        <v>220</v>
      </c>
      <c r="F50" s="65" t="s">
        <v>220</v>
      </c>
      <c r="G50" s="65" t="s">
        <v>220</v>
      </c>
      <c r="H50" s="65" t="s">
        <v>221</v>
      </c>
      <c r="I50" s="65" t="s">
        <v>222</v>
      </c>
    </row>
    <row r="51" spans="1:9">
      <c r="A51" s="2" t="s">
        <v>54</v>
      </c>
      <c r="B51" s="65"/>
      <c r="C51" s="65"/>
      <c r="D51" s="65"/>
      <c r="E51" s="65"/>
      <c r="F51" s="65"/>
      <c r="G51" s="65"/>
      <c r="H51" s="65"/>
      <c r="I51" s="65"/>
    </row>
    <row r="52" spans="1:9">
      <c r="A52" s="11" t="s">
        <v>55</v>
      </c>
      <c r="B52" s="65"/>
      <c r="C52" s="65"/>
      <c r="D52" s="65"/>
      <c r="E52" s="65"/>
      <c r="F52" s="65"/>
      <c r="G52" s="65"/>
      <c r="H52" s="65"/>
      <c r="I52" s="65"/>
    </row>
    <row r="53" spans="1:9">
      <c r="A53" s="18" t="s">
        <v>56</v>
      </c>
      <c r="B53" s="65" t="s">
        <v>220</v>
      </c>
      <c r="C53" s="65" t="s">
        <v>220</v>
      </c>
      <c r="D53" s="65" t="s">
        <v>220</v>
      </c>
      <c r="E53" s="65" t="s">
        <v>220</v>
      </c>
      <c r="F53" s="65" t="s">
        <v>220</v>
      </c>
      <c r="G53" s="65" t="s">
        <v>220</v>
      </c>
      <c r="H53" s="65"/>
      <c r="I53" s="65"/>
    </row>
    <row r="54" spans="1:9">
      <c r="A54" s="18" t="s">
        <v>57</v>
      </c>
      <c r="B54" s="65">
        <v>3</v>
      </c>
      <c r="C54" s="65">
        <v>3</v>
      </c>
      <c r="D54" s="65">
        <v>3</v>
      </c>
      <c r="E54" s="65">
        <v>3</v>
      </c>
      <c r="F54" s="65">
        <v>3</v>
      </c>
      <c r="G54" s="65">
        <v>3</v>
      </c>
      <c r="H54" s="65">
        <v>3</v>
      </c>
      <c r="I54" s="65">
        <v>3</v>
      </c>
    </row>
    <row r="55" spans="1:9">
      <c r="A55" s="18" t="s">
        <v>58</v>
      </c>
      <c r="B55" s="65">
        <v>6773</v>
      </c>
      <c r="C55" s="65">
        <v>7786</v>
      </c>
      <c r="D55" s="65">
        <v>8638</v>
      </c>
      <c r="E55" s="65">
        <v>6384</v>
      </c>
      <c r="F55" s="65">
        <v>7163</v>
      </c>
      <c r="G55" s="65">
        <v>8299</v>
      </c>
      <c r="H55" s="65">
        <v>9965</v>
      </c>
      <c r="I55" s="65">
        <v>11484</v>
      </c>
    </row>
    <row r="56" spans="1:9">
      <c r="A56" s="18" t="s">
        <v>59</v>
      </c>
      <c r="B56" s="65">
        <v>1246</v>
      </c>
      <c r="C56" s="65">
        <v>318</v>
      </c>
      <c r="D56" s="65">
        <v>-213</v>
      </c>
      <c r="E56" s="65">
        <v>-92</v>
      </c>
      <c r="F56" s="65">
        <v>231</v>
      </c>
      <c r="G56" s="65">
        <v>-56</v>
      </c>
      <c r="H56" s="65">
        <v>-380</v>
      </c>
      <c r="I56" s="65">
        <v>318</v>
      </c>
    </row>
    <row r="57" spans="1:9">
      <c r="A57" s="18" t="s">
        <v>60</v>
      </c>
      <c r="B57" s="65">
        <v>4685</v>
      </c>
      <c r="C57" s="65">
        <v>4151</v>
      </c>
      <c r="D57" s="65">
        <v>3979</v>
      </c>
      <c r="E57" s="65">
        <v>3517</v>
      </c>
      <c r="F57" s="65">
        <v>1643</v>
      </c>
      <c r="G57" s="65">
        <v>-191</v>
      </c>
      <c r="H57" s="65">
        <v>3179</v>
      </c>
      <c r="I57" s="65">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63</v>
      </c>
    </row>
    <row r="64" spans="1:9" s="1" customFormat="1">
      <c r="A64" s="10" t="s">
        <v>64</v>
      </c>
      <c r="B64" s="9">
        <f>+B12</f>
        <v>3273</v>
      </c>
      <c r="C64" s="9">
        <f t="shared" ref="C64:H64" si="12">+C12</f>
        <v>3760</v>
      </c>
      <c r="D64" s="9">
        <f t="shared" si="12"/>
        <v>4240</v>
      </c>
      <c r="E64" s="9">
        <f t="shared" si="12"/>
        <v>1933</v>
      </c>
      <c r="F64" s="9">
        <f t="shared" si="12"/>
        <v>4029</v>
      </c>
      <c r="G64" s="9">
        <f t="shared" si="12"/>
        <v>2539</v>
      </c>
      <c r="H64" s="9">
        <f>+H12</f>
        <v>5727</v>
      </c>
      <c r="I64" s="9">
        <f>+I12</f>
        <v>6046</v>
      </c>
    </row>
    <row r="65" spans="1:9" s="1" customFormat="1">
      <c r="A65" s="2" t="s">
        <v>65</v>
      </c>
      <c r="B65" s="3"/>
      <c r="C65" s="3"/>
      <c r="D65" s="3"/>
      <c r="E65" s="3"/>
      <c r="F65" s="3"/>
      <c r="G65" s="3"/>
      <c r="H65" s="3"/>
      <c r="I65" s="3"/>
    </row>
    <row r="66" spans="1:9" s="17" customFormat="1">
      <c r="A66" s="11" t="s">
        <v>66</v>
      </c>
      <c r="B66" s="65">
        <v>606</v>
      </c>
      <c r="C66" s="65">
        <v>649</v>
      </c>
      <c r="D66" s="65">
        <v>706</v>
      </c>
      <c r="E66" s="65">
        <v>747</v>
      </c>
      <c r="F66" s="65">
        <v>705</v>
      </c>
      <c r="G66" s="65">
        <v>721</v>
      </c>
      <c r="H66" s="3">
        <v>744</v>
      </c>
      <c r="I66" s="3">
        <v>717</v>
      </c>
    </row>
    <row r="67" spans="1:9" s="17" customFormat="1">
      <c r="A67" s="11" t="s">
        <v>67</v>
      </c>
      <c r="B67" s="65">
        <v>-113</v>
      </c>
      <c r="C67" s="65">
        <v>-80</v>
      </c>
      <c r="D67" s="65">
        <v>-273</v>
      </c>
      <c r="E67" s="65">
        <v>647</v>
      </c>
      <c r="F67" s="65">
        <v>34</v>
      </c>
      <c r="G67" s="65">
        <v>-380</v>
      </c>
      <c r="H67" s="3">
        <v>-385</v>
      </c>
      <c r="I67" s="3">
        <v>-650</v>
      </c>
    </row>
    <row r="68" spans="1:9" s="17" customFormat="1">
      <c r="A68" s="11" t="s">
        <v>68</v>
      </c>
      <c r="B68" s="65">
        <v>191</v>
      </c>
      <c r="C68" s="65">
        <v>236</v>
      </c>
      <c r="D68" s="65">
        <v>215</v>
      </c>
      <c r="E68" s="65">
        <v>218</v>
      </c>
      <c r="F68" s="65">
        <v>325</v>
      </c>
      <c r="G68" s="65">
        <v>429</v>
      </c>
      <c r="H68" s="3">
        <v>611</v>
      </c>
      <c r="I68" s="3">
        <v>638</v>
      </c>
    </row>
    <row r="69" spans="1:9" s="17" customFormat="1">
      <c r="A69" s="11" t="s">
        <v>69</v>
      </c>
      <c r="B69" s="65">
        <v>43</v>
      </c>
      <c r="C69" s="65">
        <v>13</v>
      </c>
      <c r="D69" s="65">
        <v>10</v>
      </c>
      <c r="E69" s="65">
        <v>27</v>
      </c>
      <c r="F69" s="65">
        <v>15</v>
      </c>
      <c r="G69" s="65">
        <v>398</v>
      </c>
      <c r="H69" s="3">
        <v>53</v>
      </c>
      <c r="I69" s="3">
        <v>123</v>
      </c>
    </row>
    <row r="70" spans="1:9" s="17" customFormat="1">
      <c r="A70" s="11" t="s">
        <v>70</v>
      </c>
      <c r="B70" s="65">
        <v>424</v>
      </c>
      <c r="C70" s="65">
        <v>98</v>
      </c>
      <c r="D70" s="65">
        <v>-117</v>
      </c>
      <c r="E70" s="65">
        <v>-99</v>
      </c>
      <c r="F70" s="65">
        <v>233</v>
      </c>
      <c r="G70" s="65">
        <v>23</v>
      </c>
      <c r="H70" s="3">
        <v>-138</v>
      </c>
      <c r="I70" s="3">
        <v>-26</v>
      </c>
    </row>
    <row r="71" spans="1:9" s="17" customFormat="1">
      <c r="A71" s="2" t="s">
        <v>71</v>
      </c>
      <c r="B71" s="65"/>
      <c r="C71" s="65"/>
      <c r="D71" s="65"/>
      <c r="E71" s="65"/>
      <c r="F71" s="65"/>
      <c r="G71" s="65"/>
      <c r="H71" s="3"/>
      <c r="I71" s="3"/>
    </row>
    <row r="72" spans="1:9" s="17" customFormat="1">
      <c r="A72" s="11" t="s">
        <v>72</v>
      </c>
      <c r="B72" s="65">
        <v>-216</v>
      </c>
      <c r="C72" s="65">
        <v>60</v>
      </c>
      <c r="D72" s="65">
        <v>-426</v>
      </c>
      <c r="E72" s="65">
        <v>187</v>
      </c>
      <c r="F72" s="65">
        <v>-270</v>
      </c>
      <c r="G72" s="65">
        <v>1239</v>
      </c>
      <c r="H72" s="3">
        <v>-1606</v>
      </c>
      <c r="I72" s="3">
        <v>-504</v>
      </c>
    </row>
    <row r="73" spans="1:9" s="17" customFormat="1">
      <c r="A73" s="11" t="s">
        <v>73</v>
      </c>
      <c r="B73" s="65">
        <v>-621</v>
      </c>
      <c r="C73" s="65">
        <v>-590</v>
      </c>
      <c r="D73" s="65">
        <v>-231</v>
      </c>
      <c r="E73" s="65">
        <v>-255</v>
      </c>
      <c r="F73" s="65">
        <v>-490</v>
      </c>
      <c r="G73" s="65">
        <v>-1854</v>
      </c>
      <c r="H73" s="3">
        <v>507</v>
      </c>
      <c r="I73" s="3">
        <v>-1676</v>
      </c>
    </row>
    <row r="74" spans="1:9" s="17" customFormat="1">
      <c r="A74" s="11" t="s">
        <v>98</v>
      </c>
      <c r="B74" s="65">
        <v>-144</v>
      </c>
      <c r="C74" s="65">
        <v>-161</v>
      </c>
      <c r="D74" s="65">
        <v>-120</v>
      </c>
      <c r="E74" s="65">
        <v>35</v>
      </c>
      <c r="F74" s="65">
        <v>-203</v>
      </c>
      <c r="G74" s="65">
        <v>-654</v>
      </c>
      <c r="H74" s="3">
        <v>-182</v>
      </c>
      <c r="I74" s="3">
        <v>-845</v>
      </c>
    </row>
    <row r="75" spans="1:9" s="17" customFormat="1">
      <c r="A75" s="11" t="s">
        <v>97</v>
      </c>
      <c r="B75" s="65">
        <v>1237</v>
      </c>
      <c r="C75" s="65">
        <v>-889</v>
      </c>
      <c r="D75" s="65">
        <v>-158</v>
      </c>
      <c r="E75" s="65">
        <v>1515</v>
      </c>
      <c r="F75" s="65">
        <v>1525</v>
      </c>
      <c r="G75" s="65">
        <v>24</v>
      </c>
      <c r="H75" s="3">
        <v>1326</v>
      </c>
      <c r="I75" s="3">
        <v>1365</v>
      </c>
    </row>
    <row r="76" spans="1:9" s="17" customFormat="1">
      <c r="A76" s="26" t="s">
        <v>74</v>
      </c>
      <c r="B76" s="27">
        <f t="shared" ref="B76:H76" si="13">+SUM(B64:B75)</f>
        <v>4680</v>
      </c>
      <c r="C76" s="27">
        <f t="shared" si="13"/>
        <v>3096</v>
      </c>
      <c r="D76" s="27">
        <f t="shared" si="13"/>
        <v>3846</v>
      </c>
      <c r="E76" s="27">
        <f t="shared" si="13"/>
        <v>4955</v>
      </c>
      <c r="F76" s="27">
        <f t="shared" si="13"/>
        <v>5903</v>
      </c>
      <c r="G76" s="27">
        <f t="shared" si="13"/>
        <v>2485</v>
      </c>
      <c r="H76" s="27">
        <f t="shared" si="13"/>
        <v>6657</v>
      </c>
      <c r="I76" s="27">
        <f>+SUM(I64:I75)</f>
        <v>5188</v>
      </c>
    </row>
    <row r="77" spans="1:9" s="17" customFormat="1">
      <c r="A77" s="1" t="s">
        <v>75</v>
      </c>
      <c r="B77" s="3"/>
      <c r="C77" s="3"/>
      <c r="D77" s="3"/>
      <c r="E77" s="3"/>
      <c r="F77" s="3"/>
      <c r="G77" s="3"/>
      <c r="H77" s="3"/>
      <c r="I77" s="3"/>
    </row>
    <row r="78" spans="1:9" s="17" customFormat="1">
      <c r="A78" s="2" t="s">
        <v>76</v>
      </c>
      <c r="B78" s="3">
        <v>-4936</v>
      </c>
      <c r="C78" s="3">
        <v>-5367</v>
      </c>
      <c r="D78" s="3">
        <v>-5928</v>
      </c>
      <c r="E78" s="3">
        <v>-4783</v>
      </c>
      <c r="F78" s="3">
        <v>-2937</v>
      </c>
      <c r="G78" s="69">
        <v>-2426</v>
      </c>
      <c r="H78" s="3">
        <v>-9961</v>
      </c>
      <c r="I78" s="3">
        <v>-12913</v>
      </c>
    </row>
    <row r="79" spans="1:9" s="17" customFormat="1">
      <c r="A79" s="2" t="s">
        <v>77</v>
      </c>
      <c r="B79" s="3">
        <v>3655</v>
      </c>
      <c r="C79" s="3">
        <v>2924</v>
      </c>
      <c r="D79" s="3">
        <v>3623</v>
      </c>
      <c r="E79" s="3">
        <v>3613</v>
      </c>
      <c r="F79" s="3">
        <v>1715</v>
      </c>
      <c r="G79" s="70">
        <v>74</v>
      </c>
      <c r="H79" s="3">
        <v>4236</v>
      </c>
      <c r="I79" s="3">
        <v>8199</v>
      </c>
    </row>
    <row r="80" spans="1:9" s="17" customFormat="1">
      <c r="A80" s="2" t="s">
        <v>78</v>
      </c>
      <c r="B80" s="3">
        <v>2216</v>
      </c>
      <c r="C80" s="3">
        <v>2536</v>
      </c>
      <c r="D80" s="3">
        <v>2423</v>
      </c>
      <c r="E80" s="3">
        <v>2496</v>
      </c>
      <c r="F80" s="3">
        <v>2072</v>
      </c>
      <c r="G80" s="71">
        <v>2379</v>
      </c>
      <c r="H80" s="3">
        <v>2449</v>
      </c>
      <c r="I80" s="3">
        <v>3967</v>
      </c>
    </row>
    <row r="81" spans="1:11" s="17" customFormat="1">
      <c r="A81" s="2" t="s">
        <v>14</v>
      </c>
      <c r="B81" s="3">
        <v>-1113</v>
      </c>
      <c r="C81" s="3">
        <v>-1143</v>
      </c>
      <c r="D81" s="3">
        <v>-1105</v>
      </c>
      <c r="E81" s="3">
        <v>-1028</v>
      </c>
      <c r="F81" s="3">
        <v>-1119</v>
      </c>
      <c r="G81" s="69">
        <v>-1086</v>
      </c>
      <c r="H81" s="3">
        <v>-695</v>
      </c>
      <c r="I81" s="3">
        <v>-758</v>
      </c>
    </row>
    <row r="82" spans="1:11" s="17" customFormat="1">
      <c r="A82" s="2" t="s">
        <v>79</v>
      </c>
      <c r="B82" s="3">
        <v>3</v>
      </c>
      <c r="C82" s="3">
        <v>16</v>
      </c>
      <c r="D82" s="3">
        <v>-21</v>
      </c>
      <c r="E82" s="3">
        <v>-22</v>
      </c>
      <c r="F82" s="3">
        <v>5</v>
      </c>
      <c r="G82" s="72">
        <v>31</v>
      </c>
      <c r="H82" s="3">
        <v>171</v>
      </c>
      <c r="I82" s="3">
        <v>-19</v>
      </c>
    </row>
    <row r="83" spans="1:11" s="17" customFormat="1">
      <c r="A83" s="28" t="s">
        <v>80</v>
      </c>
      <c r="B83" s="27">
        <f t="shared" ref="B83:H83" si="14">+SUM(B78:B82)</f>
        <v>-175</v>
      </c>
      <c r="C83" s="27">
        <f t="shared" si="14"/>
        <v>-1034</v>
      </c>
      <c r="D83" s="27">
        <f t="shared" si="14"/>
        <v>-1008</v>
      </c>
      <c r="E83" s="27">
        <f t="shared" si="14"/>
        <v>276</v>
      </c>
      <c r="F83" s="27">
        <f t="shared" si="14"/>
        <v>-264</v>
      </c>
      <c r="G83" s="27">
        <f t="shared" si="14"/>
        <v>-1028</v>
      </c>
      <c r="H83" s="27">
        <f t="shared" si="14"/>
        <v>-3800</v>
      </c>
      <c r="I83" s="27">
        <f>+SUM(I78:I82)</f>
        <v>-1524</v>
      </c>
    </row>
    <row r="84" spans="1:11" s="17" customFormat="1">
      <c r="A84" s="1" t="s">
        <v>81</v>
      </c>
      <c r="B84" s="3"/>
      <c r="C84" s="3"/>
      <c r="D84" s="3"/>
      <c r="E84" s="3"/>
      <c r="F84" s="3"/>
      <c r="G84" s="3"/>
      <c r="H84" s="3"/>
      <c r="I84" s="3"/>
    </row>
    <row r="85" spans="1:11" s="17" customFormat="1">
      <c r="A85" s="2" t="s">
        <v>82</v>
      </c>
      <c r="B85" s="3">
        <v>0</v>
      </c>
      <c r="C85" s="3">
        <v>981</v>
      </c>
      <c r="D85" s="3">
        <v>1482</v>
      </c>
      <c r="E85" s="3">
        <v>0</v>
      </c>
      <c r="F85" s="3">
        <v>0</v>
      </c>
      <c r="G85" s="67">
        <v>6134</v>
      </c>
      <c r="H85" s="3">
        <v>0</v>
      </c>
      <c r="I85" s="3">
        <v>0</v>
      </c>
    </row>
    <row r="86" spans="1:11" s="17" customFormat="1">
      <c r="A86" s="2" t="s">
        <v>83</v>
      </c>
      <c r="B86" s="3">
        <v>-63</v>
      </c>
      <c r="C86" s="3">
        <v>-67</v>
      </c>
      <c r="D86" s="3">
        <v>327</v>
      </c>
      <c r="E86" s="3">
        <v>13</v>
      </c>
      <c r="F86" s="3">
        <v>-325</v>
      </c>
      <c r="G86" s="67">
        <v>49</v>
      </c>
      <c r="H86" s="3">
        <v>-52</v>
      </c>
      <c r="I86" s="3">
        <v>15</v>
      </c>
    </row>
    <row r="87" spans="1:11" s="17" customFormat="1">
      <c r="A87" s="2" t="s">
        <v>84</v>
      </c>
      <c r="B87" s="3">
        <v>-26</v>
      </c>
      <c r="C87" s="3">
        <v>-113</v>
      </c>
      <c r="D87" s="3"/>
      <c r="E87" s="3">
        <v>0</v>
      </c>
      <c r="F87" s="3">
        <v>0</v>
      </c>
      <c r="G87" s="67">
        <v>0</v>
      </c>
      <c r="H87" s="3">
        <v>-197</v>
      </c>
      <c r="I87" s="3">
        <v>0</v>
      </c>
    </row>
    <row r="88" spans="1:11" s="17" customFormat="1">
      <c r="A88" s="2" t="s">
        <v>85</v>
      </c>
      <c r="B88" s="3">
        <v>732</v>
      </c>
      <c r="C88" s="3">
        <v>788</v>
      </c>
      <c r="D88" s="3">
        <v>489</v>
      </c>
      <c r="E88" s="3">
        <v>733</v>
      </c>
      <c r="F88" s="3">
        <v>700</v>
      </c>
      <c r="G88" s="67">
        <v>885</v>
      </c>
      <c r="H88" s="3">
        <v>1172</v>
      </c>
      <c r="I88" s="3">
        <v>1151</v>
      </c>
    </row>
    <row r="89" spans="1:11" s="17" customFormat="1">
      <c r="A89" s="2" t="s">
        <v>16</v>
      </c>
      <c r="B89" s="3">
        <v>-2534</v>
      </c>
      <c r="C89" s="3">
        <v>-3238</v>
      </c>
      <c r="D89" s="3">
        <v>-3223</v>
      </c>
      <c r="E89" s="3">
        <v>-4254</v>
      </c>
      <c r="F89" s="3">
        <v>-4286</v>
      </c>
      <c r="G89" s="67">
        <v>-3067</v>
      </c>
      <c r="H89" s="3">
        <v>-608</v>
      </c>
      <c r="I89" s="3">
        <v>-4014</v>
      </c>
    </row>
    <row r="90" spans="1:11" s="17" customFormat="1">
      <c r="A90" s="2" t="s">
        <v>86</v>
      </c>
      <c r="B90" s="3">
        <v>-899</v>
      </c>
      <c r="C90" s="3">
        <v>-1022</v>
      </c>
      <c r="D90" s="3">
        <v>-1133</v>
      </c>
      <c r="E90" s="3">
        <v>-1243</v>
      </c>
      <c r="F90" s="3">
        <v>-1332</v>
      </c>
      <c r="G90" s="67">
        <v>-1452</v>
      </c>
      <c r="H90" s="3">
        <v>-1638</v>
      </c>
      <c r="I90" s="3">
        <v>-1837</v>
      </c>
      <c r="K90" s="63"/>
    </row>
    <row r="91" spans="1:11" s="17" customFormat="1">
      <c r="A91" s="2" t="s">
        <v>87</v>
      </c>
      <c r="B91" s="3">
        <v>0</v>
      </c>
      <c r="C91" s="3">
        <v>0</v>
      </c>
      <c r="D91" s="3">
        <v>-90</v>
      </c>
      <c r="E91" s="3">
        <v>-84</v>
      </c>
      <c r="F91" s="3">
        <v>-50</v>
      </c>
      <c r="G91" s="67">
        <v>-58</v>
      </c>
      <c r="H91" s="3">
        <v>-136</v>
      </c>
      <c r="I91" s="3">
        <v>-151</v>
      </c>
    </row>
    <row r="92" spans="1:11" s="17" customFormat="1">
      <c r="A92" s="28" t="s">
        <v>88</v>
      </c>
      <c r="B92" s="27">
        <f t="shared" ref="B92:H92" si="15">+SUM(B85:B91)</f>
        <v>-2790</v>
      </c>
      <c r="C92" s="27">
        <f t="shared" si="15"/>
        <v>-2671</v>
      </c>
      <c r="D92" s="27">
        <f t="shared" si="15"/>
        <v>-2148</v>
      </c>
      <c r="E92" s="27">
        <f t="shared" si="15"/>
        <v>-4835</v>
      </c>
      <c r="F92" s="27">
        <f t="shared" si="15"/>
        <v>-5293</v>
      </c>
      <c r="G92" s="27">
        <f t="shared" si="15"/>
        <v>2491</v>
      </c>
      <c r="H92" s="27">
        <f t="shared" si="15"/>
        <v>-1459</v>
      </c>
      <c r="I92" s="27">
        <f>+SUM(I85:I91)</f>
        <v>-4836</v>
      </c>
      <c r="K92" s="63"/>
    </row>
    <row r="93" spans="1:11" s="17" customFormat="1">
      <c r="A93" s="2" t="s">
        <v>89</v>
      </c>
      <c r="B93" s="3">
        <v>-83</v>
      </c>
      <c r="C93" s="3">
        <v>-105</v>
      </c>
      <c r="D93" s="3">
        <v>-20</v>
      </c>
      <c r="E93" s="3">
        <v>45</v>
      </c>
      <c r="F93" s="3">
        <v>-129</v>
      </c>
      <c r="G93" s="67">
        <v>-66</v>
      </c>
      <c r="H93" s="3">
        <v>143</v>
      </c>
      <c r="I93" s="3">
        <v>-143</v>
      </c>
    </row>
    <row r="94" spans="1:11" s="17" customFormat="1">
      <c r="A94" s="28" t="s">
        <v>90</v>
      </c>
      <c r="B94" s="27">
        <f t="shared" ref="B94:H94" si="16">+B76+B83+B92+B93</f>
        <v>1632</v>
      </c>
      <c r="C94" s="27">
        <f t="shared" si="16"/>
        <v>-714</v>
      </c>
      <c r="D94" s="27">
        <f t="shared" si="16"/>
        <v>670</v>
      </c>
      <c r="E94" s="27">
        <f t="shared" si="16"/>
        <v>441</v>
      </c>
      <c r="F94" s="27">
        <f t="shared" si="16"/>
        <v>217</v>
      </c>
      <c r="G94" s="27">
        <f t="shared" si="16"/>
        <v>3882</v>
      </c>
      <c r="H94" s="27">
        <f t="shared" si="16"/>
        <v>1541</v>
      </c>
      <c r="I94" s="27">
        <f>+I76+I83+I92+I93</f>
        <v>-1315</v>
      </c>
    </row>
    <row r="95" spans="1:11" s="17" customFormat="1">
      <c r="A95" t="s">
        <v>91</v>
      </c>
      <c r="B95" s="3">
        <v>2220</v>
      </c>
      <c r="C95" s="3">
        <v>3852</v>
      </c>
      <c r="D95" s="3">
        <v>3138</v>
      </c>
      <c r="E95" s="3">
        <v>3808</v>
      </c>
      <c r="F95" s="3">
        <v>4249</v>
      </c>
      <c r="G95" s="67">
        <v>4466</v>
      </c>
      <c r="H95" s="3">
        <v>8348</v>
      </c>
      <c r="I95" s="3">
        <f>+H96</f>
        <v>9889</v>
      </c>
    </row>
    <row r="96" spans="1:11" s="17" customFormat="1" ht="15.75" thickBot="1">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75" thickTop="1">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s="17" customFormat="1">
      <c r="A98" t="s">
        <v>93</v>
      </c>
      <c r="B98" s="3"/>
      <c r="C98" s="3"/>
      <c r="D98" s="3"/>
      <c r="E98" s="3"/>
      <c r="F98" s="3"/>
      <c r="G98" s="3"/>
      <c r="H98" s="3"/>
      <c r="I98" s="3"/>
    </row>
    <row r="99" spans="1:9" s="17" customFormat="1">
      <c r="A99" s="2" t="s">
        <v>17</v>
      </c>
      <c r="B99" s="3"/>
      <c r="C99" s="3"/>
      <c r="D99" s="3"/>
      <c r="E99" s="3"/>
      <c r="F99" s="3"/>
      <c r="G99" s="3"/>
      <c r="H99" s="3"/>
      <c r="I99" s="3"/>
    </row>
    <row r="100" spans="1:9" s="17" customFormat="1">
      <c r="A100" s="11" t="s">
        <v>94</v>
      </c>
      <c r="B100" s="3">
        <v>53</v>
      </c>
      <c r="C100" s="3">
        <v>70</v>
      </c>
      <c r="D100" s="3">
        <v>98</v>
      </c>
      <c r="E100" s="3">
        <v>125</v>
      </c>
      <c r="F100" s="3">
        <v>153</v>
      </c>
      <c r="G100" s="73">
        <v>140</v>
      </c>
      <c r="H100" s="3">
        <v>293</v>
      </c>
      <c r="I100" s="3">
        <v>290</v>
      </c>
    </row>
    <row r="101" spans="1:9" s="17" customFormat="1">
      <c r="A101" s="11" t="s">
        <v>18</v>
      </c>
      <c r="B101" s="3">
        <v>1262</v>
      </c>
      <c r="C101" s="3">
        <v>748</v>
      </c>
      <c r="D101" s="3">
        <v>703</v>
      </c>
      <c r="E101" s="3">
        <v>529</v>
      </c>
      <c r="F101" s="3">
        <v>757</v>
      </c>
      <c r="G101" s="71">
        <v>1028</v>
      </c>
      <c r="H101" s="3">
        <v>1177</v>
      </c>
      <c r="I101" s="3">
        <v>1231</v>
      </c>
    </row>
    <row r="102" spans="1:9" s="17" customFormat="1">
      <c r="A102" s="11" t="s">
        <v>95</v>
      </c>
      <c r="B102" s="3">
        <v>206</v>
      </c>
      <c r="C102" s="3">
        <v>252</v>
      </c>
      <c r="D102" s="3">
        <v>266</v>
      </c>
      <c r="E102" s="3">
        <v>294</v>
      </c>
      <c r="F102" s="3">
        <v>160</v>
      </c>
      <c r="G102" s="70">
        <v>121</v>
      </c>
      <c r="H102" s="3">
        <v>179</v>
      </c>
      <c r="I102" s="3">
        <v>160</v>
      </c>
    </row>
    <row r="103" spans="1:9" s="17" customFormat="1">
      <c r="A103" s="11" t="s">
        <v>96</v>
      </c>
      <c r="B103" s="3">
        <v>240</v>
      </c>
      <c r="C103" s="3">
        <v>271</v>
      </c>
      <c r="D103" s="3">
        <v>300</v>
      </c>
      <c r="E103" s="3">
        <v>320</v>
      </c>
      <c r="F103" s="3">
        <v>347</v>
      </c>
      <c r="G103" s="72">
        <v>385</v>
      </c>
      <c r="H103" s="3">
        <v>438</v>
      </c>
      <c r="I103" s="3">
        <v>480</v>
      </c>
    </row>
    <row r="104" spans="1:9">
      <c r="B104" s="50"/>
      <c r="C104" s="50"/>
      <c r="D104" s="50"/>
      <c r="E104" s="50"/>
      <c r="F104" s="50"/>
      <c r="G104" s="50"/>
      <c r="H104" s="50"/>
      <c r="I104" s="50"/>
    </row>
    <row r="105" spans="1:9">
      <c r="A105" s="14" t="s">
        <v>99</v>
      </c>
      <c r="B105" s="14"/>
      <c r="C105" s="14"/>
      <c r="D105" s="14"/>
      <c r="E105" s="14"/>
      <c r="F105" s="14"/>
      <c r="G105" s="14"/>
      <c r="H105" s="14"/>
      <c r="I105" s="14"/>
    </row>
    <row r="106" spans="1:9">
      <c r="A106" s="29" t="s">
        <v>109</v>
      </c>
      <c r="B106" s="3"/>
      <c r="C106" s="3"/>
      <c r="D106" s="3"/>
      <c r="E106" s="3"/>
      <c r="F106" s="3"/>
      <c r="G106" s="3"/>
      <c r="H106" s="3"/>
      <c r="I106" s="3"/>
    </row>
    <row r="107" spans="1:9">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c r="A108" s="11" t="s">
        <v>113</v>
      </c>
      <c r="B108" s="50">
        <v>8506</v>
      </c>
      <c r="C108" s="50">
        <v>9299</v>
      </c>
      <c r="D108" s="50">
        <v>9684</v>
      </c>
      <c r="E108" s="50">
        <v>9322</v>
      </c>
      <c r="F108" s="3">
        <v>10045</v>
      </c>
      <c r="G108" s="67">
        <v>9329</v>
      </c>
      <c r="H108" s="8">
        <v>11644</v>
      </c>
      <c r="I108" s="8">
        <v>12228</v>
      </c>
    </row>
    <row r="109" spans="1:9">
      <c r="A109" s="11" t="s">
        <v>114</v>
      </c>
      <c r="B109" s="50">
        <v>4410</v>
      </c>
      <c r="C109" s="50">
        <v>4746</v>
      </c>
      <c r="D109" s="50">
        <v>4886</v>
      </c>
      <c r="E109" s="50">
        <v>4938</v>
      </c>
      <c r="F109" s="3">
        <v>5260</v>
      </c>
      <c r="G109" s="67">
        <v>4639</v>
      </c>
      <c r="H109" s="8">
        <v>5028</v>
      </c>
      <c r="I109" s="8">
        <v>5492</v>
      </c>
    </row>
    <row r="110" spans="1:9">
      <c r="A110" s="11" t="s">
        <v>115</v>
      </c>
      <c r="B110" s="50">
        <v>824</v>
      </c>
      <c r="C110" s="50">
        <v>719</v>
      </c>
      <c r="D110" s="50">
        <v>646</v>
      </c>
      <c r="E110" s="50">
        <v>595</v>
      </c>
      <c r="F110" s="50">
        <v>597</v>
      </c>
      <c r="G110" s="74">
        <v>516</v>
      </c>
      <c r="H110" s="50">
        <v>507</v>
      </c>
      <c r="I110" s="50">
        <v>633</v>
      </c>
    </row>
    <row r="111" spans="1:9">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c r="A112" s="11" t="s">
        <v>113</v>
      </c>
      <c r="B112" s="50">
        <v>4703</v>
      </c>
      <c r="C112" s="50">
        <v>5043</v>
      </c>
      <c r="D112" s="50">
        <v>5192</v>
      </c>
      <c r="E112" s="50">
        <v>5875</v>
      </c>
      <c r="F112" s="3">
        <v>6293</v>
      </c>
      <c r="G112" s="67">
        <v>5892</v>
      </c>
      <c r="H112" s="8">
        <v>6970</v>
      </c>
      <c r="I112" s="8">
        <v>7388</v>
      </c>
    </row>
    <row r="113" spans="1:9">
      <c r="A113" s="11" t="s">
        <v>114</v>
      </c>
      <c r="B113" s="50">
        <v>2051</v>
      </c>
      <c r="C113" s="50">
        <v>2149</v>
      </c>
      <c r="D113" s="50">
        <v>2395</v>
      </c>
      <c r="E113" s="50">
        <v>2940</v>
      </c>
      <c r="F113" s="3">
        <v>3087</v>
      </c>
      <c r="G113" s="67">
        <v>3053</v>
      </c>
      <c r="H113" s="8">
        <v>3996</v>
      </c>
      <c r="I113" s="8">
        <v>4527</v>
      </c>
    </row>
    <row r="114" spans="1:9">
      <c r="A114" s="11" t="s">
        <v>115</v>
      </c>
      <c r="B114" s="50">
        <v>372</v>
      </c>
      <c r="C114" s="50">
        <v>376</v>
      </c>
      <c r="D114" s="50">
        <v>383</v>
      </c>
      <c r="E114" s="50">
        <v>427</v>
      </c>
      <c r="F114" s="3">
        <v>432</v>
      </c>
      <c r="G114" s="67">
        <v>402</v>
      </c>
      <c r="H114" s="50">
        <v>490</v>
      </c>
      <c r="I114" s="50">
        <v>564</v>
      </c>
    </row>
    <row r="115" spans="1:9">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c r="A116" s="11" t="s">
        <v>113</v>
      </c>
      <c r="B116" s="50">
        <v>2016</v>
      </c>
      <c r="C116" s="50">
        <v>2599</v>
      </c>
      <c r="D116" s="50">
        <v>2920</v>
      </c>
      <c r="E116" s="50">
        <v>3496</v>
      </c>
      <c r="F116" s="3">
        <v>4262</v>
      </c>
      <c r="G116" s="67">
        <v>4635</v>
      </c>
      <c r="H116" s="8">
        <v>5748</v>
      </c>
      <c r="I116" s="8">
        <v>5416</v>
      </c>
    </row>
    <row r="117" spans="1:9">
      <c r="A117" s="11" t="s">
        <v>114</v>
      </c>
      <c r="B117" s="50">
        <v>925</v>
      </c>
      <c r="C117" s="50">
        <v>1055</v>
      </c>
      <c r="D117" s="50">
        <v>1188</v>
      </c>
      <c r="E117" s="50">
        <v>1508</v>
      </c>
      <c r="F117" s="3">
        <v>1808</v>
      </c>
      <c r="G117" s="67">
        <v>1896</v>
      </c>
      <c r="H117" s="8">
        <v>2347</v>
      </c>
      <c r="I117" s="8">
        <v>1938</v>
      </c>
    </row>
    <row r="118" spans="1:9">
      <c r="A118" s="11" t="s">
        <v>115</v>
      </c>
      <c r="B118" s="50">
        <v>126</v>
      </c>
      <c r="C118" s="50">
        <v>131</v>
      </c>
      <c r="D118" s="50">
        <v>129</v>
      </c>
      <c r="E118" s="50">
        <v>130</v>
      </c>
      <c r="F118" s="3">
        <v>138</v>
      </c>
      <c r="G118" s="67">
        <v>148</v>
      </c>
      <c r="H118" s="50">
        <v>195</v>
      </c>
      <c r="I118" s="50">
        <v>193</v>
      </c>
    </row>
    <row r="119" spans="1:9">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c r="A120" s="11" t="s">
        <v>113</v>
      </c>
      <c r="B120" s="50">
        <v>3093</v>
      </c>
      <c r="C120" s="50">
        <v>2930</v>
      </c>
      <c r="D120" s="50">
        <v>3285</v>
      </c>
      <c r="E120" s="50">
        <v>3575</v>
      </c>
      <c r="F120" s="3">
        <v>3622</v>
      </c>
      <c r="G120" s="67">
        <v>3449</v>
      </c>
      <c r="H120" s="8">
        <v>3659</v>
      </c>
      <c r="I120" s="8">
        <v>4111</v>
      </c>
    </row>
    <row r="121" spans="1:9">
      <c r="A121" s="11" t="s">
        <v>114</v>
      </c>
      <c r="B121" s="50">
        <v>1251</v>
      </c>
      <c r="C121" s="50">
        <v>1117</v>
      </c>
      <c r="D121" s="50">
        <v>1185</v>
      </c>
      <c r="E121" s="50">
        <v>1347</v>
      </c>
      <c r="F121" s="3">
        <v>1395</v>
      </c>
      <c r="G121" s="67">
        <v>1365</v>
      </c>
      <c r="H121" s="8">
        <v>1494</v>
      </c>
      <c r="I121" s="8">
        <v>1610</v>
      </c>
    </row>
    <row r="122" spans="1:9">
      <c r="A122" s="11" t="s">
        <v>115</v>
      </c>
      <c r="B122" s="50">
        <v>309</v>
      </c>
      <c r="C122" s="50">
        <v>270</v>
      </c>
      <c r="D122" s="50">
        <v>267</v>
      </c>
      <c r="E122" s="50">
        <v>244</v>
      </c>
      <c r="F122" s="3">
        <v>237</v>
      </c>
      <c r="G122" s="67">
        <v>214</v>
      </c>
      <c r="H122" s="50">
        <v>190</v>
      </c>
      <c r="I122" s="50">
        <v>234</v>
      </c>
    </row>
    <row r="123" spans="1:9">
      <c r="A123" s="2" t="s">
        <v>107</v>
      </c>
      <c r="B123" s="3">
        <v>115</v>
      </c>
      <c r="C123" s="3">
        <v>73</v>
      </c>
      <c r="D123" s="3">
        <v>73</v>
      </c>
      <c r="E123" s="3">
        <v>88</v>
      </c>
      <c r="F123" s="3">
        <v>42</v>
      </c>
      <c r="G123" s="67">
        <v>30</v>
      </c>
      <c r="H123" s="3">
        <v>25</v>
      </c>
      <c r="I123" s="3">
        <v>102</v>
      </c>
    </row>
    <row r="124" spans="1:9">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c r="A126" s="11" t="s">
        <v>113</v>
      </c>
      <c r="B126" s="3">
        <v>1982</v>
      </c>
      <c r="C126" s="3">
        <v>1955</v>
      </c>
      <c r="D126" s="3">
        <v>2042</v>
      </c>
      <c r="E126" s="3">
        <v>1611</v>
      </c>
      <c r="F126" s="3">
        <v>1658</v>
      </c>
      <c r="G126" s="3">
        <v>1642</v>
      </c>
      <c r="H126" s="3">
        <v>1986</v>
      </c>
      <c r="I126" s="3">
        <v>2094</v>
      </c>
    </row>
    <row r="127" spans="1:9">
      <c r="A127" s="11" t="s">
        <v>114</v>
      </c>
      <c r="B127" s="3"/>
      <c r="C127" s="3"/>
      <c r="D127" s="3"/>
      <c r="E127" s="3">
        <v>144</v>
      </c>
      <c r="F127" s="3">
        <v>118</v>
      </c>
      <c r="G127" s="3">
        <v>89</v>
      </c>
      <c r="H127" s="3">
        <v>104</v>
      </c>
      <c r="I127" s="3">
        <v>103</v>
      </c>
    </row>
    <row r="128" spans="1:9">
      <c r="A128" s="11" t="s">
        <v>115</v>
      </c>
      <c r="B128" s="3"/>
      <c r="C128" s="3"/>
      <c r="D128" s="3"/>
      <c r="E128" s="3">
        <v>28</v>
      </c>
      <c r="F128" s="3">
        <v>24</v>
      </c>
      <c r="G128" s="3">
        <v>25</v>
      </c>
      <c r="H128" s="3">
        <v>29</v>
      </c>
      <c r="I128" s="3">
        <v>26</v>
      </c>
    </row>
    <row r="129" spans="1:9">
      <c r="A129" s="11" t="s">
        <v>121</v>
      </c>
      <c r="B129" s="3"/>
      <c r="C129" s="3"/>
      <c r="D129" s="3"/>
      <c r="E129" s="3">
        <v>103</v>
      </c>
      <c r="F129" s="3">
        <v>106</v>
      </c>
      <c r="G129" s="3">
        <v>90</v>
      </c>
      <c r="H129" s="3">
        <v>86</v>
      </c>
      <c r="I129" s="3">
        <v>123</v>
      </c>
    </row>
    <row r="130" spans="1:9">
      <c r="A130" s="2" t="s">
        <v>108</v>
      </c>
      <c r="B130" s="3">
        <v>-82</v>
      </c>
      <c r="C130" s="3">
        <v>-86</v>
      </c>
      <c r="D130" s="3">
        <v>75</v>
      </c>
      <c r="E130" s="3">
        <v>26</v>
      </c>
      <c r="F130" s="3">
        <v>-7</v>
      </c>
      <c r="G130" s="67">
        <v>-11</v>
      </c>
      <c r="H130" s="3">
        <v>40</v>
      </c>
      <c r="I130" s="3">
        <v>-72</v>
      </c>
    </row>
    <row r="131" spans="1:9" ht="15.75" thickBot="1">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75" thickTop="1">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c r="A133" s="1" t="s">
        <v>110</v>
      </c>
      <c r="B133" s="50"/>
      <c r="C133" s="50"/>
      <c r="D133" s="50"/>
      <c r="E133" s="50"/>
      <c r="F133" s="50"/>
      <c r="G133" s="50"/>
      <c r="H133" s="50"/>
      <c r="I133" s="50"/>
    </row>
    <row r="134" spans="1:9">
      <c r="A134" s="2" t="s">
        <v>100</v>
      </c>
      <c r="B134" s="3">
        <v>3645</v>
      </c>
      <c r="C134" s="3">
        <v>3763</v>
      </c>
      <c r="D134" s="3">
        <v>3875</v>
      </c>
      <c r="E134" s="3">
        <v>3600</v>
      </c>
      <c r="F134" s="3">
        <v>3925</v>
      </c>
      <c r="G134" s="3">
        <v>2899</v>
      </c>
      <c r="H134" s="3">
        <v>5089</v>
      </c>
      <c r="I134" s="3">
        <v>5114</v>
      </c>
    </row>
    <row r="135" spans="1:9">
      <c r="A135" s="2" t="s">
        <v>101</v>
      </c>
      <c r="B135" s="3">
        <v>1524</v>
      </c>
      <c r="C135" s="3">
        <v>1787</v>
      </c>
      <c r="D135" s="3">
        <v>1507</v>
      </c>
      <c r="E135" s="3">
        <v>1587</v>
      </c>
      <c r="F135" s="3">
        <v>1995</v>
      </c>
      <c r="G135" s="3">
        <v>1541</v>
      </c>
      <c r="H135" s="3">
        <v>2435</v>
      </c>
      <c r="I135" s="3">
        <v>3293</v>
      </c>
    </row>
    <row r="136" spans="1:9">
      <c r="A136" s="2" t="s">
        <v>102</v>
      </c>
      <c r="B136" s="3">
        <v>993</v>
      </c>
      <c r="C136" s="3">
        <v>1372</v>
      </c>
      <c r="D136" s="3">
        <v>1507</v>
      </c>
      <c r="E136" s="3">
        <v>1807</v>
      </c>
      <c r="F136" s="3">
        <v>2376</v>
      </c>
      <c r="G136" s="3">
        <v>2490</v>
      </c>
      <c r="H136" s="3">
        <v>3243</v>
      </c>
      <c r="I136" s="3">
        <v>2365</v>
      </c>
    </row>
    <row r="137" spans="1:9">
      <c r="A137" s="2" t="s">
        <v>106</v>
      </c>
      <c r="B137" s="3">
        <v>918</v>
      </c>
      <c r="C137" s="3">
        <v>1002</v>
      </c>
      <c r="D137" s="3">
        <v>980</v>
      </c>
      <c r="E137" s="3">
        <v>1189</v>
      </c>
      <c r="F137" s="3">
        <v>1323</v>
      </c>
      <c r="G137" s="3">
        <v>1184</v>
      </c>
      <c r="H137" s="3">
        <v>1530</v>
      </c>
      <c r="I137" s="3">
        <v>1896</v>
      </c>
    </row>
    <row r="138" spans="1:9">
      <c r="A138" s="2" t="s">
        <v>107</v>
      </c>
      <c r="B138" s="3">
        <v>-2267</v>
      </c>
      <c r="C138" s="3">
        <v>-2596</v>
      </c>
      <c r="D138" s="3">
        <v>-2677</v>
      </c>
      <c r="E138" s="3">
        <v>-2658</v>
      </c>
      <c r="F138" s="3">
        <v>-3262</v>
      </c>
      <c r="G138" s="3">
        <v>-3468</v>
      </c>
      <c r="H138" s="3">
        <v>-3656</v>
      </c>
      <c r="I138" s="3">
        <v>-4262</v>
      </c>
    </row>
    <row r="139" spans="1:9">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c r="A140" s="2" t="s">
        <v>104</v>
      </c>
      <c r="B140" s="3">
        <v>517</v>
      </c>
      <c r="C140" s="3">
        <v>487</v>
      </c>
      <c r="D140" s="3">
        <v>477</v>
      </c>
      <c r="E140" s="3">
        <v>310</v>
      </c>
      <c r="F140" s="3">
        <v>303</v>
      </c>
      <c r="G140" s="3">
        <v>297</v>
      </c>
      <c r="H140" s="3">
        <v>543</v>
      </c>
      <c r="I140" s="3">
        <v>669</v>
      </c>
    </row>
    <row r="141" spans="1:9">
      <c r="A141" s="2" t="s">
        <v>108</v>
      </c>
      <c r="B141" s="3">
        <v>-1097</v>
      </c>
      <c r="C141" s="3">
        <v>-1173</v>
      </c>
      <c r="D141" s="3">
        <v>-724</v>
      </c>
      <c r="E141" s="3">
        <v>-1456</v>
      </c>
      <c r="F141" s="3">
        <v>-1810</v>
      </c>
      <c r="G141" s="3">
        <v>-1967</v>
      </c>
      <c r="H141" s="3">
        <v>-2261</v>
      </c>
      <c r="I141" s="3">
        <v>-2219</v>
      </c>
    </row>
    <row r="142" spans="1:9" ht="15.75" thickBot="1">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75" thickTop="1">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c r="A144" s="1" t="s">
        <v>117</v>
      </c>
      <c r="B144" s="50"/>
      <c r="C144" s="50"/>
      <c r="D144" s="50"/>
      <c r="E144" s="50"/>
      <c r="F144" s="50"/>
      <c r="G144" s="50"/>
      <c r="H144" s="50"/>
      <c r="I144" s="50"/>
    </row>
    <row r="145" spans="1:9">
      <c r="A145" s="2" t="s">
        <v>100</v>
      </c>
      <c r="B145" s="3">
        <v>632</v>
      </c>
      <c r="C145" s="3">
        <v>742</v>
      </c>
      <c r="D145" s="3">
        <v>819</v>
      </c>
      <c r="E145" s="3">
        <v>848</v>
      </c>
      <c r="F145" s="3">
        <v>814</v>
      </c>
      <c r="G145" s="3">
        <v>645</v>
      </c>
      <c r="H145" s="3">
        <v>617</v>
      </c>
      <c r="I145" s="3">
        <v>639</v>
      </c>
    </row>
    <row r="146" spans="1:9">
      <c r="A146" s="2" t="s">
        <v>101</v>
      </c>
      <c r="B146" s="3">
        <v>498</v>
      </c>
      <c r="C146" s="3">
        <v>639</v>
      </c>
      <c r="D146" s="3">
        <v>709</v>
      </c>
      <c r="E146" s="3">
        <v>849</v>
      </c>
      <c r="F146" s="3">
        <v>929</v>
      </c>
      <c r="G146" s="3">
        <v>885</v>
      </c>
      <c r="H146" s="3">
        <v>982</v>
      </c>
      <c r="I146" s="3">
        <v>920</v>
      </c>
    </row>
    <row r="147" spans="1:9">
      <c r="A147" s="2" t="s">
        <v>102</v>
      </c>
      <c r="B147" s="3">
        <v>254</v>
      </c>
      <c r="C147" s="3">
        <v>234</v>
      </c>
      <c r="D147" s="3">
        <v>225</v>
      </c>
      <c r="E147" s="3">
        <v>256</v>
      </c>
      <c r="F147" s="3">
        <v>237</v>
      </c>
      <c r="G147" s="3">
        <v>214</v>
      </c>
      <c r="H147" s="3">
        <v>288</v>
      </c>
      <c r="I147" s="3">
        <v>303</v>
      </c>
    </row>
    <row r="148" spans="1:9">
      <c r="A148" s="2" t="s">
        <v>118</v>
      </c>
      <c r="B148" s="3">
        <v>308</v>
      </c>
      <c r="C148" s="3">
        <v>332</v>
      </c>
      <c r="D148" s="3">
        <v>340</v>
      </c>
      <c r="E148" s="3">
        <v>339</v>
      </c>
      <c r="F148" s="3">
        <v>326</v>
      </c>
      <c r="G148" s="3">
        <v>296</v>
      </c>
      <c r="H148" s="3">
        <v>304</v>
      </c>
      <c r="I148" s="3">
        <v>274</v>
      </c>
    </row>
    <row r="149" spans="1:9">
      <c r="A149" s="2" t="s">
        <v>107</v>
      </c>
      <c r="B149" s="3">
        <v>484</v>
      </c>
      <c r="C149" s="3">
        <v>511</v>
      </c>
      <c r="D149" s="3">
        <v>533</v>
      </c>
      <c r="E149" s="3">
        <v>597</v>
      </c>
      <c r="F149" s="3">
        <v>665</v>
      </c>
      <c r="G149" s="3">
        <v>830</v>
      </c>
      <c r="H149" s="3">
        <v>780</v>
      </c>
      <c r="I149" s="3">
        <v>789</v>
      </c>
    </row>
    <row r="150" spans="1:9">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c r="A151" s="2" t="s">
        <v>104</v>
      </c>
      <c r="B151" s="3">
        <v>122</v>
      </c>
      <c r="C151" s="3">
        <v>125</v>
      </c>
      <c r="D151" s="3">
        <v>125</v>
      </c>
      <c r="E151" s="3">
        <v>115</v>
      </c>
      <c r="F151" s="3">
        <v>100</v>
      </c>
      <c r="G151" s="3">
        <v>80</v>
      </c>
      <c r="H151" s="3">
        <v>63</v>
      </c>
      <c r="I151" s="3">
        <v>49</v>
      </c>
    </row>
    <row r="152" spans="1:9">
      <c r="A152" s="2" t="s">
        <v>108</v>
      </c>
      <c r="B152" s="3">
        <v>713</v>
      </c>
      <c r="C152" s="3">
        <v>937</v>
      </c>
      <c r="D152" s="3">
        <v>1238</v>
      </c>
      <c r="E152" s="3">
        <v>1450</v>
      </c>
      <c r="F152" s="3">
        <v>1673</v>
      </c>
      <c r="G152" s="3">
        <v>1916</v>
      </c>
      <c r="H152" s="3">
        <v>1870</v>
      </c>
      <c r="I152" s="3">
        <v>1817</v>
      </c>
    </row>
    <row r="153" spans="1:9" ht="15.75" thickBot="1">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75" thickTop="1">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c r="A155" s="1" t="s">
        <v>122</v>
      </c>
      <c r="B155" s="50"/>
      <c r="C155" s="50"/>
      <c r="D155" s="50"/>
      <c r="E155" s="50"/>
      <c r="F155" s="50"/>
      <c r="G155" s="50"/>
      <c r="H155" s="50"/>
      <c r="I155" s="50"/>
    </row>
    <row r="156" spans="1:9">
      <c r="A156" s="2" t="s">
        <v>100</v>
      </c>
      <c r="B156" s="3">
        <v>208</v>
      </c>
      <c r="C156" s="3">
        <v>242</v>
      </c>
      <c r="D156" s="3">
        <v>223</v>
      </c>
      <c r="E156" s="3">
        <v>196</v>
      </c>
      <c r="F156" s="3">
        <v>117</v>
      </c>
      <c r="G156" s="3">
        <v>110</v>
      </c>
      <c r="H156" s="3">
        <v>98</v>
      </c>
      <c r="I156" s="3">
        <v>146</v>
      </c>
    </row>
    <row r="157" spans="1:9">
      <c r="A157" s="2" t="s">
        <v>101</v>
      </c>
      <c r="B157" s="3">
        <v>236</v>
      </c>
      <c r="C157" s="3">
        <v>234</v>
      </c>
      <c r="D157" s="3">
        <v>173</v>
      </c>
      <c r="E157" s="3">
        <v>240</v>
      </c>
      <c r="F157" s="3">
        <v>233</v>
      </c>
      <c r="G157" s="3">
        <v>139</v>
      </c>
      <c r="H157" s="3">
        <v>153</v>
      </c>
      <c r="I157" s="3">
        <v>197</v>
      </c>
    </row>
    <row r="158" spans="1:9">
      <c r="A158" s="2" t="s">
        <v>102</v>
      </c>
      <c r="B158" s="3">
        <v>69</v>
      </c>
      <c r="C158" s="3">
        <v>44</v>
      </c>
      <c r="D158" s="3">
        <v>51</v>
      </c>
      <c r="E158" s="3">
        <v>76</v>
      </c>
      <c r="F158" s="3">
        <v>49</v>
      </c>
      <c r="G158" s="3">
        <v>28</v>
      </c>
      <c r="H158" s="3">
        <v>94</v>
      </c>
      <c r="I158" s="3">
        <v>78</v>
      </c>
    </row>
    <row r="159" spans="1:9">
      <c r="A159" s="2" t="s">
        <v>118</v>
      </c>
      <c r="B159" s="3">
        <v>52</v>
      </c>
      <c r="C159" s="3">
        <v>62</v>
      </c>
      <c r="D159" s="3">
        <v>59</v>
      </c>
      <c r="E159" s="3">
        <v>49</v>
      </c>
      <c r="F159" s="3">
        <v>47</v>
      </c>
      <c r="G159" s="3">
        <v>41</v>
      </c>
      <c r="H159" s="3">
        <v>54</v>
      </c>
      <c r="I159" s="3">
        <v>56</v>
      </c>
    </row>
    <row r="160" spans="1:9">
      <c r="A160" s="2" t="s">
        <v>107</v>
      </c>
      <c r="B160" s="3">
        <v>225</v>
      </c>
      <c r="C160" s="3">
        <v>258</v>
      </c>
      <c r="D160" s="3">
        <v>278</v>
      </c>
      <c r="E160" s="3">
        <v>286</v>
      </c>
      <c r="F160" s="3">
        <v>278</v>
      </c>
      <c r="G160" s="3">
        <v>438</v>
      </c>
      <c r="H160" s="3">
        <v>278</v>
      </c>
      <c r="I160" s="3">
        <v>222</v>
      </c>
    </row>
    <row r="161" spans="1:9">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c r="A162" s="2" t="s">
        <v>104</v>
      </c>
      <c r="B162" s="3">
        <v>69</v>
      </c>
      <c r="C162" s="3">
        <v>39</v>
      </c>
      <c r="D162" s="3">
        <v>30</v>
      </c>
      <c r="E162" s="3">
        <v>22</v>
      </c>
      <c r="F162" s="3">
        <v>18</v>
      </c>
      <c r="G162" s="3">
        <v>12</v>
      </c>
      <c r="H162" s="3">
        <v>7</v>
      </c>
      <c r="I162" s="3">
        <v>9</v>
      </c>
    </row>
    <row r="163" spans="1:9">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75" thickBot="1">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75" thickTop="1">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c r="A166" s="1" t="s">
        <v>124</v>
      </c>
      <c r="B166" s="50"/>
      <c r="C166" s="50"/>
      <c r="D166" s="50"/>
      <c r="E166" s="50"/>
      <c r="F166" s="50"/>
      <c r="G166" s="50"/>
      <c r="H166" s="50"/>
      <c r="I166" s="50"/>
    </row>
    <row r="167" spans="1:9">
      <c r="A167" s="2" t="s">
        <v>100</v>
      </c>
      <c r="B167" s="3">
        <v>121</v>
      </c>
      <c r="C167" s="3">
        <v>133</v>
      </c>
      <c r="D167" s="3">
        <v>140</v>
      </c>
      <c r="E167" s="3">
        <v>160</v>
      </c>
      <c r="F167" s="3">
        <v>149</v>
      </c>
      <c r="G167" s="3">
        <v>148</v>
      </c>
      <c r="H167" s="3">
        <v>130</v>
      </c>
      <c r="I167" s="3">
        <v>124</v>
      </c>
    </row>
    <row r="168" spans="1:9">
      <c r="A168" s="2" t="s">
        <v>101</v>
      </c>
      <c r="B168" s="3">
        <v>87</v>
      </c>
      <c r="C168" s="3">
        <v>85</v>
      </c>
      <c r="D168" s="3">
        <v>106</v>
      </c>
      <c r="E168" s="3">
        <v>116</v>
      </c>
      <c r="F168" s="3">
        <v>111</v>
      </c>
      <c r="G168" s="3">
        <v>132</v>
      </c>
      <c r="H168" s="3">
        <v>136</v>
      </c>
      <c r="I168" s="3">
        <v>134</v>
      </c>
    </row>
    <row r="169" spans="1:9">
      <c r="A169" s="2" t="s">
        <v>102</v>
      </c>
      <c r="B169" s="3">
        <v>46</v>
      </c>
      <c r="C169" s="3">
        <v>48</v>
      </c>
      <c r="D169" s="3">
        <v>54</v>
      </c>
      <c r="E169" s="3">
        <v>56</v>
      </c>
      <c r="F169" s="3">
        <v>50</v>
      </c>
      <c r="G169" s="3">
        <v>44</v>
      </c>
      <c r="H169" s="3">
        <v>46</v>
      </c>
      <c r="I169" s="3">
        <v>41</v>
      </c>
    </row>
    <row r="170" spans="1:9">
      <c r="A170" s="2" t="s">
        <v>106</v>
      </c>
      <c r="B170" s="3">
        <v>49</v>
      </c>
      <c r="C170" s="3">
        <v>42</v>
      </c>
      <c r="D170" s="3">
        <v>54</v>
      </c>
      <c r="E170" s="3">
        <v>55</v>
      </c>
      <c r="F170" s="3">
        <v>53</v>
      </c>
      <c r="G170" s="3">
        <v>46</v>
      </c>
      <c r="H170" s="3">
        <v>43</v>
      </c>
      <c r="I170" s="3">
        <v>42</v>
      </c>
    </row>
    <row r="171" spans="1:9">
      <c r="A171" s="2" t="s">
        <v>107</v>
      </c>
      <c r="B171" s="3">
        <v>210</v>
      </c>
      <c r="C171" s="3">
        <v>230</v>
      </c>
      <c r="D171" s="3">
        <v>233</v>
      </c>
      <c r="E171" s="3">
        <v>217</v>
      </c>
      <c r="F171" s="3">
        <v>195</v>
      </c>
      <c r="G171" s="3">
        <v>214</v>
      </c>
      <c r="H171" s="3">
        <v>222</v>
      </c>
      <c r="I171" s="3">
        <v>220</v>
      </c>
    </row>
    <row r="172" spans="1:9">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c r="A173" s="2" t="s">
        <v>104</v>
      </c>
      <c r="B173" s="3">
        <v>18</v>
      </c>
      <c r="C173" s="3">
        <v>27</v>
      </c>
      <c r="D173" s="3">
        <v>28</v>
      </c>
      <c r="E173" s="3">
        <v>33</v>
      </c>
      <c r="F173" s="3">
        <v>31</v>
      </c>
      <c r="G173" s="3">
        <v>25</v>
      </c>
      <c r="H173" s="3">
        <v>26</v>
      </c>
      <c r="I173" s="3">
        <v>22</v>
      </c>
    </row>
    <row r="174" spans="1:9">
      <c r="A174" s="2" t="s">
        <v>108</v>
      </c>
      <c r="B174" s="3">
        <v>75</v>
      </c>
      <c r="C174" s="3">
        <v>84</v>
      </c>
      <c r="D174" s="3">
        <v>91</v>
      </c>
      <c r="E174" s="3">
        <v>110</v>
      </c>
      <c r="F174" s="3">
        <v>116</v>
      </c>
      <c r="G174" s="3">
        <v>112</v>
      </c>
      <c r="H174" s="3">
        <v>141</v>
      </c>
      <c r="I174" s="3">
        <v>134</v>
      </c>
    </row>
    <row r="175" spans="1:9" ht="15.75" thickBot="1">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75" thickTop="1">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c r="A177" s="14" t="s">
        <v>126</v>
      </c>
      <c r="B177" s="14"/>
      <c r="C177" s="14"/>
      <c r="D177" s="14"/>
      <c r="E177" s="14"/>
      <c r="F177" s="14"/>
      <c r="G177" s="14"/>
      <c r="H177" s="14"/>
      <c r="I177" s="14"/>
    </row>
    <row r="178" spans="1:9">
      <c r="A178" s="29" t="s">
        <v>127</v>
      </c>
      <c r="B178" s="50"/>
      <c r="C178" s="50"/>
      <c r="D178" s="50"/>
      <c r="E178" s="50"/>
      <c r="F178" s="50"/>
      <c r="G178" s="50"/>
      <c r="H178" s="50"/>
      <c r="I178" s="50"/>
    </row>
    <row r="179" spans="1:9">
      <c r="A179" s="34" t="s">
        <v>100</v>
      </c>
      <c r="B179" s="35">
        <v>0.12</v>
      </c>
      <c r="C179" s="35">
        <v>0.08</v>
      </c>
      <c r="D179" s="35">
        <v>0.03</v>
      </c>
      <c r="E179" s="35">
        <v>-0.02</v>
      </c>
      <c r="F179" s="35">
        <v>7.0000000000000007E-2</v>
      </c>
      <c r="G179" s="35">
        <v>-0.09</v>
      </c>
      <c r="H179" s="35">
        <v>0.19</v>
      </c>
      <c r="I179" s="35">
        <v>7.0000000000000007E-2</v>
      </c>
    </row>
    <row r="180" spans="1:9">
      <c r="A180" s="32" t="s">
        <v>113</v>
      </c>
      <c r="B180" s="31">
        <v>0.14000000000000001</v>
      </c>
      <c r="C180" s="31">
        <v>0.1</v>
      </c>
      <c r="D180" s="31">
        <v>0.04</v>
      </c>
      <c r="E180" s="31">
        <v>-0.04</v>
      </c>
      <c r="F180" s="31">
        <v>0.08</v>
      </c>
      <c r="G180" s="31">
        <v>-7.0000000000000007E-2</v>
      </c>
      <c r="H180" s="31">
        <v>0.25</v>
      </c>
      <c r="I180" s="31">
        <v>0.05</v>
      </c>
    </row>
    <row r="181" spans="1:9">
      <c r="A181" s="32" t="s">
        <v>114</v>
      </c>
      <c r="B181" s="31">
        <v>0.12</v>
      </c>
      <c r="C181" s="31">
        <v>0.08</v>
      </c>
      <c r="D181" s="31">
        <v>0.03</v>
      </c>
      <c r="E181" s="31">
        <v>0.01</v>
      </c>
      <c r="F181" s="31">
        <v>7.0000000000000007E-2</v>
      </c>
      <c r="G181" s="31">
        <v>-0.12</v>
      </c>
      <c r="H181" s="31">
        <v>0.08</v>
      </c>
      <c r="I181" s="31">
        <v>0.09</v>
      </c>
    </row>
    <row r="182" spans="1:9">
      <c r="A182" s="32" t="s">
        <v>115</v>
      </c>
      <c r="B182" s="31">
        <v>-0.05</v>
      </c>
      <c r="C182" s="31">
        <v>0.13</v>
      </c>
      <c r="D182" s="31">
        <v>-0.1</v>
      </c>
      <c r="E182" s="31">
        <v>-0.08</v>
      </c>
      <c r="F182" s="31">
        <v>0</v>
      </c>
      <c r="G182" s="31">
        <v>-0.14000000000000001</v>
      </c>
      <c r="H182" s="31">
        <v>-0.02</v>
      </c>
      <c r="I182" s="31">
        <v>0.25</v>
      </c>
    </row>
    <row r="183" spans="1:9">
      <c r="A183" s="34" t="s">
        <v>101</v>
      </c>
      <c r="B183" s="35">
        <v>0.18</v>
      </c>
      <c r="C183" s="35">
        <v>0.16</v>
      </c>
      <c r="D183" s="35">
        <v>0.1</v>
      </c>
      <c r="E183" s="35">
        <v>0.09</v>
      </c>
      <c r="F183" s="35">
        <v>0.11</v>
      </c>
      <c r="G183" s="35">
        <v>-0.01</v>
      </c>
      <c r="H183" s="35">
        <v>0.17</v>
      </c>
      <c r="I183" s="35">
        <v>0.12</v>
      </c>
    </row>
    <row r="184" spans="1:9">
      <c r="A184" s="32" t="s">
        <v>113</v>
      </c>
      <c r="B184" s="31">
        <v>0.24</v>
      </c>
      <c r="C184" s="31">
        <v>0.19</v>
      </c>
      <c r="D184" s="31">
        <v>0.08</v>
      </c>
      <c r="E184" s="31">
        <v>0.06</v>
      </c>
      <c r="F184" s="31">
        <v>0.12</v>
      </c>
      <c r="G184" s="31">
        <v>-0.03</v>
      </c>
      <c r="H184" s="31">
        <v>0.13</v>
      </c>
      <c r="I184" s="31">
        <v>0.09</v>
      </c>
    </row>
    <row r="185" spans="1:9">
      <c r="A185" s="32" t="s">
        <v>114</v>
      </c>
      <c r="B185" s="31">
        <v>0.1</v>
      </c>
      <c r="C185" s="31">
        <v>0.13</v>
      </c>
      <c r="D185" s="31">
        <v>0.17</v>
      </c>
      <c r="E185" s="31">
        <v>0.16</v>
      </c>
      <c r="F185" s="31">
        <v>0.09</v>
      </c>
      <c r="G185" s="31">
        <v>0.02</v>
      </c>
      <c r="H185" s="31">
        <v>0.25</v>
      </c>
      <c r="I185" s="31">
        <v>0.16</v>
      </c>
    </row>
    <row r="186" spans="1:9">
      <c r="A186" s="32" t="s">
        <v>115</v>
      </c>
      <c r="B186" s="31">
        <v>0.15</v>
      </c>
      <c r="C186" s="31">
        <v>0.08</v>
      </c>
      <c r="D186" s="31">
        <v>7.0000000000000007E-2</v>
      </c>
      <c r="E186" s="31">
        <v>0.06</v>
      </c>
      <c r="F186" s="31">
        <v>0.05</v>
      </c>
      <c r="G186" s="31">
        <v>-0.03</v>
      </c>
      <c r="H186" s="31">
        <v>0.19</v>
      </c>
      <c r="I186" s="31">
        <v>0.17</v>
      </c>
    </row>
    <row r="187" spans="1:9">
      <c r="A187" s="34" t="s">
        <v>102</v>
      </c>
      <c r="B187" s="35">
        <v>0.19</v>
      </c>
      <c r="C187" s="35">
        <v>0.27</v>
      </c>
      <c r="D187" s="35">
        <v>0.17</v>
      </c>
      <c r="E187" s="35">
        <v>0.18</v>
      </c>
      <c r="F187" s="35">
        <v>0.24</v>
      </c>
      <c r="G187" s="35">
        <v>0.11</v>
      </c>
      <c r="H187" s="35">
        <v>0.19</v>
      </c>
      <c r="I187" s="35">
        <v>-0.13</v>
      </c>
    </row>
    <row r="188" spans="1:9">
      <c r="A188" s="32" t="s">
        <v>113</v>
      </c>
      <c r="B188" s="31">
        <v>0.28000000000000003</v>
      </c>
      <c r="C188" s="31">
        <v>0.33</v>
      </c>
      <c r="D188" s="31">
        <v>0.18</v>
      </c>
      <c r="E188" s="31">
        <v>0.16</v>
      </c>
      <c r="F188" s="31">
        <v>0.25</v>
      </c>
      <c r="G188" s="31">
        <v>0.12</v>
      </c>
      <c r="H188" s="31">
        <v>0.19</v>
      </c>
      <c r="I188" s="31">
        <v>-0.1</v>
      </c>
    </row>
    <row r="189" spans="1:9">
      <c r="A189" s="32" t="s">
        <v>114</v>
      </c>
      <c r="B189" s="31">
        <v>7.0000000000000007E-2</v>
      </c>
      <c r="C189" s="31">
        <v>0.17</v>
      </c>
      <c r="D189" s="31">
        <v>0.18</v>
      </c>
      <c r="E189" s="31">
        <v>0.23</v>
      </c>
      <c r="F189" s="31">
        <v>0.23</v>
      </c>
      <c r="G189" s="31">
        <v>0.08</v>
      </c>
      <c r="H189" s="31">
        <v>0.19</v>
      </c>
      <c r="I189" s="31">
        <v>-0.21</v>
      </c>
    </row>
    <row r="190" spans="1:9">
      <c r="A190" s="32" t="s">
        <v>115</v>
      </c>
      <c r="B190" s="31">
        <v>0.01</v>
      </c>
      <c r="C190" s="31">
        <v>7.0000000000000007E-2</v>
      </c>
      <c r="D190" s="31">
        <v>0.03</v>
      </c>
      <c r="E190" s="31">
        <v>-0.01</v>
      </c>
      <c r="F190" s="31">
        <v>0.08</v>
      </c>
      <c r="G190" s="31">
        <v>0.11</v>
      </c>
      <c r="H190" s="31">
        <v>0.26</v>
      </c>
      <c r="I190" s="31">
        <v>-0.06</v>
      </c>
    </row>
    <row r="191" spans="1:9">
      <c r="A191" s="34" t="s">
        <v>106</v>
      </c>
      <c r="B191" s="35">
        <v>0.09</v>
      </c>
      <c r="C191" s="35">
        <v>0.18</v>
      </c>
      <c r="D191" s="35">
        <v>0.13</v>
      </c>
      <c r="E191" s="35">
        <v>0.1</v>
      </c>
      <c r="F191" s="35">
        <v>0.13</v>
      </c>
      <c r="G191" s="35">
        <v>0.01</v>
      </c>
      <c r="H191" s="35">
        <v>0.08</v>
      </c>
      <c r="I191" s="35">
        <v>0.16</v>
      </c>
    </row>
    <row r="192" spans="1:9">
      <c r="A192" s="32" t="s">
        <v>113</v>
      </c>
      <c r="B192" s="31">
        <v>0.16</v>
      </c>
      <c r="C192" s="31">
        <v>0.24</v>
      </c>
      <c r="D192" s="31">
        <v>0.16</v>
      </c>
      <c r="E192" s="31">
        <v>0.09</v>
      </c>
      <c r="F192" s="31">
        <v>0.12</v>
      </c>
      <c r="G192" s="31">
        <v>0</v>
      </c>
      <c r="H192" s="31">
        <v>0.08</v>
      </c>
      <c r="I192" s="31">
        <v>0.17</v>
      </c>
    </row>
    <row r="193" spans="1:9">
      <c r="A193" s="32" t="s">
        <v>114</v>
      </c>
      <c r="B193" s="31">
        <v>7.0000000000000007E-2</v>
      </c>
      <c r="C193" s="31">
        <v>0.08</v>
      </c>
      <c r="D193" s="31">
        <v>0.09</v>
      </c>
      <c r="E193" s="31">
        <v>0.15</v>
      </c>
      <c r="F193" s="31">
        <v>0.15</v>
      </c>
      <c r="G193" s="31">
        <v>0.03</v>
      </c>
      <c r="H193" s="31">
        <v>0.1</v>
      </c>
      <c r="I193" s="31">
        <v>0.12</v>
      </c>
    </row>
    <row r="194" spans="1:9">
      <c r="A194" s="32" t="s">
        <v>115</v>
      </c>
      <c r="B194" s="31">
        <v>0.06</v>
      </c>
      <c r="C194" s="31">
        <v>7.0000000000000007E-2</v>
      </c>
      <c r="D194" s="31">
        <v>-0.01</v>
      </c>
      <c r="E194" s="31">
        <v>-0.08</v>
      </c>
      <c r="F194" s="31">
        <v>8</v>
      </c>
      <c r="G194" s="31">
        <v>-0.04</v>
      </c>
      <c r="H194" s="31">
        <v>-0.09</v>
      </c>
      <c r="I194" s="31">
        <v>0.28000000000000003</v>
      </c>
    </row>
    <row r="195" spans="1:9">
      <c r="A195" s="34" t="s">
        <v>107</v>
      </c>
      <c r="B195" s="35">
        <v>-0.02</v>
      </c>
      <c r="C195" s="35">
        <v>-0.3</v>
      </c>
      <c r="D195" s="35">
        <v>0.02</v>
      </c>
      <c r="E195" s="35">
        <v>0.12</v>
      </c>
      <c r="F195" s="35">
        <v>-0.53</v>
      </c>
      <c r="G195" s="35">
        <v>-0.26</v>
      </c>
      <c r="H195" s="35">
        <v>-0.17</v>
      </c>
      <c r="I195" s="35">
        <v>3.02</v>
      </c>
    </row>
    <row r="196" spans="1:9">
      <c r="A196" s="36" t="s">
        <v>103</v>
      </c>
      <c r="B196" s="38">
        <v>0.14000000000000001</v>
      </c>
      <c r="C196" s="38">
        <v>0.13</v>
      </c>
      <c r="D196" s="38">
        <v>0.08</v>
      </c>
      <c r="E196" s="38">
        <v>0.05</v>
      </c>
      <c r="F196" s="38">
        <v>0.11</v>
      </c>
      <c r="G196" s="38">
        <v>-0.02</v>
      </c>
      <c r="H196" s="38">
        <v>0.17</v>
      </c>
      <c r="I196" s="38">
        <v>0.06</v>
      </c>
    </row>
    <row r="197" spans="1:9">
      <c r="A197" s="34" t="s">
        <v>104</v>
      </c>
      <c r="B197" s="35">
        <v>0.21</v>
      </c>
      <c r="C197" s="35">
        <v>0.02</v>
      </c>
      <c r="D197" s="35">
        <v>0.06</v>
      </c>
      <c r="E197" s="35">
        <v>-0.11</v>
      </c>
      <c r="F197" s="35">
        <v>0.03</v>
      </c>
      <c r="G197" s="35">
        <v>-0.01</v>
      </c>
      <c r="H197" s="35">
        <v>0.16</v>
      </c>
      <c r="I197" s="35">
        <v>7.0000000000000007E-2</v>
      </c>
    </row>
    <row r="198" spans="1:9">
      <c r="A198" s="32" t="s">
        <v>113</v>
      </c>
      <c r="B198" s="31"/>
      <c r="C198" s="31"/>
      <c r="D198" s="31"/>
      <c r="E198" s="31"/>
      <c r="F198" s="31">
        <v>0.05</v>
      </c>
      <c r="G198" s="31">
        <v>0.01</v>
      </c>
      <c r="H198" s="31">
        <v>0.17</v>
      </c>
      <c r="I198" s="31">
        <v>0.06</v>
      </c>
    </row>
    <row r="199" spans="1:9">
      <c r="A199" s="32" t="s">
        <v>114</v>
      </c>
      <c r="B199" s="31"/>
      <c r="C199" s="31"/>
      <c r="D199" s="31"/>
      <c r="E199" s="31"/>
      <c r="F199" s="31">
        <v>-0.17</v>
      </c>
      <c r="G199" s="31">
        <v>-0.22</v>
      </c>
      <c r="H199" s="31">
        <v>0.13</v>
      </c>
      <c r="I199" s="31">
        <v>-0.03</v>
      </c>
    </row>
    <row r="200" spans="1:9">
      <c r="A200" s="32" t="s">
        <v>115</v>
      </c>
      <c r="B200" s="31"/>
      <c r="C200" s="31"/>
      <c r="D200" s="31"/>
      <c r="E200" s="31"/>
      <c r="F200" s="31">
        <v>-0.13</v>
      </c>
      <c r="G200" s="31">
        <v>0.08</v>
      </c>
      <c r="H200" s="31">
        <v>0.14000000000000001</v>
      </c>
      <c r="I200" s="31">
        <v>-0.16</v>
      </c>
    </row>
    <row r="201" spans="1:9">
      <c r="A201" s="32" t="s">
        <v>121</v>
      </c>
      <c r="B201" s="31"/>
      <c r="C201" s="31"/>
      <c r="D201" s="31"/>
      <c r="E201" s="31"/>
      <c r="F201" s="31">
        <v>0.04</v>
      </c>
      <c r="G201" s="31">
        <v>-0.14000000000000001</v>
      </c>
      <c r="H201" s="31">
        <v>-0.01</v>
      </c>
      <c r="I201" s="31">
        <v>0.42</v>
      </c>
    </row>
    <row r="202" spans="1:9">
      <c r="A202" s="30" t="s">
        <v>108</v>
      </c>
      <c r="B202" s="31">
        <v>0</v>
      </c>
      <c r="C202" s="31">
        <v>0</v>
      </c>
      <c r="D202" s="31">
        <v>0</v>
      </c>
      <c r="E202" s="31">
        <v>0</v>
      </c>
      <c r="F202" s="31">
        <v>0</v>
      </c>
      <c r="G202" s="31">
        <v>0</v>
      </c>
      <c r="H202" s="31">
        <v>0</v>
      </c>
      <c r="I202" s="31">
        <v>0</v>
      </c>
    </row>
    <row r="203" spans="1:9" ht="15.75" thickBot="1">
      <c r="A203" s="33" t="s">
        <v>105</v>
      </c>
      <c r="B203" s="37">
        <v>0.14000000000000001</v>
      </c>
      <c r="C203" s="37">
        <v>0.12</v>
      </c>
      <c r="D203" s="37">
        <v>0.08</v>
      </c>
      <c r="E203" s="37">
        <v>0.04</v>
      </c>
      <c r="F203" s="37">
        <v>0.11</v>
      </c>
      <c r="G203" s="37">
        <v>-0.02</v>
      </c>
      <c r="H203" s="37">
        <v>0.17</v>
      </c>
      <c r="I203" s="37">
        <v>0.06</v>
      </c>
    </row>
    <row r="204" spans="1:9" ht="15.75" thickTop="1"/>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O220"/>
  <sheetViews>
    <sheetView workbookViewId="0">
      <selection activeCell="C11" sqref="C11"/>
    </sheetView>
  </sheetViews>
  <sheetFormatPr defaultRowHeight="15"/>
  <cols>
    <col min="1" max="1" width="48.7109375" customWidth="1"/>
    <col min="2" max="14" width="11.710937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5">
      <c r="A2" s="40" t="s">
        <v>128</v>
      </c>
      <c r="B2" s="40"/>
      <c r="C2" s="40"/>
      <c r="D2" s="40"/>
      <c r="E2" s="40"/>
      <c r="F2" s="40"/>
      <c r="G2" s="40"/>
      <c r="H2" s="40"/>
      <c r="I2" s="40"/>
      <c r="J2" s="39"/>
      <c r="K2" s="39"/>
      <c r="L2" s="39"/>
      <c r="M2" s="39"/>
      <c r="N2" s="39"/>
    </row>
    <row r="3" spans="1:15">
      <c r="A3" s="41" t="s">
        <v>139</v>
      </c>
      <c r="B3" s="3">
        <f t="shared" ref="B3:N3" si="2">B21+B52+B83+B114+B145+B168+B203</f>
        <v>30601</v>
      </c>
      <c r="C3" s="3">
        <f t="shared" si="2"/>
        <v>32376</v>
      </c>
      <c r="D3" s="3">
        <f t="shared" si="2"/>
        <v>34350</v>
      </c>
      <c r="E3" s="3">
        <f t="shared" si="2"/>
        <v>36397</v>
      </c>
      <c r="F3" s="3">
        <f t="shared" si="2"/>
        <v>39117</v>
      </c>
      <c r="G3" s="67">
        <f t="shared" si="2"/>
        <v>37403</v>
      </c>
      <c r="H3" s="67">
        <f t="shared" si="2"/>
        <v>44538</v>
      </c>
      <c r="I3" s="3">
        <f t="shared" si="2"/>
        <v>46710</v>
      </c>
      <c r="J3" s="3">
        <f t="shared" si="2"/>
        <v>51807.563902439011</v>
      </c>
      <c r="K3" s="3">
        <f t="shared" si="2"/>
        <v>57495.084446400957</v>
      </c>
      <c r="L3" s="3">
        <f t="shared" si="2"/>
        <v>64098.237078473801</v>
      </c>
      <c r="M3" s="3">
        <f t="shared" si="2"/>
        <v>71717.023374917771</v>
      </c>
      <c r="N3" s="3">
        <f t="shared" si="2"/>
        <v>80409.884013668212</v>
      </c>
      <c r="O3" t="s">
        <v>142</v>
      </c>
    </row>
    <row r="4" spans="1:15">
      <c r="A4" s="42" t="s">
        <v>129</v>
      </c>
      <c r="B4" s="47" t="str">
        <f t="shared" ref="B4:N4" si="3">+IFERROR(B3/A3-1,"nm")</f>
        <v>nm</v>
      </c>
      <c r="C4" s="47">
        <f t="shared" si="3"/>
        <v>5.8004640371229765E-2</v>
      </c>
      <c r="D4" s="47">
        <f t="shared" si="3"/>
        <v>6.0971089696071123E-2</v>
      </c>
      <c r="E4" s="47">
        <f t="shared" si="3"/>
        <v>5.95924308588065E-2</v>
      </c>
      <c r="F4" s="47">
        <f t="shared" si="3"/>
        <v>7.4731433909388079E-2</v>
      </c>
      <c r="G4" s="75">
        <f t="shared" si="3"/>
        <v>-4.3817266150267153E-2</v>
      </c>
      <c r="H4" s="75">
        <f t="shared" si="3"/>
        <v>0.19076009945726269</v>
      </c>
      <c r="I4" s="47">
        <f t="shared" si="3"/>
        <v>4.8767344739323759E-2</v>
      </c>
      <c r="J4" s="47">
        <f t="shared" si="3"/>
        <v>0.10913217517531604</v>
      </c>
      <c r="K4" s="47">
        <f t="shared" si="3"/>
        <v>0.10978166343957718</v>
      </c>
      <c r="L4" s="47">
        <f t="shared" si="3"/>
        <v>0.11484725512888927</v>
      </c>
      <c r="M4" s="47">
        <f t="shared" si="3"/>
        <v>0.11886108953537189</v>
      </c>
      <c r="N4" s="47">
        <f t="shared" si="3"/>
        <v>0.12121056103104633</v>
      </c>
    </row>
    <row r="5" spans="1:15">
      <c r="A5" s="41" t="s">
        <v>130</v>
      </c>
      <c r="B5" s="76">
        <f t="shared" ref="B5:N5" si="4">B35+B66+B97+B128+B151+B186+B205</f>
        <v>4839</v>
      </c>
      <c r="C5" s="76">
        <f t="shared" si="4"/>
        <v>5291</v>
      </c>
      <c r="D5" s="76">
        <f t="shared" si="4"/>
        <v>5651</v>
      </c>
      <c r="E5" s="76">
        <f t="shared" si="4"/>
        <v>5126</v>
      </c>
      <c r="F5" s="76">
        <f t="shared" si="4"/>
        <v>5555</v>
      </c>
      <c r="G5" s="77">
        <f t="shared" si="4"/>
        <v>3697</v>
      </c>
      <c r="H5" s="77">
        <f t="shared" si="4"/>
        <v>7667</v>
      </c>
      <c r="I5" s="76">
        <f t="shared" si="4"/>
        <v>7573</v>
      </c>
      <c r="J5" s="76">
        <f t="shared" si="4"/>
        <v>9396.0203131288308</v>
      </c>
      <c r="K5" s="76">
        <f t="shared" si="4"/>
        <v>12587.968486338334</v>
      </c>
      <c r="L5" s="76">
        <f t="shared" si="4"/>
        <v>13338.257411271905</v>
      </c>
      <c r="M5" s="76">
        <f t="shared" si="4"/>
        <v>15356.571803488896</v>
      </c>
      <c r="N5" s="76">
        <f t="shared" si="4"/>
        <v>17279.376617680162</v>
      </c>
      <c r="O5" t="s">
        <v>143</v>
      </c>
    </row>
    <row r="6" spans="1:15">
      <c r="A6" s="42" t="s">
        <v>129</v>
      </c>
      <c r="B6" s="47" t="str">
        <f t="shared" ref="B6:N6" si="5">+IFERROR(B5/A5-1,"nm")</f>
        <v>nm</v>
      </c>
      <c r="C6" s="47">
        <f t="shared" si="5"/>
        <v>9.3407728869601137E-2</v>
      </c>
      <c r="D6" s="47">
        <f t="shared" si="5"/>
        <v>6.8040068040068125E-2</v>
      </c>
      <c r="E6" s="47">
        <f t="shared" si="5"/>
        <v>-9.2903910812245583E-2</v>
      </c>
      <c r="F6" s="47">
        <f t="shared" si="5"/>
        <v>8.3690987124463545E-2</v>
      </c>
      <c r="G6" s="75">
        <f t="shared" si="5"/>
        <v>-0.3344734473447345</v>
      </c>
      <c r="H6" s="75">
        <f t="shared" si="5"/>
        <v>1.0738436570192049</v>
      </c>
      <c r="I6" s="47">
        <f t="shared" si="5"/>
        <v>-1.2260336507108338E-2</v>
      </c>
      <c r="J6" s="47">
        <f t="shared" si="5"/>
        <v>0.24072630570828357</v>
      </c>
      <c r="K6" s="47">
        <f t="shared" si="5"/>
        <v>0.33971277911665121</v>
      </c>
      <c r="L6" s="47">
        <f t="shared" si="5"/>
        <v>5.9603654533124661E-2</v>
      </c>
      <c r="M6" s="47">
        <f t="shared" si="5"/>
        <v>0.15131769690629548</v>
      </c>
      <c r="N6" s="47">
        <f t="shared" si="5"/>
        <v>0.12521055081801657</v>
      </c>
    </row>
    <row r="7" spans="1:15">
      <c r="A7" s="42" t="s">
        <v>131</v>
      </c>
      <c r="B7" s="47">
        <f>+IFERROR(B5/B$3,"nm")</f>
        <v>0.15813208718669325</v>
      </c>
      <c r="C7" s="47">
        <f t="shared" ref="C7:I7" si="6">+IFERROR(C5/C$3,"nm")</f>
        <v>0.16342352359772672</v>
      </c>
      <c r="D7" s="47">
        <f t="shared" si="6"/>
        <v>0.16451237263464338</v>
      </c>
      <c r="E7" s="47">
        <f t="shared" si="6"/>
        <v>0.14083578316894249</v>
      </c>
      <c r="F7" s="47">
        <f t="shared" si="6"/>
        <v>0.14200986783240024</v>
      </c>
      <c r="G7" s="75">
        <f t="shared" si="6"/>
        <v>9.8842338849824879E-2</v>
      </c>
      <c r="H7" s="75">
        <f t="shared" si="6"/>
        <v>0.17214513449189456</v>
      </c>
      <c r="I7" s="47">
        <f t="shared" si="6"/>
        <v>0.16212802397773496</v>
      </c>
      <c r="J7" s="47">
        <f>+IFERROR(J5/J$3,"nm")</f>
        <v>0.18136387055030939</v>
      </c>
      <c r="K7" s="47">
        <f>+IFERROR(K5/K$3,"nm")</f>
        <v>0.21893990777721709</v>
      </c>
      <c r="L7" s="47">
        <f>+IFERROR(L5/L$3,"nm")</f>
        <v>0.2080908620769433</v>
      </c>
      <c r="M7" s="47">
        <f>+IFERROR(M5/M$3,"nm")</f>
        <v>0.21412728918221788</v>
      </c>
      <c r="N7" s="47">
        <f>+IFERROR(N5/N$3,"nm")</f>
        <v>0.21489120186696181</v>
      </c>
    </row>
    <row r="8" spans="1:15">
      <c r="A8" s="41" t="s">
        <v>132</v>
      </c>
      <c r="B8" s="76">
        <f t="shared" ref="B8:N8" si="7">B38+B69+B100+B131+B154+B189+B208</f>
        <v>606</v>
      </c>
      <c r="C8" s="76">
        <f t="shared" si="7"/>
        <v>649</v>
      </c>
      <c r="D8" s="76">
        <f t="shared" si="7"/>
        <v>706</v>
      </c>
      <c r="E8" s="76">
        <f t="shared" si="7"/>
        <v>747</v>
      </c>
      <c r="F8" s="76">
        <f t="shared" si="7"/>
        <v>705</v>
      </c>
      <c r="G8" s="77">
        <f t="shared" si="7"/>
        <v>721</v>
      </c>
      <c r="H8" s="77">
        <f t="shared" si="7"/>
        <v>744</v>
      </c>
      <c r="I8" s="76">
        <f t="shared" si="7"/>
        <v>717</v>
      </c>
      <c r="J8" s="76">
        <f t="shared" si="7"/>
        <v>593.92149106718239</v>
      </c>
      <c r="K8" s="76">
        <f t="shared" si="7"/>
        <v>732.22106067744471</v>
      </c>
      <c r="L8" s="76">
        <f t="shared" si="7"/>
        <v>784.34401080483087</v>
      </c>
      <c r="M8" s="76">
        <f t="shared" si="7"/>
        <v>882.82065926286612</v>
      </c>
      <c r="N8" s="76">
        <f t="shared" si="7"/>
        <v>978.35119122815479</v>
      </c>
      <c r="O8" t="s">
        <v>144</v>
      </c>
    </row>
    <row r="9" spans="1:15">
      <c r="A9" s="42" t="s">
        <v>129</v>
      </c>
      <c r="B9" s="47" t="str">
        <f t="shared" ref="B9:N9" si="8">+IFERROR(B8/A8-1,"nm")</f>
        <v>nm</v>
      </c>
      <c r="C9" s="47">
        <f t="shared" si="8"/>
        <v>7.0957095709570872E-2</v>
      </c>
      <c r="D9" s="47">
        <f t="shared" si="8"/>
        <v>8.7827426810477727E-2</v>
      </c>
      <c r="E9" s="47">
        <f t="shared" si="8"/>
        <v>5.8073654390934815E-2</v>
      </c>
      <c r="F9" s="47">
        <f t="shared" si="8"/>
        <v>-5.6224899598393607E-2</v>
      </c>
      <c r="G9" s="75">
        <f t="shared" si="8"/>
        <v>2.2695035460992941E-2</v>
      </c>
      <c r="H9" s="75">
        <f t="shared" si="8"/>
        <v>3.1900138696255187E-2</v>
      </c>
      <c r="I9" s="47">
        <f t="shared" si="8"/>
        <v>-3.6290322580645129E-2</v>
      </c>
      <c r="J9" s="47">
        <f t="shared" si="8"/>
        <v>-0.17165761357436204</v>
      </c>
      <c r="K9" s="47">
        <f t="shared" si="8"/>
        <v>0.23285833513409315</v>
      </c>
      <c r="L9" s="47">
        <f t="shared" si="8"/>
        <v>7.1184718559122562E-2</v>
      </c>
      <c r="M9" s="47">
        <f t="shared" si="8"/>
        <v>0.12555287871324006</v>
      </c>
      <c r="N9" s="47">
        <f t="shared" si="8"/>
        <v>0.10821057591136851</v>
      </c>
    </row>
    <row r="10" spans="1:15">
      <c r="A10" s="42" t="s">
        <v>133</v>
      </c>
      <c r="B10" s="47">
        <f>+IFERROR(B8/B$3,"nm")</f>
        <v>1.9803274402797295E-2</v>
      </c>
      <c r="C10" s="47">
        <f t="shared" ref="C10:I10" si="9">+IFERROR(C8/C$3,"nm")</f>
        <v>2.0045712873733631E-2</v>
      </c>
      <c r="D10" s="47">
        <f t="shared" si="9"/>
        <v>2.0553129548762736E-2</v>
      </c>
      <c r="E10" s="47">
        <f t="shared" si="9"/>
        <v>2.0523669533203285E-2</v>
      </c>
      <c r="F10" s="47">
        <f t="shared" si="9"/>
        <v>1.8022854513382928E-2</v>
      </c>
      <c r="G10" s="75">
        <f t="shared" si="9"/>
        <v>1.9276528620698875E-2</v>
      </c>
      <c r="H10" s="75">
        <f t="shared" si="9"/>
        <v>1.6704836319547355E-2</v>
      </c>
      <c r="I10" s="47">
        <f t="shared" si="9"/>
        <v>1.5350032113037893E-2</v>
      </c>
      <c r="J10" s="47">
        <f>+IFERROR(J8/J$3,"nm")</f>
        <v>1.1463991863922048E-2</v>
      </c>
      <c r="K10" s="47">
        <f>+IFERROR(K8/K$3,"nm")</f>
        <v>1.2735368035854408E-2</v>
      </c>
      <c r="L10" s="47">
        <f>+IFERROR(L8/L$3,"nm")</f>
        <v>1.2236592557835544E-2</v>
      </c>
      <c r="M10" s="47">
        <f>+IFERROR(M8/M$3,"nm")</f>
        <v>1.2309778316477407E-2</v>
      </c>
      <c r="N10" s="47">
        <f>+IFERROR(N8/N$3,"nm")</f>
        <v>1.2167051392113101E-2</v>
      </c>
    </row>
    <row r="11" spans="1:15">
      <c r="A11" s="41" t="s">
        <v>134</v>
      </c>
      <c r="B11" s="76">
        <f t="shared" ref="B11:I11" si="10">B42+B73+B104+B135+B158+B193+B212</f>
        <v>4233</v>
      </c>
      <c r="C11" s="76">
        <f t="shared" si="10"/>
        <v>4642</v>
      </c>
      <c r="D11" s="76">
        <f t="shared" si="10"/>
        <v>4945</v>
      </c>
      <c r="E11" s="76">
        <f t="shared" si="10"/>
        <v>4379</v>
      </c>
      <c r="F11" s="76">
        <f t="shared" si="10"/>
        <v>4850</v>
      </c>
      <c r="G11" s="77">
        <f t="shared" si="10"/>
        <v>2976</v>
      </c>
      <c r="H11" s="77">
        <f t="shared" si="10"/>
        <v>6923</v>
      </c>
      <c r="I11" s="76">
        <f t="shared" si="10"/>
        <v>6856</v>
      </c>
      <c r="J11" s="76">
        <f>J5-J8</f>
        <v>8802.0988220616491</v>
      </c>
      <c r="K11" s="76">
        <f t="shared" ref="K11:N11" si="11">K5-K8</f>
        <v>11855.747425660889</v>
      </c>
      <c r="L11" s="76">
        <f t="shared" si="11"/>
        <v>12553.913400467074</v>
      </c>
      <c r="M11" s="76">
        <f t="shared" si="11"/>
        <v>14473.751144226029</v>
      </c>
      <c r="N11" s="76">
        <f t="shared" si="11"/>
        <v>16301.025426452006</v>
      </c>
      <c r="O11" t="s">
        <v>145</v>
      </c>
    </row>
    <row r="12" spans="1:15">
      <c r="A12" s="42" t="s">
        <v>129</v>
      </c>
      <c r="B12" s="47" t="str">
        <f t="shared" ref="B12:N12" si="12">+IFERROR(B11/A11-1,"nm")</f>
        <v>nm</v>
      </c>
      <c r="C12" s="47">
        <f t="shared" si="12"/>
        <v>9.6621781242617555E-2</v>
      </c>
      <c r="D12" s="47">
        <f t="shared" si="12"/>
        <v>6.5273588970271357E-2</v>
      </c>
      <c r="E12" s="47">
        <f t="shared" si="12"/>
        <v>-0.11445904954499497</v>
      </c>
      <c r="F12" s="47">
        <f t="shared" si="12"/>
        <v>0.10755880337976698</v>
      </c>
      <c r="G12" s="75">
        <f t="shared" si="12"/>
        <v>-0.38639175257731961</v>
      </c>
      <c r="H12" s="75">
        <f t="shared" si="12"/>
        <v>1.32627688172043</v>
      </c>
      <c r="I12" s="47">
        <f t="shared" si="12"/>
        <v>-9.67788530983682E-3</v>
      </c>
      <c r="J12" s="47">
        <f t="shared" si="12"/>
        <v>0.28385338711517627</v>
      </c>
      <c r="K12" s="47">
        <f t="shared" si="12"/>
        <v>0.34692278118322784</v>
      </c>
      <c r="L12" s="47">
        <f t="shared" si="12"/>
        <v>5.8888398153207566E-2</v>
      </c>
      <c r="M12" s="47">
        <f t="shared" si="12"/>
        <v>0.15292743246799256</v>
      </c>
      <c r="N12" s="47">
        <f t="shared" si="12"/>
        <v>0.12624745748478117</v>
      </c>
    </row>
    <row r="13" spans="1:15">
      <c r="A13" s="42" t="s">
        <v>131</v>
      </c>
      <c r="B13" s="47">
        <f>+IFERROR(B11/B$3,"nm")</f>
        <v>0.13832881278389594</v>
      </c>
      <c r="C13" s="47">
        <f t="shared" ref="C13:I13" si="13">+IFERROR(C11/C$3,"nm")</f>
        <v>0.14337781072399308</v>
      </c>
      <c r="D13" s="47">
        <f t="shared" si="13"/>
        <v>0.14395924308588065</v>
      </c>
      <c r="E13" s="47">
        <f t="shared" si="13"/>
        <v>0.12031211363573921</v>
      </c>
      <c r="F13" s="47">
        <f t="shared" si="13"/>
        <v>0.12398701331901731</v>
      </c>
      <c r="G13" s="75">
        <f t="shared" si="13"/>
        <v>7.9565810229126011E-2</v>
      </c>
      <c r="H13" s="75">
        <f t="shared" si="13"/>
        <v>0.1554402981723472</v>
      </c>
      <c r="I13" s="47">
        <f t="shared" si="13"/>
        <v>0.14677799186469706</v>
      </c>
      <c r="J13" s="47">
        <f>+IFERROR(J11/J$3,"nm")</f>
        <v>0.16989987868638737</v>
      </c>
      <c r="K13" s="47">
        <f>+IFERROR(K11/K$3,"nm")</f>
        <v>0.20620453974136269</v>
      </c>
      <c r="L13" s="47">
        <f>+IFERROR(L11/L$3,"nm")</f>
        <v>0.19585426951910775</v>
      </c>
      <c r="M13" s="47">
        <f>+IFERROR(M11/M$3,"nm")</f>
        <v>0.20181751086574046</v>
      </c>
      <c r="N13" s="47">
        <f>+IFERROR(N11/N$3,"nm")</f>
        <v>0.20272415047484871</v>
      </c>
    </row>
    <row r="14" spans="1:15">
      <c r="A14" s="41" t="s">
        <v>135</v>
      </c>
      <c r="B14" s="76">
        <f t="shared" ref="B14:N14" si="14">B45+B76+B107+B138+B161+B196+B215</f>
        <v>1113</v>
      </c>
      <c r="C14" s="76">
        <f t="shared" si="14"/>
        <v>1143</v>
      </c>
      <c r="D14" s="76">
        <f t="shared" si="14"/>
        <v>1105</v>
      </c>
      <c r="E14" s="76">
        <f t="shared" si="14"/>
        <v>1028</v>
      </c>
      <c r="F14" s="76">
        <f t="shared" si="14"/>
        <v>1119</v>
      </c>
      <c r="G14" s="77">
        <f t="shared" si="14"/>
        <v>1086</v>
      </c>
      <c r="H14" s="77">
        <f t="shared" si="14"/>
        <v>695</v>
      </c>
      <c r="I14" s="76">
        <f t="shared" si="14"/>
        <v>758</v>
      </c>
      <c r="J14" s="76">
        <f t="shared" si="14"/>
        <v>764.09468950034784</v>
      </c>
      <c r="K14" s="76">
        <f t="shared" si="14"/>
        <v>874.51739207369133</v>
      </c>
      <c r="L14" s="76">
        <f t="shared" si="14"/>
        <v>960.71665147447845</v>
      </c>
      <c r="M14" s="76">
        <f t="shared" si="14"/>
        <v>1073.5156516005736</v>
      </c>
      <c r="N14" s="76">
        <f t="shared" si="14"/>
        <v>1194.0803693926321</v>
      </c>
      <c r="O14" t="s">
        <v>146</v>
      </c>
    </row>
    <row r="15" spans="1:15">
      <c r="A15" s="42" t="s">
        <v>129</v>
      </c>
      <c r="B15" s="47" t="str">
        <f t="shared" ref="B15:N15" si="15">+IFERROR(B14/A14-1,"nm")</f>
        <v>nm</v>
      </c>
      <c r="C15" s="47">
        <f t="shared" si="15"/>
        <v>2.695417789757415E-2</v>
      </c>
      <c r="D15" s="47">
        <f t="shared" si="15"/>
        <v>-3.3245844269466307E-2</v>
      </c>
      <c r="E15" s="47">
        <f t="shared" si="15"/>
        <v>-6.9683257918552011E-2</v>
      </c>
      <c r="F15" s="47">
        <f t="shared" si="15"/>
        <v>8.8521400778210024E-2</v>
      </c>
      <c r="G15" s="75">
        <f t="shared" si="15"/>
        <v>-2.9490616621983934E-2</v>
      </c>
      <c r="H15" s="75">
        <f t="shared" si="15"/>
        <v>-0.36003683241252304</v>
      </c>
      <c r="I15" s="47">
        <f t="shared" si="15"/>
        <v>9.0647482014388547E-2</v>
      </c>
      <c r="J15" s="47">
        <f t="shared" si="15"/>
        <v>8.0404874674773197E-3</v>
      </c>
      <c r="K15" s="47">
        <f t="shared" si="15"/>
        <v>0.14451442221846933</v>
      </c>
      <c r="L15" s="47">
        <f t="shared" si="15"/>
        <v>9.8567804576633833E-2</v>
      </c>
      <c r="M15" s="47">
        <f t="shared" si="15"/>
        <v>0.11741130951875833</v>
      </c>
      <c r="N15" s="47">
        <f t="shared" si="15"/>
        <v>0.11230829994169222</v>
      </c>
    </row>
    <row r="16" spans="1:15">
      <c r="A16" s="42" t="s">
        <v>133</v>
      </c>
      <c r="B16" s="47">
        <f>+IFERROR(B14/B$3,"nm")</f>
        <v>3.6371360413058398E-2</v>
      </c>
      <c r="C16" s="47">
        <f t="shared" ref="C16:I16" si="16">+IFERROR(C14/C$3,"nm")</f>
        <v>3.5303928836174947E-2</v>
      </c>
      <c r="D16" s="47">
        <f t="shared" si="16"/>
        <v>3.2168850072780204E-2</v>
      </c>
      <c r="E16" s="47">
        <f t="shared" si="16"/>
        <v>2.8244086051048164E-2</v>
      </c>
      <c r="F16" s="47">
        <f t="shared" si="16"/>
        <v>2.8606488227624818E-2</v>
      </c>
      <c r="G16" s="75">
        <f t="shared" si="16"/>
        <v>2.9035104136031869E-2</v>
      </c>
      <c r="H16" s="75">
        <f t="shared" si="16"/>
        <v>1.5604652207104046E-2</v>
      </c>
      <c r="I16" s="47">
        <f t="shared" si="16"/>
        <v>1.6227788482123744E-2</v>
      </c>
      <c r="J16" s="47">
        <f>+IFERROR(J14/J$3,"nm")</f>
        <v>1.4748709106246463E-2</v>
      </c>
      <c r="K16" s="47">
        <f>+IFERROR(K14/K$3,"nm")</f>
        <v>1.5210298419318764E-2</v>
      </c>
      <c r="L16" s="47">
        <f>+IFERROR(L14/L$3,"nm")</f>
        <v>1.4988191489545931E-2</v>
      </c>
      <c r="M16" s="47">
        <f>+IFERROR(M14/M$3,"nm")</f>
        <v>1.4968770329305436E-2</v>
      </c>
      <c r="N16" s="47">
        <f>+IFERROR(N14/N$3,"nm")</f>
        <v>1.4849920305688541E-2</v>
      </c>
    </row>
    <row r="17" spans="1:15">
      <c r="A17" s="9" t="s">
        <v>141</v>
      </c>
      <c r="B17" s="76">
        <f t="shared" ref="B17:N17" si="17">B48+B79+B110+B141+B164+B199+B218</f>
        <v>3011</v>
      </c>
      <c r="C17" s="76">
        <f t="shared" si="17"/>
        <v>3520</v>
      </c>
      <c r="D17" s="76">
        <f t="shared" si="17"/>
        <v>3989</v>
      </c>
      <c r="E17" s="76">
        <f t="shared" si="17"/>
        <v>4454</v>
      </c>
      <c r="F17" s="76">
        <f t="shared" si="17"/>
        <v>4744</v>
      </c>
      <c r="G17" s="77">
        <f t="shared" si="17"/>
        <v>4866</v>
      </c>
      <c r="H17" s="77">
        <f t="shared" si="17"/>
        <v>4904</v>
      </c>
      <c r="I17" s="76">
        <f t="shared" si="17"/>
        <v>4791</v>
      </c>
      <c r="J17" s="76">
        <f t="shared" si="17"/>
        <v>2612.210025726622</v>
      </c>
      <c r="K17" s="76">
        <f t="shared" si="17"/>
        <v>3914.7380841747449</v>
      </c>
      <c r="L17" s="76">
        <f t="shared" si="17"/>
        <v>3976.1863506696782</v>
      </c>
      <c r="M17" s="76">
        <f t="shared" si="17"/>
        <v>4582.072338715936</v>
      </c>
      <c r="N17" s="76">
        <f t="shared" si="17"/>
        <v>5062.8686321166415</v>
      </c>
      <c r="O17" t="s">
        <v>147</v>
      </c>
    </row>
    <row r="18" spans="1:15">
      <c r="A18" s="42" t="s">
        <v>129</v>
      </c>
      <c r="B18" s="47" t="str">
        <f t="shared" ref="B18:N18" si="18">+IFERROR(B17/A17-1,"nm")</f>
        <v>nm</v>
      </c>
      <c r="C18" s="47">
        <f t="shared" si="18"/>
        <v>0.16904682829624718</v>
      </c>
      <c r="D18" s="47">
        <f t="shared" si="18"/>
        <v>0.13323863636363642</v>
      </c>
      <c r="E18" s="47">
        <f t="shared" si="18"/>
        <v>0.11657056906492858</v>
      </c>
      <c r="F18" s="47">
        <f t="shared" si="18"/>
        <v>6.5110013471037176E-2</v>
      </c>
      <c r="G18" s="75">
        <f t="shared" si="18"/>
        <v>2.5716694772343951E-2</v>
      </c>
      <c r="H18" s="75">
        <f t="shared" si="18"/>
        <v>7.8092889436909285E-3</v>
      </c>
      <c r="I18" s="47">
        <f t="shared" si="18"/>
        <v>-2.3042414355628038E-2</v>
      </c>
      <c r="J18" s="47">
        <f t="shared" si="18"/>
        <v>-0.45476726659849254</v>
      </c>
      <c r="K18" s="47">
        <f t="shared" si="18"/>
        <v>0.49863067885814694</v>
      </c>
      <c r="L18" s="47">
        <f t="shared" si="18"/>
        <v>1.5696648198084251E-2</v>
      </c>
      <c r="M18" s="47">
        <f t="shared" si="18"/>
        <v>0.1523786700651526</v>
      </c>
      <c r="N18" s="47">
        <f t="shared" si="18"/>
        <v>0.10492987841729318</v>
      </c>
    </row>
    <row r="19" spans="1:15">
      <c r="A19" s="42" t="s">
        <v>133</v>
      </c>
      <c r="B19" s="47">
        <f>+IFERROR(B17/B$3,"nm")</f>
        <v>9.8395477271984569E-2</v>
      </c>
      <c r="C19" s="47">
        <f t="shared" ref="C19:I19" si="19">+IFERROR(C17/C$3,"nm")</f>
        <v>0.10872251050160613</v>
      </c>
      <c r="D19" s="47">
        <f t="shared" si="19"/>
        <v>0.11612809315866085</v>
      </c>
      <c r="E19" s="47">
        <f t="shared" si="19"/>
        <v>0.12237272302662307</v>
      </c>
      <c r="F19" s="47">
        <f t="shared" si="19"/>
        <v>0.1212771940588491</v>
      </c>
      <c r="G19" s="75">
        <f t="shared" si="19"/>
        <v>0.13009651632222013</v>
      </c>
      <c r="H19" s="75">
        <f t="shared" si="19"/>
        <v>0.11010822219228523</v>
      </c>
      <c r="I19" s="47">
        <f t="shared" si="19"/>
        <v>0.10256904303147078</v>
      </c>
      <c r="J19" s="47">
        <f>+IFERROR(J17/J$3,"nm")</f>
        <v>5.042140237757143E-2</v>
      </c>
      <c r="K19" s="47">
        <f>+IFERROR(K17/K$3,"nm")</f>
        <v>6.8088222182266872E-2</v>
      </c>
      <c r="L19" s="47">
        <f>+IFERROR(L17/L$3,"nm")</f>
        <v>6.2032694375068954E-2</v>
      </c>
      <c r="M19" s="47">
        <f>+IFERROR(M17/M$3,"nm")</f>
        <v>6.3890999975864379E-2</v>
      </c>
      <c r="N19" s="47">
        <f>+IFERROR(N17/N$3,"nm")</f>
        <v>6.2963262467286313E-2</v>
      </c>
    </row>
    <row r="20" spans="1:15">
      <c r="A20" s="43" t="str">
        <f>+Historicals!A107</f>
        <v>North America</v>
      </c>
      <c r="B20" s="43"/>
      <c r="C20" s="43"/>
      <c r="D20" s="43"/>
      <c r="E20" s="43"/>
      <c r="F20" s="43"/>
      <c r="G20" s="43"/>
      <c r="H20" s="43"/>
      <c r="I20" s="43"/>
      <c r="J20" s="39"/>
      <c r="K20" s="39"/>
      <c r="L20" s="39"/>
      <c r="M20" s="39"/>
      <c r="N20" s="39"/>
    </row>
    <row r="21" spans="1:15">
      <c r="A21" s="9" t="s">
        <v>136</v>
      </c>
      <c r="B21" s="9">
        <f>+Historicals!B107</f>
        <v>13740</v>
      </c>
      <c r="C21" s="9">
        <f>+Historicals!C107</f>
        <v>14764</v>
      </c>
      <c r="D21" s="9">
        <f>+Historicals!D107</f>
        <v>15216</v>
      </c>
      <c r="E21" s="9">
        <f>+Historicals!E107</f>
        <v>14855</v>
      </c>
      <c r="F21" s="9">
        <f>+Historicals!F107</f>
        <v>15902</v>
      </c>
      <c r="G21" s="9">
        <f>+Historicals!G107</f>
        <v>14484</v>
      </c>
      <c r="H21" s="9">
        <f>+Historicals!H107</f>
        <v>17179</v>
      </c>
      <c r="I21" s="9">
        <f>+Historicals!I107</f>
        <v>18353</v>
      </c>
      <c r="J21" s="9">
        <f>+SUM(J23+J27+J31)</f>
        <v>20239.14</v>
      </c>
      <c r="K21" s="9">
        <f t="shared" ref="K21:N21" si="20">+SUM(K23+K27+K31)</f>
        <v>22323.728999999999</v>
      </c>
      <c r="L21" s="9">
        <f t="shared" si="20"/>
        <v>24628.114271999999</v>
      </c>
      <c r="M21" s="9">
        <f t="shared" si="20"/>
        <v>27175.988090235001</v>
      </c>
      <c r="N21" s="9">
        <f t="shared" si="20"/>
        <v>29993.650443867897</v>
      </c>
    </row>
    <row r="22" spans="1:15">
      <c r="A22" s="44" t="s">
        <v>129</v>
      </c>
      <c r="B22" s="47" t="str">
        <f t="shared" ref="B22:H22" si="21">+IFERROR(B21/A21-1,"nm")</f>
        <v>nm</v>
      </c>
      <c r="C22" s="47">
        <f t="shared" si="21"/>
        <v>7.4526928675400228E-2</v>
      </c>
      <c r="D22" s="47">
        <f t="shared" si="21"/>
        <v>3.0615009482525046E-2</v>
      </c>
      <c r="E22" s="47">
        <f t="shared" si="21"/>
        <v>-2.372502628811779E-2</v>
      </c>
      <c r="F22" s="47">
        <f t="shared" si="21"/>
        <v>7.0481319421070276E-2</v>
      </c>
      <c r="G22" s="47">
        <f t="shared" si="21"/>
        <v>-8.9171173437303519E-2</v>
      </c>
      <c r="H22" s="47">
        <f t="shared" si="21"/>
        <v>0.18606738470035911</v>
      </c>
      <c r="I22" s="47">
        <f>+IFERROR(I21/H21-1,"nm")</f>
        <v>6.8339251411607238E-2</v>
      </c>
      <c r="J22" s="47">
        <f t="shared" ref="J22:N22" si="22">+IFERROR(J21/I21-1,"nm")</f>
        <v>0.10277011932654068</v>
      </c>
      <c r="K22" s="47">
        <f t="shared" si="22"/>
        <v>0.10299790406114084</v>
      </c>
      <c r="L22" s="47">
        <f t="shared" si="22"/>
        <v>0.10322582181498441</v>
      </c>
      <c r="M22" s="47">
        <f t="shared" si="22"/>
        <v>0.10345387349171564</v>
      </c>
      <c r="N22" s="47">
        <f t="shared" si="22"/>
        <v>0.10368205727339674</v>
      </c>
    </row>
    <row r="23" spans="1:15">
      <c r="A23" s="45"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13389.66</v>
      </c>
      <c r="K23" s="3">
        <f t="shared" ref="K23:N23" si="23">+J23*(1+K24)</f>
        <v>14661.6777</v>
      </c>
      <c r="L23" s="3">
        <f t="shared" si="23"/>
        <v>16054.537081500001</v>
      </c>
      <c r="M23" s="3">
        <f t="shared" si="23"/>
        <v>17579.7181042425</v>
      </c>
      <c r="N23" s="3">
        <f t="shared" si="23"/>
        <v>19249.791324145535</v>
      </c>
    </row>
    <row r="24" spans="1:15">
      <c r="A24" s="44" t="s">
        <v>129</v>
      </c>
      <c r="B24" s="47" t="str">
        <f t="shared" ref="B24" si="24">+IFERROR(B23/A23-1,"nm")</f>
        <v>nm</v>
      </c>
      <c r="C24" s="47">
        <f t="shared" ref="C24" si="25">+IFERROR(C23/B23-1,"nm")</f>
        <v>9.3228309428638578E-2</v>
      </c>
      <c r="D24" s="47">
        <f t="shared" ref="D24" si="26">+IFERROR(D23/C23-1,"nm")</f>
        <v>4.1402301322722934E-2</v>
      </c>
      <c r="E24" s="47">
        <f t="shared" ref="E24" si="27">+IFERROR(E23/D23-1,"nm")</f>
        <v>-3.7381247418422192E-2</v>
      </c>
      <c r="F24" s="47">
        <f t="shared" ref="F24" si="28">+IFERROR(F23/E23-1,"nm")</f>
        <v>7.755846384895948E-2</v>
      </c>
      <c r="G24" s="47">
        <f t="shared" ref="G24" si="29">+IFERROR(G23/F23-1,"nm")</f>
        <v>-7.1279243404678949E-2</v>
      </c>
      <c r="H24" s="47">
        <f t="shared" ref="H24" si="30">+IFERROR(H23/G23-1,"nm")</f>
        <v>0.24815092721620746</v>
      </c>
      <c r="I24" s="47">
        <f>+IFERROR(I23/H23-1,"nm")</f>
        <v>5.0154586052902683E-2</v>
      </c>
      <c r="J24" s="47">
        <f>+J25+J26</f>
        <v>9.5000000000000001E-2</v>
      </c>
      <c r="K24" s="47">
        <f t="shared" ref="K24:N24" si="31">+K25+K26</f>
        <v>9.5000000000000001E-2</v>
      </c>
      <c r="L24" s="47">
        <f t="shared" si="31"/>
        <v>9.5000000000000001E-2</v>
      </c>
      <c r="M24" s="47">
        <f t="shared" si="31"/>
        <v>9.5000000000000001E-2</v>
      </c>
      <c r="N24" s="47">
        <f t="shared" si="31"/>
        <v>9.5000000000000001E-2</v>
      </c>
    </row>
    <row r="25" spans="1:15">
      <c r="A25" s="44" t="s">
        <v>137</v>
      </c>
      <c r="B25" s="47">
        <f>+Historicals!B180</f>
        <v>0.14000000000000001</v>
      </c>
      <c r="C25" s="47">
        <f>+Historicals!C180</f>
        <v>0.1</v>
      </c>
      <c r="D25" s="47">
        <f>+Historicals!D180</f>
        <v>0.04</v>
      </c>
      <c r="E25" s="47">
        <f>+Historicals!E180</f>
        <v>-0.04</v>
      </c>
      <c r="F25" s="47">
        <f>+Historicals!F180</f>
        <v>0.08</v>
      </c>
      <c r="G25" s="47">
        <f>+Historicals!G180</f>
        <v>-7.0000000000000007E-2</v>
      </c>
      <c r="H25" s="47">
        <f>+Historicals!H180</f>
        <v>0.25</v>
      </c>
      <c r="I25" s="47">
        <f>+Historicals!I180</f>
        <v>0.05</v>
      </c>
      <c r="J25" s="49">
        <v>9.5000000000000001E-2</v>
      </c>
      <c r="K25" s="49">
        <f t="shared" ref="K25:N26" si="32">+J25</f>
        <v>9.5000000000000001E-2</v>
      </c>
      <c r="L25" s="49">
        <f t="shared" si="32"/>
        <v>9.5000000000000001E-2</v>
      </c>
      <c r="M25" s="49">
        <f t="shared" si="32"/>
        <v>9.5000000000000001E-2</v>
      </c>
      <c r="N25" s="49">
        <f t="shared" si="32"/>
        <v>9.5000000000000001E-2</v>
      </c>
    </row>
    <row r="26" spans="1:15">
      <c r="A26" s="44" t="s">
        <v>138</v>
      </c>
      <c r="B26" s="47" t="str">
        <f t="shared" ref="B26:H26" si="33">+IFERROR(B24-B25,"nm")</f>
        <v>nm</v>
      </c>
      <c r="C26" s="47">
        <f t="shared" si="33"/>
        <v>-6.7716905713614273E-3</v>
      </c>
      <c r="D26" s="47">
        <f t="shared" si="33"/>
        <v>1.4023013227229333E-3</v>
      </c>
      <c r="E26" s="47">
        <f t="shared" si="33"/>
        <v>2.6187525815778087E-3</v>
      </c>
      <c r="F26" s="47">
        <f t="shared" si="33"/>
        <v>-2.4415361510405215E-3</v>
      </c>
      <c r="G26" s="47">
        <f t="shared" si="33"/>
        <v>-1.2792434046789425E-3</v>
      </c>
      <c r="H26" s="47">
        <f t="shared" si="33"/>
        <v>-1.849072783792538E-3</v>
      </c>
      <c r="I26" s="47">
        <f>+IFERROR(I24-I25,"nm")</f>
        <v>1.5458605290268046E-4</v>
      </c>
      <c r="J26" s="49">
        <v>0</v>
      </c>
      <c r="K26" s="49">
        <f t="shared" si="32"/>
        <v>0</v>
      </c>
      <c r="L26" s="49">
        <f t="shared" si="32"/>
        <v>0</v>
      </c>
      <c r="M26" s="49">
        <f t="shared" si="32"/>
        <v>0</v>
      </c>
      <c r="N26" s="49">
        <f t="shared" si="32"/>
        <v>0</v>
      </c>
    </row>
    <row r="27" spans="1:15">
      <c r="A27" s="45"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+I27*(1+J28)</f>
        <v>6178.5</v>
      </c>
      <c r="K27" s="3">
        <f t="shared" ref="K27" si="34">+J27*(1+K28)</f>
        <v>6950.8125</v>
      </c>
      <c r="L27" s="3">
        <f t="shared" ref="L27" si="35">+K27*(1+L28)</f>
        <v>7819.6640625</v>
      </c>
      <c r="M27" s="3">
        <f t="shared" ref="M27" si="36">+L27*(1+M28)</f>
        <v>8797.1220703125</v>
      </c>
      <c r="N27" s="3">
        <f t="shared" ref="N27" si="37">+M27*(1+N28)</f>
        <v>9896.7623291015625</v>
      </c>
    </row>
    <row r="28" spans="1:15">
      <c r="A28" s="44" t="s">
        <v>129</v>
      </c>
      <c r="B28" s="47" t="str">
        <f t="shared" ref="B28" si="38">+IFERROR(B27/A27-1,"nm")</f>
        <v>nm</v>
      </c>
      <c r="C28" s="47">
        <f t="shared" ref="C28" si="39">+IFERROR(C27/B27-1,"nm")</f>
        <v>7.6190476190476142E-2</v>
      </c>
      <c r="D28" s="47">
        <f t="shared" ref="D28" si="40">+IFERROR(D27/C27-1,"nm")</f>
        <v>2.9498525073746285E-2</v>
      </c>
      <c r="E28" s="47">
        <f t="shared" ref="E28" si="41">+IFERROR(E27/D27-1,"nm")</f>
        <v>1.0642652476463343E-2</v>
      </c>
      <c r="F28" s="47">
        <f t="shared" ref="F28" si="42">+IFERROR(F27/E27-1,"nm")</f>
        <v>6.5208586472256025E-2</v>
      </c>
      <c r="G28" s="47">
        <f t="shared" ref="G28" si="43">+IFERROR(G27/F27-1,"nm")</f>
        <v>-0.11806083650190113</v>
      </c>
      <c r="H28" s="47">
        <f t="shared" ref="H28" si="44">+IFERROR(H27/G27-1,"nm")</f>
        <v>8.3854278939426541E-2</v>
      </c>
      <c r="I28" s="47">
        <f>+IFERROR(I27/H27-1,"nm")</f>
        <v>9.2283214001591007E-2</v>
      </c>
      <c r="J28" s="47">
        <f>+J29+J30</f>
        <v>0.125</v>
      </c>
      <c r="K28" s="47">
        <f t="shared" ref="K28" si="45">+K29+K30</f>
        <v>0.125</v>
      </c>
      <c r="L28" s="47">
        <f t="shared" ref="L28" si="46">+L29+L30</f>
        <v>0.125</v>
      </c>
      <c r="M28" s="47">
        <f t="shared" ref="M28" si="47">+M29+M30</f>
        <v>0.125</v>
      </c>
      <c r="N28" s="47">
        <f t="shared" ref="N28" si="48">+N29+N30</f>
        <v>0.125</v>
      </c>
    </row>
    <row r="29" spans="1:15">
      <c r="A29" s="44" t="s">
        <v>137</v>
      </c>
      <c r="B29" s="47">
        <f>+Historicals!B184</f>
        <v>0.24</v>
      </c>
      <c r="C29" s="47">
        <f>+Historicals!C184</f>
        <v>0.19</v>
      </c>
      <c r="D29" s="47">
        <f>+Historicals!D184</f>
        <v>0.08</v>
      </c>
      <c r="E29" s="47">
        <f>+Historicals!E184</f>
        <v>0.06</v>
      </c>
      <c r="F29" s="47">
        <f>+Historicals!F184</f>
        <v>0.12</v>
      </c>
      <c r="G29" s="47">
        <f>+Historicals!G184</f>
        <v>-0.03</v>
      </c>
      <c r="H29" s="47">
        <f>+Historicals!H184</f>
        <v>0.13</v>
      </c>
      <c r="I29" s="47">
        <f>+Historicals!I184</f>
        <v>0.09</v>
      </c>
      <c r="J29" s="49">
        <v>0.125</v>
      </c>
      <c r="K29" s="49">
        <f t="shared" ref="K29:N29" si="49">+J29</f>
        <v>0.125</v>
      </c>
      <c r="L29" s="49">
        <f t="shared" si="49"/>
        <v>0.125</v>
      </c>
      <c r="M29" s="49">
        <f t="shared" si="49"/>
        <v>0.125</v>
      </c>
      <c r="N29" s="49">
        <f t="shared" si="49"/>
        <v>0.125</v>
      </c>
    </row>
    <row r="30" spans="1:15">
      <c r="A30" s="44" t="s">
        <v>138</v>
      </c>
      <c r="B30" s="47" t="str">
        <f t="shared" ref="B30" si="50">+IFERROR(B28-B29,"nm")</f>
        <v>nm</v>
      </c>
      <c r="C30" s="47">
        <f t="shared" ref="C30" si="51">+IFERROR(C28-C29,"nm")</f>
        <v>-0.11380952380952386</v>
      </c>
      <c r="D30" s="47">
        <f t="shared" ref="D30" si="52">+IFERROR(D28-D29,"nm")</f>
        <v>-5.0501474926253717E-2</v>
      </c>
      <c r="E30" s="47">
        <f t="shared" ref="E30" si="53">+IFERROR(E28-E29,"nm")</f>
        <v>-4.9357347523536654E-2</v>
      </c>
      <c r="F30" s="47">
        <f t="shared" ref="F30" si="54">+IFERROR(F28-F29,"nm")</f>
        <v>-5.4791413527743971E-2</v>
      </c>
      <c r="G30" s="47">
        <f t="shared" ref="G30" si="55">+IFERROR(G28-G29,"nm")</f>
        <v>-8.8060836501901135E-2</v>
      </c>
      <c r="H30" s="47">
        <f t="shared" ref="H30" si="56">+IFERROR(H28-H29,"nm")</f>
        <v>-4.6145721060573464E-2</v>
      </c>
      <c r="I30" s="47">
        <f>+IFERROR(I28-I29,"nm")</f>
        <v>2.2832140015910107E-3</v>
      </c>
      <c r="J30" s="49">
        <v>0</v>
      </c>
      <c r="K30" s="49">
        <f t="shared" ref="K30:N30" si="57">+J30</f>
        <v>0</v>
      </c>
      <c r="L30" s="49">
        <f t="shared" si="57"/>
        <v>0</v>
      </c>
      <c r="M30" s="49">
        <f t="shared" si="57"/>
        <v>0</v>
      </c>
      <c r="N30" s="49">
        <f t="shared" si="57"/>
        <v>0</v>
      </c>
    </row>
    <row r="31" spans="1:15">
      <c r="A31" s="45"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+I31*(1+J32)</f>
        <v>670.98</v>
      </c>
      <c r="K31" s="3">
        <f t="shared" ref="K31" si="58">+J31*(1+K32)</f>
        <v>711.23880000000008</v>
      </c>
      <c r="L31" s="3">
        <f t="shared" ref="L31" si="59">+K31*(1+L32)</f>
        <v>753.91312800000014</v>
      </c>
      <c r="M31" s="3">
        <f t="shared" ref="M31" si="60">+L31*(1+M32)</f>
        <v>799.14791568000021</v>
      </c>
      <c r="N31" s="3">
        <f t="shared" ref="N31" si="61">+M31*(1+N32)</f>
        <v>847.09679062080022</v>
      </c>
    </row>
    <row r="32" spans="1:15">
      <c r="A32" s="44" t="s">
        <v>129</v>
      </c>
      <c r="B32" s="47" t="str">
        <f t="shared" ref="B32" si="62">+IFERROR(B31/A31-1,"nm")</f>
        <v>nm</v>
      </c>
      <c r="C32" s="47">
        <f t="shared" ref="C32" si="63">+IFERROR(C31/B31-1,"nm")</f>
        <v>-0.12742718446601942</v>
      </c>
      <c r="D32" s="47">
        <f t="shared" ref="D32" si="64">+IFERROR(D31/C31-1,"nm")</f>
        <v>-0.10152990264255912</v>
      </c>
      <c r="E32" s="47">
        <f t="shared" ref="E32" si="65">+IFERROR(E31/D31-1,"nm")</f>
        <v>-7.8947368421052655E-2</v>
      </c>
      <c r="F32" s="47">
        <f t="shared" ref="F32" si="66">+IFERROR(F31/E31-1,"nm")</f>
        <v>3.3613445378151141E-3</v>
      </c>
      <c r="G32" s="47">
        <f t="shared" ref="G32" si="67">+IFERROR(G31/F31-1,"nm")</f>
        <v>-0.13567839195979903</v>
      </c>
      <c r="H32" s="47">
        <f t="shared" ref="H32" si="68">+IFERROR(H31/G31-1,"nm")</f>
        <v>-1.744186046511631E-2</v>
      </c>
      <c r="I32" s="47">
        <f>+IFERROR(I31/H31-1,"nm")</f>
        <v>0.24852071005917153</v>
      </c>
      <c r="J32" s="47">
        <f>+J33+J34</f>
        <v>0.06</v>
      </c>
      <c r="K32" s="47">
        <f t="shared" ref="K32" si="69">+K33+K34</f>
        <v>0.06</v>
      </c>
      <c r="L32" s="47">
        <f t="shared" ref="L32" si="70">+L33+L34</f>
        <v>0.06</v>
      </c>
      <c r="M32" s="47">
        <f t="shared" ref="M32" si="71">+M33+M34</f>
        <v>0.06</v>
      </c>
      <c r="N32" s="47">
        <f t="shared" ref="N32" si="72">+N33+N34</f>
        <v>0.06</v>
      </c>
    </row>
    <row r="33" spans="1:14">
      <c r="A33" s="44" t="s">
        <v>137</v>
      </c>
      <c r="B33" s="47">
        <f>+Historicals!B182</f>
        <v>-0.05</v>
      </c>
      <c r="C33" s="47">
        <f>+Historicals!C182</f>
        <v>0.13</v>
      </c>
      <c r="D33" s="47">
        <f>+Historicals!D182</f>
        <v>-0.1</v>
      </c>
      <c r="E33" s="47">
        <f>+Historicals!E182</f>
        <v>-0.08</v>
      </c>
      <c r="F33" s="47">
        <f>+Historicals!F182</f>
        <v>0</v>
      </c>
      <c r="G33" s="47">
        <f>+Historicals!G182</f>
        <v>-0.14000000000000001</v>
      </c>
      <c r="H33" s="47">
        <f>+Historicals!H182</f>
        <v>-0.02</v>
      </c>
      <c r="I33" s="47">
        <f>+Historicals!I182</f>
        <v>0.25</v>
      </c>
      <c r="J33" s="49">
        <v>0.06</v>
      </c>
      <c r="K33" s="49">
        <f t="shared" ref="K33:N33" si="73">+J33</f>
        <v>0.06</v>
      </c>
      <c r="L33" s="49">
        <f t="shared" si="73"/>
        <v>0.06</v>
      </c>
      <c r="M33" s="49">
        <f t="shared" si="73"/>
        <v>0.06</v>
      </c>
      <c r="N33" s="49">
        <f t="shared" si="73"/>
        <v>0.06</v>
      </c>
    </row>
    <row r="34" spans="1:14">
      <c r="A34" s="44" t="s">
        <v>138</v>
      </c>
      <c r="B34" s="47" t="str">
        <f t="shared" ref="B34" si="74">+IFERROR(B32-B33,"nm")</f>
        <v>nm</v>
      </c>
      <c r="C34" s="47">
        <f t="shared" ref="C34" si="75">+IFERROR(C32-C33,"nm")</f>
        <v>-0.25742718446601942</v>
      </c>
      <c r="D34" s="47">
        <f t="shared" ref="D34" si="76">+IFERROR(D32-D33,"nm")</f>
        <v>-1.5299026425591167E-3</v>
      </c>
      <c r="E34" s="47">
        <f t="shared" ref="E34" si="77">+IFERROR(E32-E33,"nm")</f>
        <v>1.0526315789473467E-3</v>
      </c>
      <c r="F34" s="47">
        <f t="shared" ref="F34" si="78">+IFERROR(F32-F33,"nm")</f>
        <v>3.3613445378151141E-3</v>
      </c>
      <c r="G34" s="47">
        <f t="shared" ref="G34" si="79">+IFERROR(G32-G33,"nm")</f>
        <v>4.321608040200986E-3</v>
      </c>
      <c r="H34" s="47">
        <f t="shared" ref="H34" si="80">+IFERROR(H32-H33,"nm")</f>
        <v>2.5581395348836904E-3</v>
      </c>
      <c r="I34" s="47">
        <f>+IFERROR(I32-I33,"nm")</f>
        <v>-1.4792899408284654E-3</v>
      </c>
      <c r="J34" s="49">
        <v>0</v>
      </c>
      <c r="K34" s="49">
        <f t="shared" ref="K34:N34" si="81">+J34</f>
        <v>0</v>
      </c>
      <c r="L34" s="49">
        <f t="shared" si="81"/>
        <v>0</v>
      </c>
      <c r="M34" s="49">
        <f t="shared" si="81"/>
        <v>0</v>
      </c>
      <c r="N34" s="49">
        <f t="shared" si="81"/>
        <v>0</v>
      </c>
    </row>
    <row r="35" spans="1:14">
      <c r="A35" s="9" t="s">
        <v>130</v>
      </c>
      <c r="B35" s="48">
        <f t="shared" ref="B35:H35" si="82">+B42+B38</f>
        <v>3766</v>
      </c>
      <c r="C35" s="48">
        <f t="shared" si="82"/>
        <v>3896</v>
      </c>
      <c r="D35" s="48">
        <f t="shared" si="82"/>
        <v>4015</v>
      </c>
      <c r="E35" s="48">
        <f t="shared" si="82"/>
        <v>3760</v>
      </c>
      <c r="F35" s="48">
        <f t="shared" si="82"/>
        <v>4074</v>
      </c>
      <c r="G35" s="48">
        <f t="shared" si="82"/>
        <v>3047</v>
      </c>
      <c r="H35" s="48">
        <f t="shared" si="82"/>
        <v>5219</v>
      </c>
      <c r="I35" s="48">
        <f>+I42+I38</f>
        <v>5238</v>
      </c>
      <c r="J35" s="48">
        <f>+J21*J37</f>
        <v>5776.3098850324195</v>
      </c>
      <c r="K35" s="48">
        <f t="shared" ref="K35:N35" si="83">+K21*K37</f>
        <v>6371.2576963984084</v>
      </c>
      <c r="L35" s="48">
        <f t="shared" si="83"/>
        <v>7028.9360081041787</v>
      </c>
      <c r="M35" s="48">
        <f t="shared" si="83"/>
        <v>7756.1066646679519</v>
      </c>
      <c r="N35" s="48">
        <f t="shared" si="83"/>
        <v>8560.2757600926288</v>
      </c>
    </row>
    <row r="36" spans="1:14">
      <c r="A36" s="46" t="s">
        <v>129</v>
      </c>
      <c r="B36" s="47" t="str">
        <f t="shared" ref="B36" si="84">+IFERROR(B35/A35-1,"nm")</f>
        <v>nm</v>
      </c>
      <c r="C36" s="47">
        <f t="shared" ref="C36" si="85">+IFERROR(C35/B35-1,"nm")</f>
        <v>3.4519383961763239E-2</v>
      </c>
      <c r="D36" s="47">
        <f t="shared" ref="D36" si="86">+IFERROR(D35/C35-1,"nm")</f>
        <v>3.0544147843942548E-2</v>
      </c>
      <c r="E36" s="47">
        <f t="shared" ref="E36" si="87">+IFERROR(E35/D35-1,"nm")</f>
        <v>-6.3511830635118338E-2</v>
      </c>
      <c r="F36" s="47">
        <f t="shared" ref="F36" si="88">+IFERROR(F35/E35-1,"nm")</f>
        <v>8.3510638297872308E-2</v>
      </c>
      <c r="G36" s="47">
        <f t="shared" ref="G36" si="89">+IFERROR(G35/F35-1,"nm")</f>
        <v>-0.25208640157093765</v>
      </c>
      <c r="H36" s="47">
        <f t="shared" ref="H36" si="90">+IFERROR(H35/G35-1,"nm")</f>
        <v>0.71283229405973092</v>
      </c>
      <c r="I36" s="47">
        <f>+IFERROR(I35/H35-1,"nm")</f>
        <v>3.6405441655489312E-3</v>
      </c>
      <c r="J36" s="47">
        <f t="shared" ref="J36:N36" si="91">+IFERROR(J35/I35-1,"nm")</f>
        <v>0.10277011932654068</v>
      </c>
      <c r="K36" s="47">
        <f t="shared" si="91"/>
        <v>0.10299790406114084</v>
      </c>
      <c r="L36" s="47">
        <f t="shared" si="91"/>
        <v>0.10322582181498441</v>
      </c>
      <c r="M36" s="47">
        <f t="shared" si="91"/>
        <v>0.10345387349171542</v>
      </c>
      <c r="N36" s="47">
        <f t="shared" si="91"/>
        <v>0.10368205727339674</v>
      </c>
    </row>
    <row r="37" spans="1:14">
      <c r="A37" s="46" t="s">
        <v>131</v>
      </c>
      <c r="B37" s="47">
        <f t="shared" ref="B37:H37" si="92">+IFERROR(B35/B$21,"nm")</f>
        <v>0.27409024745269289</v>
      </c>
      <c r="C37" s="47">
        <f t="shared" si="92"/>
        <v>0.26388512598211866</v>
      </c>
      <c r="D37" s="47">
        <f t="shared" si="92"/>
        <v>0.26386698212407994</v>
      </c>
      <c r="E37" s="47">
        <f t="shared" si="92"/>
        <v>0.25311342982160889</v>
      </c>
      <c r="F37" s="47">
        <f t="shared" si="92"/>
        <v>0.25619418941013711</v>
      </c>
      <c r="G37" s="47">
        <f t="shared" si="92"/>
        <v>0.2103700635183651</v>
      </c>
      <c r="H37" s="47">
        <f t="shared" si="92"/>
        <v>0.30380115256999823</v>
      </c>
      <c r="I37" s="47">
        <f>+IFERROR(I35/I$21,"nm")</f>
        <v>0.28540293140086087</v>
      </c>
      <c r="J37" s="49">
        <f>+I37</f>
        <v>0.28540293140086087</v>
      </c>
      <c r="K37" s="49">
        <f t="shared" ref="K37:N37" si="93">+J37</f>
        <v>0.28540293140086087</v>
      </c>
      <c r="L37" s="49">
        <f t="shared" si="93"/>
        <v>0.28540293140086087</v>
      </c>
      <c r="M37" s="49">
        <f t="shared" si="93"/>
        <v>0.28540293140086087</v>
      </c>
      <c r="N37" s="49">
        <f t="shared" si="93"/>
        <v>0.28540293140086087</v>
      </c>
    </row>
    <row r="38" spans="1:14">
      <c r="A38" s="9" t="s">
        <v>132</v>
      </c>
      <c r="B38" s="9">
        <f>+Historicals!B167</f>
        <v>121</v>
      </c>
      <c r="C38" s="9">
        <f>+Historicals!C167</f>
        <v>133</v>
      </c>
      <c r="D38" s="9">
        <f>+Historicals!D167</f>
        <v>140</v>
      </c>
      <c r="E38" s="9">
        <f>+Historicals!E167</f>
        <v>160</v>
      </c>
      <c r="F38" s="9">
        <f>+Historicals!F167</f>
        <v>149</v>
      </c>
      <c r="G38" s="9">
        <f>+Historicals!G167</f>
        <v>148</v>
      </c>
      <c r="H38" s="9">
        <f>+Historicals!H167</f>
        <v>130</v>
      </c>
      <c r="I38" s="9">
        <f>+Historicals!I167</f>
        <v>124</v>
      </c>
      <c r="J38" s="48">
        <f>+J41*J48</f>
        <v>136.74349479649104</v>
      </c>
      <c r="K38" s="48">
        <f t="shared" ref="K38:N38" si="94">+K41*K48</f>
        <v>150.82778815452517</v>
      </c>
      <c r="L38" s="48">
        <f t="shared" si="94"/>
        <v>166.39711053931239</v>
      </c>
      <c r="M38" s="48">
        <f t="shared" si="94"/>
        <v>183.61153616243342</v>
      </c>
      <c r="N38" s="48">
        <f t="shared" si="94"/>
        <v>202.64875797088322</v>
      </c>
    </row>
    <row r="39" spans="1:14">
      <c r="A39" s="46" t="s">
        <v>129</v>
      </c>
      <c r="B39" s="47" t="str">
        <f t="shared" ref="B39" si="95">+IFERROR(B38/A38-1,"nm")</f>
        <v>nm</v>
      </c>
      <c r="C39" s="47">
        <f t="shared" ref="C39" si="96">+IFERROR(C38/B38-1,"nm")</f>
        <v>9.9173553719008156E-2</v>
      </c>
      <c r="D39" s="47">
        <f t="shared" ref="D39" si="97">+IFERROR(D38/C38-1,"nm")</f>
        <v>5.2631578947368363E-2</v>
      </c>
      <c r="E39" s="47">
        <f t="shared" ref="E39" si="98">+IFERROR(E38/D38-1,"nm")</f>
        <v>0.14285714285714279</v>
      </c>
      <c r="F39" s="47">
        <f t="shared" ref="F39" si="99">+IFERROR(F38/E38-1,"nm")</f>
        <v>-6.8749999999999978E-2</v>
      </c>
      <c r="G39" s="47">
        <f t="shared" ref="G39" si="100">+IFERROR(G38/F38-1,"nm")</f>
        <v>-6.7114093959731447E-3</v>
      </c>
      <c r="H39" s="47">
        <f t="shared" ref="H39" si="101">+IFERROR(H38/G38-1,"nm")</f>
        <v>-0.1216216216216216</v>
      </c>
      <c r="I39" s="47">
        <f>+IFERROR(I38/H38-1,"nm")</f>
        <v>-4.6153846153846101E-2</v>
      </c>
      <c r="J39" s="47">
        <f t="shared" ref="J39" si="102">+IFERROR(J38/I38-1,"nm")</f>
        <v>0.10277011932654068</v>
      </c>
      <c r="K39" s="47">
        <f t="shared" ref="K39" si="103">+IFERROR(K38/J38-1,"nm")</f>
        <v>0.10299790406114107</v>
      </c>
      <c r="L39" s="47">
        <f t="shared" ref="L39" si="104">+IFERROR(L38/K38-1,"nm")</f>
        <v>0.10322582181498441</v>
      </c>
      <c r="M39" s="47">
        <f t="shared" ref="M39" si="105">+IFERROR(M38/L38-1,"nm")</f>
        <v>0.10345387349171564</v>
      </c>
      <c r="N39" s="47">
        <f t="shared" ref="N39" si="106">+IFERROR(N38/M38-1,"nm")</f>
        <v>0.10368205727339697</v>
      </c>
    </row>
    <row r="40" spans="1:14">
      <c r="A40" s="46" t="s">
        <v>133</v>
      </c>
      <c r="B40" s="47">
        <f t="shared" ref="B40:H40" si="107">+IFERROR(B38/B$21,"nm")</f>
        <v>8.8064046579330417E-3</v>
      </c>
      <c r="C40" s="47">
        <f t="shared" si="107"/>
        <v>9.0083988079111346E-3</v>
      </c>
      <c r="D40" s="47">
        <f t="shared" si="107"/>
        <v>9.2008412197686646E-3</v>
      </c>
      <c r="E40" s="47">
        <f t="shared" si="107"/>
        <v>1.0770784247728038E-2</v>
      </c>
      <c r="F40" s="47">
        <f t="shared" si="107"/>
        <v>9.3698905798012821E-3</v>
      </c>
      <c r="G40" s="47">
        <f t="shared" si="107"/>
        <v>1.0218171775752554E-2</v>
      </c>
      <c r="H40" s="47">
        <f t="shared" si="107"/>
        <v>7.5673787764130628E-3</v>
      </c>
      <c r="I40" s="47">
        <f>+IFERROR(I38/I$21,"nm")</f>
        <v>6.7563886013185855E-3</v>
      </c>
      <c r="J40" s="47">
        <f t="shared" ref="J40:N40" si="108">+IFERROR(J38/J$21,"nm")</f>
        <v>6.7563886013185855E-3</v>
      </c>
      <c r="K40" s="47">
        <f t="shared" si="108"/>
        <v>6.7563886013185864E-3</v>
      </c>
      <c r="L40" s="47">
        <f t="shared" si="108"/>
        <v>6.7563886013185864E-3</v>
      </c>
      <c r="M40" s="47">
        <f t="shared" si="108"/>
        <v>6.7563886013185864E-3</v>
      </c>
      <c r="N40" s="47">
        <f t="shared" si="108"/>
        <v>6.7563886013185864E-3</v>
      </c>
    </row>
    <row r="41" spans="1:14">
      <c r="A41" s="46" t="s">
        <v>140</v>
      </c>
      <c r="B41" s="47">
        <f t="shared" ref="B41:H41" si="109">+IFERROR(B38/B48,"nm")</f>
        <v>0.19145569620253164</v>
      </c>
      <c r="C41" s="47">
        <f t="shared" si="109"/>
        <v>0.17924528301886791</v>
      </c>
      <c r="D41" s="47">
        <f t="shared" si="109"/>
        <v>0.17094017094017094</v>
      </c>
      <c r="E41" s="47">
        <f t="shared" si="109"/>
        <v>0.18867924528301888</v>
      </c>
      <c r="F41" s="47">
        <f t="shared" si="109"/>
        <v>0.18304668304668303</v>
      </c>
      <c r="G41" s="47">
        <f t="shared" si="109"/>
        <v>0.22945736434108527</v>
      </c>
      <c r="H41" s="47">
        <f t="shared" si="109"/>
        <v>0.21069692058346839</v>
      </c>
      <c r="I41" s="47">
        <f>+IFERROR(I38/I48,"nm")</f>
        <v>0.19405320813771518</v>
      </c>
      <c r="J41" s="49">
        <f>+I41</f>
        <v>0.19405320813771518</v>
      </c>
      <c r="K41" s="49">
        <f t="shared" ref="K41:N41" si="110">+J41</f>
        <v>0.19405320813771518</v>
      </c>
      <c r="L41" s="49">
        <f t="shared" si="110"/>
        <v>0.19405320813771518</v>
      </c>
      <c r="M41" s="49">
        <f t="shared" si="110"/>
        <v>0.19405320813771518</v>
      </c>
      <c r="N41" s="49">
        <f t="shared" si="110"/>
        <v>0.19405320813771518</v>
      </c>
    </row>
    <row r="42" spans="1:14">
      <c r="A42" s="9" t="s">
        <v>134</v>
      </c>
      <c r="B42" s="9">
        <f>+Historicals!B134</f>
        <v>3645</v>
      </c>
      <c r="C42" s="9">
        <f>+Historicals!C134</f>
        <v>3763</v>
      </c>
      <c r="D42" s="9">
        <f>+Historicals!D134</f>
        <v>3875</v>
      </c>
      <c r="E42" s="9">
        <f>+Historicals!E134</f>
        <v>3600</v>
      </c>
      <c r="F42" s="9">
        <f>+Historicals!F134</f>
        <v>3925</v>
      </c>
      <c r="G42" s="9">
        <f>+Historicals!G134</f>
        <v>2899</v>
      </c>
      <c r="H42" s="9">
        <f>+Historicals!H134</f>
        <v>5089</v>
      </c>
      <c r="I42" s="9">
        <f>+Historicals!I134</f>
        <v>5114</v>
      </c>
      <c r="J42" s="9">
        <f>+J35-J38</f>
        <v>5639.5663902359283</v>
      </c>
      <c r="K42" s="9">
        <f t="shared" ref="K42:N42" si="111">+K35-K38</f>
        <v>6220.4299082438829</v>
      </c>
      <c r="L42" s="9">
        <f t="shared" si="111"/>
        <v>6862.5388975648666</v>
      </c>
      <c r="M42" s="9">
        <f t="shared" si="111"/>
        <v>7572.4951285055186</v>
      </c>
      <c r="N42" s="9">
        <f t="shared" si="111"/>
        <v>8357.627002121746</v>
      </c>
    </row>
    <row r="43" spans="1:14">
      <c r="A43" s="46" t="s">
        <v>129</v>
      </c>
      <c r="B43" s="47" t="str">
        <f t="shared" ref="B43" si="112">+IFERROR(B42/A42-1,"nm")</f>
        <v>nm</v>
      </c>
      <c r="C43" s="47">
        <f t="shared" ref="C43" si="113">+IFERROR(C42/B42-1,"nm")</f>
        <v>3.2373113854595292E-2</v>
      </c>
      <c r="D43" s="47">
        <f t="shared" ref="D43" si="114">+IFERROR(D42/C42-1,"nm")</f>
        <v>2.9763486579856391E-2</v>
      </c>
      <c r="E43" s="47">
        <f t="shared" ref="E43" si="115">+IFERROR(E42/D42-1,"nm")</f>
        <v>-7.096774193548383E-2</v>
      </c>
      <c r="F43" s="47">
        <f t="shared" ref="F43" si="116">+IFERROR(F42/E42-1,"nm")</f>
        <v>9.0277777777777679E-2</v>
      </c>
      <c r="G43" s="47">
        <f t="shared" ref="G43" si="117">+IFERROR(G42/F42-1,"nm")</f>
        <v>-0.26140127388535028</v>
      </c>
      <c r="H43" s="47">
        <f t="shared" ref="H43" si="118">+IFERROR(H42/G42-1,"nm")</f>
        <v>0.75543290789927564</v>
      </c>
      <c r="I43" s="47">
        <f>+IFERROR(I42/H42-1,"nm")</f>
        <v>4.9125564943997002E-3</v>
      </c>
      <c r="J43" s="47">
        <f t="shared" ref="J43:N43" si="119">+IFERROR(J42/I42-1,"nm")</f>
        <v>0.10277011932654045</v>
      </c>
      <c r="K43" s="47">
        <f t="shared" si="119"/>
        <v>0.10299790406114084</v>
      </c>
      <c r="L43" s="47">
        <f t="shared" si="119"/>
        <v>0.10322582181498463</v>
      </c>
      <c r="M43" s="47">
        <f t="shared" si="119"/>
        <v>0.10345387349171542</v>
      </c>
      <c r="N43" s="47">
        <f t="shared" si="119"/>
        <v>0.10368205727339674</v>
      </c>
    </row>
    <row r="44" spans="1:14">
      <c r="A44" s="46" t="s">
        <v>131</v>
      </c>
      <c r="B44" s="47">
        <f t="shared" ref="B44:H44" si="120">+IFERROR(B42/B$21,"nm")</f>
        <v>0.26528384279475981</v>
      </c>
      <c r="C44" s="47">
        <f t="shared" si="120"/>
        <v>0.25487672717420751</v>
      </c>
      <c r="D44" s="47">
        <f t="shared" si="120"/>
        <v>0.25466614090431128</v>
      </c>
      <c r="E44" s="47">
        <f t="shared" si="120"/>
        <v>0.24234264557388085</v>
      </c>
      <c r="F44" s="47">
        <f t="shared" si="120"/>
        <v>0.2468242988303358</v>
      </c>
      <c r="G44" s="47">
        <f t="shared" si="120"/>
        <v>0.20015189174261253</v>
      </c>
      <c r="H44" s="47">
        <f t="shared" si="120"/>
        <v>0.29623377379358518</v>
      </c>
      <c r="I44" s="47">
        <f>+IFERROR(I42/I$21,"nm")</f>
        <v>0.27864654279954232</v>
      </c>
      <c r="J44" s="47">
        <f t="shared" ref="J44:N44" si="121">+IFERROR(J42/J$21,"nm")</f>
        <v>0.27864654279954232</v>
      </c>
      <c r="K44" s="47">
        <f t="shared" si="121"/>
        <v>0.27864654279954226</v>
      </c>
      <c r="L44" s="47">
        <f t="shared" si="121"/>
        <v>0.27864654279954232</v>
      </c>
      <c r="M44" s="47">
        <f t="shared" si="121"/>
        <v>0.27864654279954226</v>
      </c>
      <c r="N44" s="47">
        <f t="shared" si="121"/>
        <v>0.27864654279954226</v>
      </c>
    </row>
    <row r="45" spans="1:14">
      <c r="A45" s="9" t="s">
        <v>135</v>
      </c>
      <c r="B45" s="9">
        <f>+Historicals!B156</f>
        <v>208</v>
      </c>
      <c r="C45" s="9">
        <f>+Historicals!C156</f>
        <v>242</v>
      </c>
      <c r="D45" s="9">
        <f>+Historicals!D156</f>
        <v>223</v>
      </c>
      <c r="E45" s="9">
        <f>+Historicals!E156</f>
        <v>196</v>
      </c>
      <c r="F45" s="9">
        <f>+Historicals!F156</f>
        <v>117</v>
      </c>
      <c r="G45" s="9">
        <f>+Historicals!G156</f>
        <v>110</v>
      </c>
      <c r="H45" s="9">
        <f>+Historicals!H156</f>
        <v>98</v>
      </c>
      <c r="I45" s="9">
        <f>+Historicals!I156</f>
        <v>146</v>
      </c>
      <c r="J45" s="48">
        <f>+J21*J47</f>
        <v>161.00443742167494</v>
      </c>
      <c r="K45" s="48">
        <f t="shared" ref="K45:N45" si="122">+K21*K47</f>
        <v>177.58755702065059</v>
      </c>
      <c r="L45" s="48">
        <f t="shared" si="122"/>
        <v>195.91917853822264</v>
      </c>
      <c r="M45" s="48">
        <f t="shared" si="122"/>
        <v>216.18777644931677</v>
      </c>
      <c r="N45" s="48">
        <f t="shared" si="122"/>
        <v>238.60256986894314</v>
      </c>
    </row>
    <row r="46" spans="1:14">
      <c r="A46" s="46" t="s">
        <v>129</v>
      </c>
      <c r="B46" s="47" t="str">
        <f t="shared" ref="B46" si="123">+IFERROR(B45/A45-1,"nm")</f>
        <v>nm</v>
      </c>
      <c r="C46" s="47">
        <f t="shared" ref="C46" si="124">+IFERROR(C45/B45-1,"nm")</f>
        <v>0.16346153846153855</v>
      </c>
      <c r="D46" s="47">
        <f t="shared" ref="D46" si="125">+IFERROR(D45/C45-1,"nm")</f>
        <v>-7.8512396694214837E-2</v>
      </c>
      <c r="E46" s="47">
        <f t="shared" ref="E46" si="126">+IFERROR(E45/D45-1,"nm")</f>
        <v>-0.12107623318385652</v>
      </c>
      <c r="F46" s="47">
        <f t="shared" ref="F46" si="127">+IFERROR(F45/E45-1,"nm")</f>
        <v>-0.40306122448979587</v>
      </c>
      <c r="G46" s="47">
        <f t="shared" ref="G46" si="128">+IFERROR(G45/F45-1,"nm")</f>
        <v>-5.9829059829059839E-2</v>
      </c>
      <c r="H46" s="47">
        <f t="shared" ref="H46" si="129">+IFERROR(H45/G45-1,"nm")</f>
        <v>-0.10909090909090913</v>
      </c>
      <c r="I46" s="47">
        <f>+IFERROR(I45/H45-1,"nm")</f>
        <v>0.48979591836734704</v>
      </c>
      <c r="J46" s="47">
        <f t="shared" ref="J46" si="130">+IFERROR(J45/I45-1,"nm")</f>
        <v>0.10277011932654068</v>
      </c>
      <c r="K46" s="47">
        <f t="shared" ref="K46" si="131">+IFERROR(K45/J45-1,"nm")</f>
        <v>0.10299790406114107</v>
      </c>
      <c r="L46" s="47">
        <f t="shared" ref="L46" si="132">+IFERROR(L45/K45-1,"nm")</f>
        <v>0.10322582181498441</v>
      </c>
      <c r="M46" s="47">
        <f t="shared" ref="M46" si="133">+IFERROR(M45/L45-1,"nm")</f>
        <v>0.10345387349171564</v>
      </c>
      <c r="N46" s="47">
        <f t="shared" ref="N46" si="134">+IFERROR(N45/M45-1,"nm")</f>
        <v>0.10368205727339674</v>
      </c>
    </row>
    <row r="47" spans="1:14">
      <c r="A47" s="46" t="s">
        <v>133</v>
      </c>
      <c r="B47" s="47">
        <f t="shared" ref="B47:H47" si="135">+IFERROR(B45/B$21,"nm")</f>
        <v>1.5138282387190683E-2</v>
      </c>
      <c r="C47" s="47">
        <f t="shared" si="135"/>
        <v>1.6391221891086428E-2</v>
      </c>
      <c r="D47" s="47">
        <f t="shared" si="135"/>
        <v>1.4655625657202945E-2</v>
      </c>
      <c r="E47" s="47">
        <f t="shared" si="135"/>
        <v>1.3194210703466847E-2</v>
      </c>
      <c r="F47" s="47">
        <f t="shared" si="135"/>
        <v>7.3575650861526856E-3</v>
      </c>
      <c r="G47" s="47">
        <f t="shared" si="135"/>
        <v>7.5945871306268989E-3</v>
      </c>
      <c r="H47" s="47">
        <f t="shared" si="135"/>
        <v>5.7046393852960009E-3</v>
      </c>
      <c r="I47" s="47">
        <f>+IFERROR(I45/I$21,"nm")</f>
        <v>7.9551027080041418E-3</v>
      </c>
      <c r="J47" s="49">
        <f>+I47</f>
        <v>7.9551027080041418E-3</v>
      </c>
      <c r="K47" s="49">
        <f t="shared" ref="K47:N47" si="136">+J47</f>
        <v>7.9551027080041418E-3</v>
      </c>
      <c r="L47" s="49">
        <f t="shared" si="136"/>
        <v>7.9551027080041418E-3</v>
      </c>
      <c r="M47" s="49">
        <f t="shared" si="136"/>
        <v>7.9551027080041418E-3</v>
      </c>
      <c r="N47" s="49">
        <f t="shared" si="136"/>
        <v>7.9551027080041418E-3</v>
      </c>
    </row>
    <row r="48" spans="1:14">
      <c r="A48" s="9" t="s">
        <v>141</v>
      </c>
      <c r="B48" s="9">
        <f>+Historicals!B145</f>
        <v>632</v>
      </c>
      <c r="C48" s="9">
        <f>+Historicals!C145</f>
        <v>742</v>
      </c>
      <c r="D48" s="9">
        <f>+Historicals!D145</f>
        <v>819</v>
      </c>
      <c r="E48" s="9">
        <f>+Historicals!E145</f>
        <v>848</v>
      </c>
      <c r="F48" s="9">
        <f>+Historicals!F145</f>
        <v>814</v>
      </c>
      <c r="G48" s="9">
        <f>+Historicals!G145</f>
        <v>645</v>
      </c>
      <c r="H48" s="9">
        <f>+Historicals!H145</f>
        <v>617</v>
      </c>
      <c r="I48" s="9">
        <f>+Historicals!I145</f>
        <v>639</v>
      </c>
      <c r="J48" s="48">
        <f>+J21*J50</f>
        <v>704.67010624965951</v>
      </c>
      <c r="K48" s="48">
        <f t="shared" ref="K48:N48" si="137">+K21*K50</f>
        <v>777.24965024791595</v>
      </c>
      <c r="L48" s="48">
        <f t="shared" si="137"/>
        <v>857.48188415016625</v>
      </c>
      <c r="M48" s="48">
        <f t="shared" si="137"/>
        <v>946.19170651447541</v>
      </c>
      <c r="N48" s="48">
        <f t="shared" si="137"/>
        <v>1044.2948092209224</v>
      </c>
    </row>
    <row r="49" spans="1:14">
      <c r="A49" s="46" t="s">
        <v>129</v>
      </c>
      <c r="B49" s="47" t="str">
        <f t="shared" ref="B49" si="138">+IFERROR(B48/A48-1,"nm")</f>
        <v>nm</v>
      </c>
      <c r="C49" s="47">
        <f t="shared" ref="C49" si="139">+IFERROR(C48/B48-1,"nm")</f>
        <v>0.17405063291139244</v>
      </c>
      <c r="D49" s="47">
        <f t="shared" ref="D49" si="140">+IFERROR(D48/C48-1,"nm")</f>
        <v>0.10377358490566047</v>
      </c>
      <c r="E49" s="47">
        <f t="shared" ref="E49" si="141">+IFERROR(E48/D48-1,"nm")</f>
        <v>3.5409035409035505E-2</v>
      </c>
      <c r="F49" s="47">
        <f t="shared" ref="F49" si="142">+IFERROR(F48/E48-1,"nm")</f>
        <v>-4.0094339622641528E-2</v>
      </c>
      <c r="G49" s="47">
        <f t="shared" ref="G49" si="143">+IFERROR(G48/F48-1,"nm")</f>
        <v>-0.20761670761670759</v>
      </c>
      <c r="H49" s="47">
        <f t="shared" ref="H49" si="144">+IFERROR(H48/G48-1,"nm")</f>
        <v>-4.3410852713178349E-2</v>
      </c>
      <c r="I49" s="47">
        <f>+IFERROR(I48/H48-1,"nm")</f>
        <v>3.5656401944894611E-2</v>
      </c>
      <c r="J49" s="47">
        <f>+J50+J51</f>
        <v>3.4817196098730456E-2</v>
      </c>
      <c r="K49" s="47">
        <f t="shared" ref="K49" si="145">+K50+K51</f>
        <v>3.4817196098730456E-2</v>
      </c>
      <c r="L49" s="47">
        <f t="shared" ref="L49" si="146">+L50+L51</f>
        <v>3.4817196098730456E-2</v>
      </c>
      <c r="M49" s="47">
        <f t="shared" ref="M49" si="147">+M50+M51</f>
        <v>3.4817196098730456E-2</v>
      </c>
      <c r="N49" s="47">
        <f t="shared" ref="N49" si="148">+N50+N51</f>
        <v>3.4817196098730456E-2</v>
      </c>
    </row>
    <row r="50" spans="1:14">
      <c r="A50" s="46" t="s">
        <v>133</v>
      </c>
      <c r="B50" s="47">
        <f t="shared" ref="B50:H50" si="149">+IFERROR(B48/B$21,"nm")</f>
        <v>4.599708879184862E-2</v>
      </c>
      <c r="C50" s="47">
        <f t="shared" si="149"/>
        <v>5.0257382823083174E-2</v>
      </c>
      <c r="D50" s="47">
        <f t="shared" si="149"/>
        <v>5.3824921135646686E-2</v>
      </c>
      <c r="E50" s="47">
        <f t="shared" si="149"/>
        <v>5.7085156512958597E-2</v>
      </c>
      <c r="F50" s="47">
        <f t="shared" si="149"/>
        <v>5.1188529744686205E-2</v>
      </c>
      <c r="G50" s="47">
        <f t="shared" si="149"/>
        <v>4.4531897265948632E-2</v>
      </c>
      <c r="H50" s="47">
        <f t="shared" si="149"/>
        <v>3.5915943884975841E-2</v>
      </c>
      <c r="I50" s="47">
        <f>+IFERROR(I48/I$21,"nm")</f>
        <v>3.4817196098730456E-2</v>
      </c>
      <c r="J50" s="49">
        <f>+I50</f>
        <v>3.4817196098730456E-2</v>
      </c>
      <c r="K50" s="49">
        <f t="shared" ref="K50:N50" si="150">+J50</f>
        <v>3.4817196098730456E-2</v>
      </c>
      <c r="L50" s="49">
        <f t="shared" si="150"/>
        <v>3.4817196098730456E-2</v>
      </c>
      <c r="M50" s="49">
        <f t="shared" si="150"/>
        <v>3.4817196098730456E-2</v>
      </c>
      <c r="N50" s="49">
        <f t="shared" si="150"/>
        <v>3.4817196098730456E-2</v>
      </c>
    </row>
    <row r="51" spans="1:14">
      <c r="A51" s="43" t="s">
        <v>101</v>
      </c>
      <c r="B51" s="43"/>
      <c r="C51" s="43"/>
      <c r="D51" s="43"/>
      <c r="E51" s="43"/>
      <c r="F51" s="43"/>
      <c r="G51" s="78"/>
      <c r="H51" s="78"/>
      <c r="I51" s="43"/>
      <c r="J51" s="39"/>
      <c r="K51" s="39"/>
      <c r="L51" s="39"/>
      <c r="M51" s="39"/>
      <c r="N51" s="39"/>
    </row>
    <row r="52" spans="1:14">
      <c r="A52" s="9" t="s">
        <v>136</v>
      </c>
      <c r="B52" s="9">
        <v>7126</v>
      </c>
      <c r="C52" s="9">
        <v>7315</v>
      </c>
      <c r="D52" s="9">
        <v>7970</v>
      </c>
      <c r="E52" s="9">
        <v>9242</v>
      </c>
      <c r="F52" s="9">
        <v>9812</v>
      </c>
      <c r="G52" s="79">
        <v>9347</v>
      </c>
      <c r="H52" s="79">
        <v>11456</v>
      </c>
      <c r="I52" s="9">
        <v>12479</v>
      </c>
      <c r="J52" s="9">
        <f>+SUM(J54+J58+J62)</f>
        <v>13834.1</v>
      </c>
      <c r="K52" s="9">
        <f t="shared" ref="K52:N52" si="151">+SUM(K54+K58+K62)</f>
        <v>15343.412000000004</v>
      </c>
      <c r="L52" s="9">
        <f t="shared" si="151"/>
        <v>17025.307940000006</v>
      </c>
      <c r="M52" s="9">
        <f t="shared" si="151"/>
        <v>18900.439979000006</v>
      </c>
      <c r="N52" s="9">
        <f t="shared" si="151"/>
        <v>20813.142138727759</v>
      </c>
    </row>
    <row r="53" spans="1:14">
      <c r="A53" s="44" t="s">
        <v>129</v>
      </c>
      <c r="B53" s="47" t="str">
        <f t="shared" ref="B53:H53" si="152">+IFERROR(B52/A52-1,"nm")</f>
        <v>nm</v>
      </c>
      <c r="C53" s="47">
        <f t="shared" si="152"/>
        <v>2.6522593320235766E-2</v>
      </c>
      <c r="D53" s="47">
        <f t="shared" si="152"/>
        <v>8.9542036910458034E-2</v>
      </c>
      <c r="E53" s="47">
        <f t="shared" si="152"/>
        <v>0.15959849435382689</v>
      </c>
      <c r="F53" s="47">
        <f t="shared" si="152"/>
        <v>6.1674962129409261E-2</v>
      </c>
      <c r="G53" s="75">
        <f t="shared" si="152"/>
        <v>-4.7390949857317621E-2</v>
      </c>
      <c r="H53" s="75">
        <f t="shared" si="152"/>
        <v>0.22563389322777372</v>
      </c>
      <c r="I53" s="47">
        <f>+IFERROR(I52/H52-1,"nm")</f>
        <v>8.9298184357541999E-2</v>
      </c>
      <c r="J53" s="47">
        <f t="shared" ref="J53:N53" si="153">+IFERROR(J52/I52-1,"nm")</f>
        <v>0.108590431925635</v>
      </c>
      <c r="K53" s="47">
        <f t="shared" si="153"/>
        <v>0.10910084501340922</v>
      </c>
      <c r="L53" s="47">
        <f t="shared" si="153"/>
        <v>0.10961681404370816</v>
      </c>
      <c r="M53" s="47">
        <f t="shared" si="153"/>
        <v>0.11013792206333495</v>
      </c>
      <c r="N53" s="47">
        <f t="shared" si="153"/>
        <v>0.10119881663352426</v>
      </c>
    </row>
    <row r="54" spans="1:14">
      <c r="A54" s="45" t="s">
        <v>113</v>
      </c>
      <c r="B54" s="3">
        <v>4703</v>
      </c>
      <c r="C54" s="3">
        <v>4867</v>
      </c>
      <c r="D54" s="3">
        <v>5192</v>
      </c>
      <c r="E54" s="3">
        <v>5875</v>
      </c>
      <c r="F54" s="3">
        <v>6293</v>
      </c>
      <c r="G54" s="67">
        <v>5892</v>
      </c>
      <c r="H54" s="67">
        <v>6970</v>
      </c>
      <c r="I54" s="3">
        <v>7388</v>
      </c>
      <c r="J54" s="3">
        <f>+I54*(1+J55)</f>
        <v>8052.920000000001</v>
      </c>
      <c r="K54" s="3">
        <f t="shared" ref="K54:N54" si="154">+J54*(1+K55)</f>
        <v>8777.6828000000023</v>
      </c>
      <c r="L54" s="3">
        <f t="shared" si="154"/>
        <v>9567.6742520000025</v>
      </c>
      <c r="M54" s="3">
        <f t="shared" si="154"/>
        <v>10428.764934680003</v>
      </c>
      <c r="N54" s="3">
        <f t="shared" si="154"/>
        <v>11034.935385233832</v>
      </c>
    </row>
    <row r="55" spans="1:14">
      <c r="A55" s="44" t="s">
        <v>129</v>
      </c>
      <c r="B55" s="47" t="str">
        <f t="shared" ref="B55:I55" si="155">+IFERROR(B54/A54-1,"nm")</f>
        <v>nm</v>
      </c>
      <c r="C55" s="47">
        <f t="shared" si="155"/>
        <v>3.4871358707208255E-2</v>
      </c>
      <c r="D55" s="47">
        <f t="shared" si="155"/>
        <v>6.6776248202177868E-2</v>
      </c>
      <c r="E55" s="47">
        <f t="shared" si="155"/>
        <v>0.1315485362095532</v>
      </c>
      <c r="F55" s="47">
        <f t="shared" si="155"/>
        <v>7.1148936170212673E-2</v>
      </c>
      <c r="G55" s="75">
        <f t="shared" si="155"/>
        <v>-6.3721595423486432E-2</v>
      </c>
      <c r="H55" s="75">
        <f t="shared" si="155"/>
        <v>0.18295994568907004</v>
      </c>
      <c r="I55" s="47">
        <f t="shared" si="155"/>
        <v>5.9971305595408975E-2</v>
      </c>
      <c r="J55" s="47">
        <f>+J56+J57</f>
        <v>0.09</v>
      </c>
      <c r="K55" s="47">
        <f t="shared" ref="K55:N55" si="156">+K56+K57</f>
        <v>0.09</v>
      </c>
      <c r="L55" s="47">
        <f t="shared" si="156"/>
        <v>0.09</v>
      </c>
      <c r="M55" s="47">
        <f t="shared" si="156"/>
        <v>0.09</v>
      </c>
      <c r="N55" s="47">
        <f t="shared" si="156"/>
        <v>5.8124855085961269E-2</v>
      </c>
    </row>
    <row r="56" spans="1:14">
      <c r="A56" s="44" t="s">
        <v>137</v>
      </c>
      <c r="B56" s="47">
        <v>0.47</v>
      </c>
      <c r="C56" s="47">
        <v>0.37</v>
      </c>
      <c r="D56" s="47">
        <v>0.16</v>
      </c>
      <c r="E56" s="47">
        <v>0.06</v>
      </c>
      <c r="F56" s="47">
        <v>0.12</v>
      </c>
      <c r="G56" s="75">
        <v>-0.03</v>
      </c>
      <c r="H56" s="75">
        <v>0.13</v>
      </c>
      <c r="I56" s="47">
        <v>0.09</v>
      </c>
      <c r="J56" s="49">
        <v>0.09</v>
      </c>
      <c r="K56" s="49">
        <f>+J56</f>
        <v>0.09</v>
      </c>
      <c r="L56" s="49">
        <f t="shared" ref="L56:N57" si="157">+K56</f>
        <v>0.09</v>
      </c>
      <c r="M56" s="49">
        <f t="shared" si="157"/>
        <v>0.09</v>
      </c>
      <c r="N56" s="49">
        <f t="shared" si="157"/>
        <v>0.09</v>
      </c>
    </row>
    <row r="57" spans="1:14">
      <c r="A57" s="44" t="s">
        <v>138</v>
      </c>
      <c r="B57" s="47" t="str">
        <f t="shared" ref="B57:I57" si="158">+IFERROR(B55-B56,"nm")</f>
        <v>nm</v>
      </c>
      <c r="C57" s="47">
        <f t="shared" si="158"/>
        <v>-0.33512864129279174</v>
      </c>
      <c r="D57" s="47">
        <f t="shared" si="158"/>
        <v>-9.3223751797822135E-2</v>
      </c>
      <c r="E57" s="47">
        <f t="shared" si="158"/>
        <v>7.1548536209553204E-2</v>
      </c>
      <c r="F57" s="47">
        <f t="shared" si="158"/>
        <v>-4.8851063829787322E-2</v>
      </c>
      <c r="G57" s="75">
        <f t="shared" si="158"/>
        <v>-3.3721595423486433E-2</v>
      </c>
      <c r="H57" s="75">
        <f t="shared" si="158"/>
        <v>5.2959945689070032E-2</v>
      </c>
      <c r="I57" s="47">
        <f t="shared" si="158"/>
        <v>-3.0028694404591022E-2</v>
      </c>
      <c r="J57" s="49">
        <v>0</v>
      </c>
      <c r="K57" s="49">
        <f>+J57</f>
        <v>0</v>
      </c>
      <c r="L57" s="49">
        <f t="shared" si="157"/>
        <v>0</v>
      </c>
      <c r="M57" s="49">
        <f t="shared" si="157"/>
        <v>0</v>
      </c>
      <c r="N57" s="49">
        <f t="shared" ref="N57" si="159">(G57+I57)/2</f>
        <v>-3.1875144914038728E-2</v>
      </c>
    </row>
    <row r="58" spans="1:14">
      <c r="A58" s="45" t="s">
        <v>114</v>
      </c>
      <c r="B58" s="3">
        <v>2051</v>
      </c>
      <c r="C58" s="3">
        <v>2091</v>
      </c>
      <c r="D58" s="3">
        <v>2395</v>
      </c>
      <c r="E58" s="3">
        <v>2940</v>
      </c>
      <c r="F58" s="3">
        <v>3087</v>
      </c>
      <c r="G58" s="67">
        <v>3053</v>
      </c>
      <c r="H58" s="67">
        <v>3996</v>
      </c>
      <c r="I58" s="3">
        <v>4527</v>
      </c>
      <c r="J58" s="3">
        <f>+I58*(1+J59)</f>
        <v>5160.7800000000007</v>
      </c>
      <c r="K58" s="3">
        <f t="shared" ref="K58:N58" si="160">+J58*(1+K59)</f>
        <v>5883.2892000000011</v>
      </c>
      <c r="L58" s="3">
        <f t="shared" si="160"/>
        <v>6706.9496880000015</v>
      </c>
      <c r="M58" s="3">
        <f t="shared" si="160"/>
        <v>7645.9226443200023</v>
      </c>
      <c r="N58" s="3">
        <f t="shared" si="160"/>
        <v>8914.6448175823607</v>
      </c>
    </row>
    <row r="59" spans="1:14">
      <c r="A59" s="44" t="s">
        <v>129</v>
      </c>
      <c r="B59" s="47" t="str">
        <f t="shared" ref="B59:I59" si="161">+IFERROR(B58/A58-1,"nm")</f>
        <v>nm</v>
      </c>
      <c r="C59" s="47">
        <f t="shared" si="161"/>
        <v>1.9502681618722484E-2</v>
      </c>
      <c r="D59" s="47">
        <f t="shared" si="161"/>
        <v>0.14538498326159721</v>
      </c>
      <c r="E59" s="47">
        <f t="shared" si="161"/>
        <v>0.22755741127348639</v>
      </c>
      <c r="F59" s="47">
        <f t="shared" si="161"/>
        <v>5.0000000000000044E-2</v>
      </c>
      <c r="G59" s="75">
        <f t="shared" si="161"/>
        <v>-1.1013929381276322E-2</v>
      </c>
      <c r="H59" s="75">
        <f t="shared" si="161"/>
        <v>0.30887651490337364</v>
      </c>
      <c r="I59" s="47">
        <f t="shared" si="161"/>
        <v>0.13288288288288297</v>
      </c>
      <c r="J59" s="47">
        <f>+J60+J61</f>
        <v>0.14000000000000001</v>
      </c>
      <c r="K59" s="47">
        <f t="shared" ref="K59:N59" si="162">+K60+K61</f>
        <v>0.14000000000000001</v>
      </c>
      <c r="L59" s="47">
        <f t="shared" si="162"/>
        <v>0.14000000000000001</v>
      </c>
      <c r="M59" s="47">
        <f t="shared" si="162"/>
        <v>0.14000000000000001</v>
      </c>
      <c r="N59" s="47">
        <f t="shared" si="162"/>
        <v>0.16593447675080333</v>
      </c>
    </row>
    <row r="60" spans="1:14">
      <c r="A60" s="44" t="s">
        <v>137</v>
      </c>
      <c r="B60" s="47">
        <v>0.19</v>
      </c>
      <c r="C60" s="47">
        <v>0.25</v>
      </c>
      <c r="D60" s="47">
        <v>0.25</v>
      </c>
      <c r="E60" s="47">
        <v>0.16</v>
      </c>
      <c r="F60" s="47">
        <v>0.09</v>
      </c>
      <c r="G60" s="75">
        <v>0.02</v>
      </c>
      <c r="H60" s="75">
        <v>0.25</v>
      </c>
      <c r="I60" s="47">
        <v>0.16</v>
      </c>
      <c r="J60" s="49">
        <v>0.14000000000000001</v>
      </c>
      <c r="K60" s="49">
        <f>+J60</f>
        <v>0.14000000000000001</v>
      </c>
      <c r="L60" s="49">
        <f t="shared" ref="L60:M61" si="163">+K60</f>
        <v>0.14000000000000001</v>
      </c>
      <c r="M60" s="49">
        <f t="shared" si="163"/>
        <v>0.14000000000000001</v>
      </c>
      <c r="N60" s="49">
        <f t="shared" ref="N60" si="164">(H60+J60)/2</f>
        <v>0.19500000000000001</v>
      </c>
    </row>
    <row r="61" spans="1:14">
      <c r="A61" s="44" t="s">
        <v>138</v>
      </c>
      <c r="B61" s="47" t="str">
        <f t="shared" ref="B61:I61" si="165">+IFERROR(B59-B60,"nm")</f>
        <v>nm</v>
      </c>
      <c r="C61" s="47">
        <f t="shared" si="165"/>
        <v>-0.23049731838127752</v>
      </c>
      <c r="D61" s="47">
        <f t="shared" si="165"/>
        <v>-0.10461501673840279</v>
      </c>
      <c r="E61" s="47">
        <f t="shared" si="165"/>
        <v>6.7557411273486384E-2</v>
      </c>
      <c r="F61" s="47">
        <f t="shared" si="165"/>
        <v>-3.9999999999999952E-2</v>
      </c>
      <c r="G61" s="75">
        <f t="shared" si="165"/>
        <v>-3.1013929381276322E-2</v>
      </c>
      <c r="H61" s="75">
        <f t="shared" si="165"/>
        <v>5.8876514903373645E-2</v>
      </c>
      <c r="I61" s="47">
        <f t="shared" si="165"/>
        <v>-2.7117117117117034E-2</v>
      </c>
      <c r="J61" s="49">
        <v>0</v>
      </c>
      <c r="K61" s="49">
        <f>+J61</f>
        <v>0</v>
      </c>
      <c r="L61" s="49">
        <f t="shared" si="163"/>
        <v>0</v>
      </c>
      <c r="M61" s="49">
        <f t="shared" si="163"/>
        <v>0</v>
      </c>
      <c r="N61" s="49">
        <f t="shared" ref="N61" si="166">(G61+I61)/2</f>
        <v>-2.906552324919668E-2</v>
      </c>
    </row>
    <row r="62" spans="1:14">
      <c r="A62" s="45" t="s">
        <v>115</v>
      </c>
      <c r="B62" s="3">
        <v>372</v>
      </c>
      <c r="C62" s="3">
        <v>357</v>
      </c>
      <c r="D62" s="3">
        <v>383</v>
      </c>
      <c r="E62" s="3">
        <v>427</v>
      </c>
      <c r="F62" s="3">
        <v>432</v>
      </c>
      <c r="G62" s="67">
        <v>402</v>
      </c>
      <c r="H62" s="67">
        <v>490</v>
      </c>
      <c r="I62" s="3">
        <v>564</v>
      </c>
      <c r="J62" s="3">
        <f>+I62*(1+J63)</f>
        <v>620.40000000000009</v>
      </c>
      <c r="K62" s="3">
        <f t="shared" ref="K62:N62" si="167">+J62*(1+K63)</f>
        <v>682.44000000000017</v>
      </c>
      <c r="L62" s="3">
        <f t="shared" si="167"/>
        <v>750.6840000000002</v>
      </c>
      <c r="M62" s="3">
        <f t="shared" si="167"/>
        <v>825.75240000000031</v>
      </c>
      <c r="N62" s="3">
        <f t="shared" si="167"/>
        <v>863.561935911565</v>
      </c>
    </row>
    <row r="63" spans="1:14">
      <c r="A63" s="44" t="s">
        <v>129</v>
      </c>
      <c r="B63" s="47" t="str">
        <f t="shared" ref="B63:I63" si="168">+IFERROR(B62/A62-1,"nm")</f>
        <v>nm</v>
      </c>
      <c r="C63" s="47">
        <f t="shared" si="168"/>
        <v>-4.0322580645161255E-2</v>
      </c>
      <c r="D63" s="47">
        <f t="shared" si="168"/>
        <v>7.2829131652661028E-2</v>
      </c>
      <c r="E63" s="47">
        <f t="shared" si="168"/>
        <v>0.11488250652741505</v>
      </c>
      <c r="F63" s="47">
        <f t="shared" si="168"/>
        <v>1.1709601873536313E-2</v>
      </c>
      <c r="G63" s="75">
        <f t="shared" si="168"/>
        <v>-6.944444444444442E-2</v>
      </c>
      <c r="H63" s="75">
        <f t="shared" si="168"/>
        <v>0.21890547263681581</v>
      </c>
      <c r="I63" s="47">
        <f t="shared" si="168"/>
        <v>0.15102040816326534</v>
      </c>
      <c r="J63" s="47">
        <f>+J64+J65</f>
        <v>0.1</v>
      </c>
      <c r="K63" s="47">
        <f t="shared" ref="K63:N63" si="169">+K64+K65</f>
        <v>0.1</v>
      </c>
      <c r="L63" s="47">
        <f t="shared" si="169"/>
        <v>0.1</v>
      </c>
      <c r="M63" s="47">
        <f t="shared" si="169"/>
        <v>0.1</v>
      </c>
      <c r="N63" s="47">
        <f t="shared" si="169"/>
        <v>4.5787981859410465E-2</v>
      </c>
    </row>
    <row r="64" spans="1:14">
      <c r="A64" s="44" t="s">
        <v>137</v>
      </c>
      <c r="B64" s="47">
        <v>0.19</v>
      </c>
      <c r="C64" s="47">
        <v>0.15</v>
      </c>
      <c r="D64" s="47">
        <v>0.13</v>
      </c>
      <c r="E64" s="47">
        <v>0.06</v>
      </c>
      <c r="F64" s="47">
        <v>0.05</v>
      </c>
      <c r="G64" s="75">
        <v>-0.03</v>
      </c>
      <c r="H64" s="75">
        <v>0.19</v>
      </c>
      <c r="I64" s="47">
        <v>0.17</v>
      </c>
      <c r="J64" s="49">
        <v>0.1</v>
      </c>
      <c r="K64" s="49">
        <f>+J64</f>
        <v>0.1</v>
      </c>
      <c r="L64" s="49">
        <f t="shared" ref="L64:M65" si="170">+K64</f>
        <v>0.1</v>
      </c>
      <c r="M64" s="49">
        <f t="shared" si="170"/>
        <v>0.1</v>
      </c>
      <c r="N64" s="49">
        <f t="shared" ref="N64" si="171">(J64+F64)/2</f>
        <v>7.5000000000000011E-2</v>
      </c>
    </row>
    <row r="65" spans="1:14">
      <c r="A65" s="44" t="s">
        <v>138</v>
      </c>
      <c r="B65" s="47" t="str">
        <f t="shared" ref="B65:I65" si="172">+IFERROR(B63-B64,"nm")</f>
        <v>nm</v>
      </c>
      <c r="C65" s="47">
        <f t="shared" si="172"/>
        <v>-0.19032258064516125</v>
      </c>
      <c r="D65" s="47">
        <f t="shared" si="172"/>
        <v>-5.7170868347338977E-2</v>
      </c>
      <c r="E65" s="47">
        <f t="shared" si="172"/>
        <v>5.4882506527415054E-2</v>
      </c>
      <c r="F65" s="47">
        <f t="shared" si="172"/>
        <v>-3.829039812646369E-2</v>
      </c>
      <c r="G65" s="75">
        <f t="shared" si="172"/>
        <v>-3.9444444444444421E-2</v>
      </c>
      <c r="H65" s="75">
        <f t="shared" si="172"/>
        <v>2.890547263681581E-2</v>
      </c>
      <c r="I65" s="47">
        <f t="shared" si="172"/>
        <v>-1.8979591836734672E-2</v>
      </c>
      <c r="J65" s="49">
        <v>0</v>
      </c>
      <c r="K65" s="49">
        <f>+J65</f>
        <v>0</v>
      </c>
      <c r="L65" s="49">
        <f t="shared" si="170"/>
        <v>0</v>
      </c>
      <c r="M65" s="49">
        <f t="shared" si="170"/>
        <v>0</v>
      </c>
      <c r="N65" s="49">
        <f t="shared" ref="N65" si="173">(G65+I65)/2</f>
        <v>-2.9212018140589546E-2</v>
      </c>
    </row>
    <row r="66" spans="1:14">
      <c r="A66" s="9" t="s">
        <v>130</v>
      </c>
      <c r="B66" s="48">
        <f>B69+B73</f>
        <v>1611</v>
      </c>
      <c r="C66" s="48">
        <f t="shared" ref="C66:I66" si="174">C69+C73</f>
        <v>1871</v>
      </c>
      <c r="D66" s="48">
        <f t="shared" si="174"/>
        <v>1611</v>
      </c>
      <c r="E66" s="48">
        <f t="shared" si="174"/>
        <v>1703</v>
      </c>
      <c r="F66" s="48">
        <f t="shared" si="174"/>
        <v>2106</v>
      </c>
      <c r="G66" s="80">
        <f t="shared" si="174"/>
        <v>1673</v>
      </c>
      <c r="H66" s="80">
        <f t="shared" si="174"/>
        <v>2571</v>
      </c>
      <c r="I66" s="48">
        <f t="shared" si="174"/>
        <v>3427</v>
      </c>
      <c r="J66" s="48">
        <f>+J52*J68</f>
        <v>3873.5480000000007</v>
      </c>
      <c r="K66" s="48">
        <f t="shared" ref="K66:N66" si="175">+K52*K68</f>
        <v>4296.1553600000016</v>
      </c>
      <c r="L66" s="48">
        <f t="shared" si="175"/>
        <v>4767.0862232000018</v>
      </c>
      <c r="M66" s="48">
        <f t="shared" si="175"/>
        <v>5292.1231941200022</v>
      </c>
      <c r="N66" s="48">
        <f t="shared" si="175"/>
        <v>5827.6797988437729</v>
      </c>
    </row>
    <row r="67" spans="1:14">
      <c r="A67" s="46" t="s">
        <v>129</v>
      </c>
      <c r="B67" s="47" t="str">
        <f t="shared" ref="B67:N67" si="176">+IFERROR(B66/A66-1,"nm")</f>
        <v>nm</v>
      </c>
      <c r="C67" s="47">
        <f t="shared" si="176"/>
        <v>0.16139044072004971</v>
      </c>
      <c r="D67" s="47">
        <f t="shared" si="176"/>
        <v>-0.13896312132549438</v>
      </c>
      <c r="E67" s="47">
        <f t="shared" si="176"/>
        <v>5.7107386716325204E-2</v>
      </c>
      <c r="F67" s="47">
        <f t="shared" si="176"/>
        <v>0.23664122137404586</v>
      </c>
      <c r="G67" s="75">
        <f t="shared" si="176"/>
        <v>-0.20560303893637222</v>
      </c>
      <c r="H67" s="75">
        <f t="shared" si="176"/>
        <v>0.53676031081888831</v>
      </c>
      <c r="I67" s="47">
        <f t="shared" si="176"/>
        <v>0.33294437961882539</v>
      </c>
      <c r="J67" s="47">
        <f t="shared" si="176"/>
        <v>0.1303028888240445</v>
      </c>
      <c r="K67" s="47">
        <f t="shared" si="176"/>
        <v>0.109100845013409</v>
      </c>
      <c r="L67" s="47">
        <f t="shared" si="176"/>
        <v>0.10961681404370816</v>
      </c>
      <c r="M67" s="47">
        <f t="shared" si="176"/>
        <v>0.11013792206333517</v>
      </c>
      <c r="N67" s="47">
        <f t="shared" si="176"/>
        <v>0.10119881663352426</v>
      </c>
    </row>
    <row r="68" spans="1:14">
      <c r="A68" s="46" t="s">
        <v>131</v>
      </c>
      <c r="B68" s="47">
        <f>+IFERROR(B66/B$52,"nm")</f>
        <v>0.22607353353915241</v>
      </c>
      <c r="C68" s="47">
        <f t="shared" ref="C68:I68" si="177">+IFERROR(C66/C$52,"nm")</f>
        <v>0.25577580314422421</v>
      </c>
      <c r="D68" s="47">
        <f t="shared" si="177"/>
        <v>0.20213299874529486</v>
      </c>
      <c r="E68" s="47">
        <f t="shared" si="177"/>
        <v>0.18426747457260334</v>
      </c>
      <c r="F68" s="47">
        <f t="shared" si="177"/>
        <v>0.21463514064410924</v>
      </c>
      <c r="G68" s="75">
        <f t="shared" si="177"/>
        <v>0.17898791055953783</v>
      </c>
      <c r="H68" s="75">
        <f t="shared" si="177"/>
        <v>0.22442388268156424</v>
      </c>
      <c r="I68" s="47">
        <f t="shared" si="177"/>
        <v>0.27462136389133746</v>
      </c>
      <c r="J68" s="49">
        <v>0.28000000000000003</v>
      </c>
      <c r="K68" s="49">
        <f t="shared" ref="K68:N68" si="178">+J68</f>
        <v>0.28000000000000003</v>
      </c>
      <c r="L68" s="49">
        <f t="shared" si="178"/>
        <v>0.28000000000000003</v>
      </c>
      <c r="M68" s="49">
        <f t="shared" si="178"/>
        <v>0.28000000000000003</v>
      </c>
      <c r="N68" s="49">
        <f t="shared" si="178"/>
        <v>0.28000000000000003</v>
      </c>
    </row>
    <row r="69" spans="1:14">
      <c r="A69" s="9" t="s">
        <v>132</v>
      </c>
      <c r="B69" s="9">
        <v>87</v>
      </c>
      <c r="C69" s="9">
        <v>84</v>
      </c>
      <c r="D69" s="9">
        <v>104</v>
      </c>
      <c r="E69" s="9">
        <v>116</v>
      </c>
      <c r="F69" s="9">
        <v>111</v>
      </c>
      <c r="G69" s="79">
        <v>132</v>
      </c>
      <c r="H69" s="79">
        <v>136</v>
      </c>
      <c r="I69" s="9">
        <v>134</v>
      </c>
      <c r="J69" s="48">
        <f>+J72*J79</f>
        <v>148.55111787803511</v>
      </c>
      <c r="K69" s="48">
        <f t="shared" ref="K69:N69" si="179">+K72*K79</f>
        <v>164.7581703662153</v>
      </c>
      <c r="L69" s="48">
        <f t="shared" si="179"/>
        <v>182.81843608943029</v>
      </c>
      <c r="M69" s="48">
        <f t="shared" si="179"/>
        <v>202.9536787551888</v>
      </c>
      <c r="N69" s="48">
        <f t="shared" si="179"/>
        <v>223.49235087663433</v>
      </c>
    </row>
    <row r="70" spans="1:14">
      <c r="A70" s="46" t="s">
        <v>129</v>
      </c>
      <c r="B70" s="47" t="str">
        <f t="shared" ref="B70:N70" si="180">+IFERROR(B69/A69-1,"nm")</f>
        <v>nm</v>
      </c>
      <c r="C70" s="47">
        <f t="shared" si="180"/>
        <v>-3.4482758620689613E-2</v>
      </c>
      <c r="D70" s="47">
        <f t="shared" si="180"/>
        <v>0.23809523809523814</v>
      </c>
      <c r="E70" s="47">
        <f t="shared" si="180"/>
        <v>0.11538461538461542</v>
      </c>
      <c r="F70" s="47">
        <f t="shared" si="180"/>
        <v>-4.31034482758621E-2</v>
      </c>
      <c r="G70" s="75">
        <f t="shared" si="180"/>
        <v>0.18918918918918926</v>
      </c>
      <c r="H70" s="75">
        <f t="shared" si="180"/>
        <v>3.0303030303030276E-2</v>
      </c>
      <c r="I70" s="47">
        <f t="shared" si="180"/>
        <v>-1.4705882352941124E-2</v>
      </c>
      <c r="J70" s="47">
        <f t="shared" si="180"/>
        <v>0.10859043192563522</v>
      </c>
      <c r="K70" s="47">
        <f t="shared" si="180"/>
        <v>0.10910084501340922</v>
      </c>
      <c r="L70" s="47">
        <f t="shared" si="180"/>
        <v>0.10961681404370816</v>
      </c>
      <c r="M70" s="47">
        <f t="shared" si="180"/>
        <v>0.11013792206333517</v>
      </c>
      <c r="N70" s="47">
        <f t="shared" si="180"/>
        <v>0.10119881663352426</v>
      </c>
    </row>
    <row r="71" spans="1:14">
      <c r="A71" s="46" t="s">
        <v>133</v>
      </c>
      <c r="B71" s="47">
        <f>+IFERROR(B69/B$52,"nm")</f>
        <v>1.2208812798203761E-2</v>
      </c>
      <c r="C71" s="47">
        <f t="shared" ref="C71:I71" si="181">+IFERROR(C69/C$52,"nm")</f>
        <v>1.1483253588516746E-2</v>
      </c>
      <c r="D71" s="47">
        <f t="shared" si="181"/>
        <v>1.3048933500627352E-2</v>
      </c>
      <c r="E71" s="47">
        <f t="shared" si="181"/>
        <v>1.2551395801774508E-2</v>
      </c>
      <c r="F71" s="47">
        <f t="shared" si="181"/>
        <v>1.1312678353037097E-2</v>
      </c>
      <c r="G71" s="75">
        <f t="shared" si="181"/>
        <v>1.4122178239007167E-2</v>
      </c>
      <c r="H71" s="75">
        <f t="shared" si="181"/>
        <v>1.1871508379888268E-2</v>
      </c>
      <c r="I71" s="47">
        <f t="shared" si="181"/>
        <v>1.0738039907043834E-2</v>
      </c>
      <c r="J71" s="47">
        <f t="shared" ref="J71:N71" si="182">+IFERROR(J69/J$21,"nm")</f>
        <v>7.3397939773150005E-3</v>
      </c>
      <c r="K71" s="47">
        <f t="shared" si="182"/>
        <v>7.3804054137288312E-3</v>
      </c>
      <c r="L71" s="47">
        <f t="shared" si="182"/>
        <v>7.4231601360270922E-3</v>
      </c>
      <c r="M71" s="47">
        <f t="shared" si="182"/>
        <v>7.4681250993083497E-3</v>
      </c>
      <c r="N71" s="47">
        <f t="shared" si="182"/>
        <v>7.4513221154888336E-3</v>
      </c>
    </row>
    <row r="72" spans="1:14">
      <c r="A72" s="46" t="s">
        <v>140</v>
      </c>
      <c r="B72" s="47">
        <f t="shared" ref="B72:I72" si="183">+IFERROR(B69/B79,"nm")</f>
        <v>0.1746987951807229</v>
      </c>
      <c r="C72" s="47">
        <f t="shared" si="183"/>
        <v>0.13145539906103287</v>
      </c>
      <c r="D72" s="47">
        <f t="shared" si="183"/>
        <v>0.14730878186968838</v>
      </c>
      <c r="E72" s="47">
        <f t="shared" si="183"/>
        <v>0.13663133097762073</v>
      </c>
      <c r="F72" s="47">
        <f t="shared" si="183"/>
        <v>0.11948331539289558</v>
      </c>
      <c r="G72" s="75">
        <f t="shared" si="183"/>
        <v>0.14915254237288136</v>
      </c>
      <c r="H72" s="75">
        <f t="shared" si="183"/>
        <v>0.1384928716904277</v>
      </c>
      <c r="I72" s="47">
        <f t="shared" si="183"/>
        <v>0.14565217391304347</v>
      </c>
      <c r="J72" s="49">
        <f>+I72</f>
        <v>0.14565217391304347</v>
      </c>
      <c r="K72" s="49">
        <f t="shared" ref="K72:N72" si="184">+J72</f>
        <v>0.14565217391304347</v>
      </c>
      <c r="L72" s="49">
        <f t="shared" si="184"/>
        <v>0.14565217391304347</v>
      </c>
      <c r="M72" s="49">
        <f t="shared" si="184"/>
        <v>0.14565217391304347</v>
      </c>
      <c r="N72" s="49">
        <f t="shared" si="184"/>
        <v>0.14565217391304347</v>
      </c>
    </row>
    <row r="73" spans="1:14">
      <c r="A73" s="9" t="s">
        <v>134</v>
      </c>
      <c r="B73" s="9">
        <v>1524</v>
      </c>
      <c r="C73" s="9">
        <v>1787</v>
      </c>
      <c r="D73" s="9">
        <v>1507</v>
      </c>
      <c r="E73" s="9">
        <v>1587</v>
      </c>
      <c r="F73" s="9">
        <v>1995</v>
      </c>
      <c r="G73" s="79">
        <v>1541</v>
      </c>
      <c r="H73" s="79">
        <v>2435</v>
      </c>
      <c r="I73" s="9">
        <v>3293</v>
      </c>
      <c r="J73" s="9">
        <f>+J66-J69</f>
        <v>3724.9968821219654</v>
      </c>
      <c r="K73" s="9">
        <f t="shared" ref="K73:N73" si="185">+K66-K69</f>
        <v>4131.3971896337862</v>
      </c>
      <c r="L73" s="9">
        <f t="shared" si="185"/>
        <v>4584.2677871105716</v>
      </c>
      <c r="M73" s="9">
        <f t="shared" si="185"/>
        <v>5089.1695153648134</v>
      </c>
      <c r="N73" s="9">
        <f t="shared" si="185"/>
        <v>5604.1874479671387</v>
      </c>
    </row>
    <row r="74" spans="1:14">
      <c r="A74" s="46" t="s">
        <v>129</v>
      </c>
      <c r="B74" s="47" t="str">
        <f t="shared" ref="B74:N74" si="186">+IFERROR(B73/A73-1,"nm")</f>
        <v>nm</v>
      </c>
      <c r="C74" s="47">
        <f t="shared" si="186"/>
        <v>0.17257217847769035</v>
      </c>
      <c r="D74" s="47">
        <f t="shared" si="186"/>
        <v>-0.15668718522663683</v>
      </c>
      <c r="E74" s="47">
        <f t="shared" si="186"/>
        <v>5.3085600530855981E-2</v>
      </c>
      <c r="F74" s="47">
        <f t="shared" si="186"/>
        <v>0.25708884688090738</v>
      </c>
      <c r="G74" s="75">
        <f t="shared" si="186"/>
        <v>-0.22756892230576442</v>
      </c>
      <c r="H74" s="75">
        <f t="shared" si="186"/>
        <v>0.58014276443867629</v>
      </c>
      <c r="I74" s="47">
        <f t="shared" si="186"/>
        <v>0.3523613963039014</v>
      </c>
      <c r="J74" s="47">
        <f t="shared" si="186"/>
        <v>0.13118642032249173</v>
      </c>
      <c r="K74" s="47">
        <f t="shared" si="186"/>
        <v>0.10910084501340922</v>
      </c>
      <c r="L74" s="47">
        <f t="shared" si="186"/>
        <v>0.10961681404370816</v>
      </c>
      <c r="M74" s="47">
        <f t="shared" si="186"/>
        <v>0.11013792206333517</v>
      </c>
      <c r="N74" s="47">
        <f t="shared" si="186"/>
        <v>0.10119881663352426</v>
      </c>
    </row>
    <row r="75" spans="1:14">
      <c r="A75" s="46" t="s">
        <v>131</v>
      </c>
      <c r="B75" s="47">
        <f>+IFERROR(B73/B$52,"nm")</f>
        <v>0.21386472074094864</v>
      </c>
      <c r="C75" s="47">
        <f t="shared" ref="C75:I75" si="187">+IFERROR(C73/C$52,"nm")</f>
        <v>0.24429254955570745</v>
      </c>
      <c r="D75" s="47">
        <f t="shared" si="187"/>
        <v>0.1890840652446675</v>
      </c>
      <c r="E75" s="47">
        <f t="shared" si="187"/>
        <v>0.17171607877082881</v>
      </c>
      <c r="F75" s="47">
        <f t="shared" si="187"/>
        <v>0.20332246229107215</v>
      </c>
      <c r="G75" s="75">
        <f t="shared" si="187"/>
        <v>0.16486573232053064</v>
      </c>
      <c r="H75" s="75">
        <f t="shared" si="187"/>
        <v>0.21255237430167598</v>
      </c>
      <c r="I75" s="47">
        <f t="shared" si="187"/>
        <v>0.26388332398429359</v>
      </c>
      <c r="J75" s="47">
        <f>+I75</f>
        <v>0.26388332398429359</v>
      </c>
      <c r="K75" s="47">
        <f t="shared" ref="K75:N75" si="188">+J75</f>
        <v>0.26388332398429359</v>
      </c>
      <c r="L75" s="47">
        <f t="shared" si="188"/>
        <v>0.26388332398429359</v>
      </c>
      <c r="M75" s="47">
        <f t="shared" si="188"/>
        <v>0.26388332398429359</v>
      </c>
      <c r="N75" s="47">
        <f t="shared" si="188"/>
        <v>0.26388332398429359</v>
      </c>
    </row>
    <row r="76" spans="1:14">
      <c r="A76" s="9" t="s">
        <v>135</v>
      </c>
      <c r="B76" s="9">
        <v>236</v>
      </c>
      <c r="C76" s="9">
        <v>232</v>
      </c>
      <c r="D76" s="9">
        <v>172</v>
      </c>
      <c r="E76" s="9">
        <v>240</v>
      </c>
      <c r="F76" s="9">
        <v>233</v>
      </c>
      <c r="G76" s="79">
        <v>139</v>
      </c>
      <c r="H76" s="79">
        <v>153</v>
      </c>
      <c r="I76" s="9">
        <v>197</v>
      </c>
      <c r="J76" s="48">
        <f>+J52*J78</f>
        <v>218.39231508935009</v>
      </c>
      <c r="K76" s="48">
        <f t="shared" ref="K76:N76" si="189">+K52*K78</f>
        <v>242.2191012100329</v>
      </c>
      <c r="L76" s="48">
        <f t="shared" si="189"/>
        <v>268.77038738520724</v>
      </c>
      <c r="M76" s="48">
        <f t="shared" si="189"/>
        <v>298.37219936397156</v>
      </c>
      <c r="N76" s="48">
        <f t="shared" si="189"/>
        <v>328.56711285594747</v>
      </c>
    </row>
    <row r="77" spans="1:14">
      <c r="A77" s="46" t="s">
        <v>129</v>
      </c>
      <c r="B77" s="47" t="str">
        <f t="shared" ref="B77:N77" si="190">+IFERROR(B76/A76-1,"nm")</f>
        <v>nm</v>
      </c>
      <c r="C77" s="47">
        <f t="shared" si="190"/>
        <v>-1.6949152542372836E-2</v>
      </c>
      <c r="D77" s="47">
        <f t="shared" si="190"/>
        <v>-0.25862068965517238</v>
      </c>
      <c r="E77" s="47">
        <f t="shared" si="190"/>
        <v>0.39534883720930236</v>
      </c>
      <c r="F77" s="47">
        <f t="shared" si="190"/>
        <v>-2.9166666666666674E-2</v>
      </c>
      <c r="G77" s="75">
        <f t="shared" si="190"/>
        <v>-0.40343347639484983</v>
      </c>
      <c r="H77" s="75">
        <f t="shared" si="190"/>
        <v>0.10071942446043169</v>
      </c>
      <c r="I77" s="47">
        <f t="shared" si="190"/>
        <v>0.28758169934640532</v>
      </c>
      <c r="J77" s="47">
        <f t="shared" si="190"/>
        <v>0.108590431925635</v>
      </c>
      <c r="K77" s="47">
        <f t="shared" si="190"/>
        <v>0.10910084501340922</v>
      </c>
      <c r="L77" s="47">
        <f t="shared" si="190"/>
        <v>0.10961681404370838</v>
      </c>
      <c r="M77" s="47">
        <f t="shared" si="190"/>
        <v>0.11013792206333495</v>
      </c>
      <c r="N77" s="47">
        <f t="shared" si="190"/>
        <v>0.10119881663352426</v>
      </c>
    </row>
    <row r="78" spans="1:14">
      <c r="A78" s="46" t="s">
        <v>133</v>
      </c>
      <c r="B78" s="47">
        <f>+IFERROR(B76/B$52,"nm")</f>
        <v>3.3118158854897557E-2</v>
      </c>
      <c r="C78" s="47">
        <f t="shared" ref="C78:I78" si="191">+IFERROR(C76/C$52,"nm")</f>
        <v>3.171565276828435E-2</v>
      </c>
      <c r="D78" s="47">
        <f t="shared" si="191"/>
        <v>2.1580928481806774E-2</v>
      </c>
      <c r="E78" s="47">
        <f t="shared" si="191"/>
        <v>2.5968405107119671E-2</v>
      </c>
      <c r="F78" s="47">
        <f t="shared" si="191"/>
        <v>2.3746432939258051E-2</v>
      </c>
      <c r="G78" s="75">
        <f t="shared" si="191"/>
        <v>1.4871081630469669E-2</v>
      </c>
      <c r="H78" s="75">
        <f t="shared" si="191"/>
        <v>1.3355446927374302E-2</v>
      </c>
      <c r="I78" s="47">
        <f t="shared" si="191"/>
        <v>1.5786521355877874E-2</v>
      </c>
      <c r="J78" s="49">
        <f>+I78</f>
        <v>1.5786521355877874E-2</v>
      </c>
      <c r="K78" s="49">
        <f t="shared" ref="K78:N78" si="192">+J78</f>
        <v>1.5786521355877874E-2</v>
      </c>
      <c r="L78" s="49">
        <f t="shared" si="192"/>
        <v>1.5786521355877874E-2</v>
      </c>
      <c r="M78" s="49">
        <f t="shared" si="192"/>
        <v>1.5786521355877874E-2</v>
      </c>
      <c r="N78" s="49">
        <f t="shared" si="192"/>
        <v>1.5786521355877874E-2</v>
      </c>
    </row>
    <row r="79" spans="1:14">
      <c r="A79" s="9" t="s">
        <v>141</v>
      </c>
      <c r="B79" s="9">
        <v>498</v>
      </c>
      <c r="C79" s="9">
        <v>639</v>
      </c>
      <c r="D79" s="9">
        <v>706</v>
      </c>
      <c r="E79" s="9">
        <v>849</v>
      </c>
      <c r="F79" s="9">
        <v>929</v>
      </c>
      <c r="G79" s="79">
        <v>885</v>
      </c>
      <c r="H79" s="79">
        <v>982</v>
      </c>
      <c r="I79" s="9">
        <v>920</v>
      </c>
      <c r="J79" s="48">
        <f>+J52*J81</f>
        <v>1019.9031973715844</v>
      </c>
      <c r="K79" s="48">
        <f t="shared" ref="K79:N79" si="193">+K52*K81</f>
        <v>1131.175498036702</v>
      </c>
      <c r="L79" s="48">
        <f t="shared" si="193"/>
        <v>1255.1713522557902</v>
      </c>
      <c r="M79" s="48">
        <f t="shared" si="193"/>
        <v>1393.4133168266694</v>
      </c>
      <c r="N79" s="48">
        <f t="shared" si="193"/>
        <v>1534.4250955709224</v>
      </c>
    </row>
    <row r="80" spans="1:14">
      <c r="A80" s="46" t="s">
        <v>129</v>
      </c>
      <c r="B80" s="47" t="str">
        <f t="shared" ref="B80:I80" si="194">+IFERROR(B79/A79-1,"nm")</f>
        <v>nm</v>
      </c>
      <c r="C80" s="47">
        <f t="shared" si="194"/>
        <v>0.2831325301204819</v>
      </c>
      <c r="D80" s="47">
        <f t="shared" si="194"/>
        <v>0.10485133020344284</v>
      </c>
      <c r="E80" s="47">
        <f t="shared" si="194"/>
        <v>0.2025495750708215</v>
      </c>
      <c r="F80" s="47">
        <f t="shared" si="194"/>
        <v>9.4228504122497059E-2</v>
      </c>
      <c r="G80" s="75">
        <f t="shared" si="194"/>
        <v>-4.7362755651237931E-2</v>
      </c>
      <c r="H80" s="75">
        <f t="shared" si="194"/>
        <v>0.1096045197740112</v>
      </c>
      <c r="I80" s="47">
        <f t="shared" si="194"/>
        <v>-6.313645621181263E-2</v>
      </c>
      <c r="J80" s="47">
        <f>+J81+J82</f>
        <v>7.37238560782114E-2</v>
      </c>
      <c r="K80" s="47">
        <f t="shared" ref="K80:N80" si="195">+K81+K82</f>
        <v>7.37238560782114E-2</v>
      </c>
      <c r="L80" s="47">
        <f t="shared" si="195"/>
        <v>7.37238560782114E-2</v>
      </c>
      <c r="M80" s="47">
        <f t="shared" si="195"/>
        <v>7.37238560782114E-2</v>
      </c>
      <c r="N80" s="47">
        <f t="shared" si="195"/>
        <v>7.37238560782114E-2</v>
      </c>
    </row>
    <row r="81" spans="1:14">
      <c r="A81" s="46" t="s">
        <v>133</v>
      </c>
      <c r="B81" s="47">
        <f>+IFERROR(B79/B$52,"nm")</f>
        <v>6.9884928431097393E-2</v>
      </c>
      <c r="C81" s="47">
        <f t="shared" ref="C81:I81" si="196">+IFERROR(C79/C$52,"nm")</f>
        <v>8.7354750512645254E-2</v>
      </c>
      <c r="D81" s="47">
        <f t="shared" si="196"/>
        <v>8.8582183186951061E-2</v>
      </c>
      <c r="E81" s="47">
        <f t="shared" si="196"/>
        <v>9.1863233066435832E-2</v>
      </c>
      <c r="F81" s="47">
        <f t="shared" si="196"/>
        <v>9.4679983693436609E-2</v>
      </c>
      <c r="G81" s="75">
        <f t="shared" si="196"/>
        <v>9.4682785920616241E-2</v>
      </c>
      <c r="H81" s="75">
        <f t="shared" si="196"/>
        <v>8.5719273743016758E-2</v>
      </c>
      <c r="I81" s="47">
        <f t="shared" si="196"/>
        <v>7.37238560782114E-2</v>
      </c>
      <c r="J81" s="49">
        <f>+I81</f>
        <v>7.37238560782114E-2</v>
      </c>
      <c r="K81" s="49">
        <f t="shared" ref="K81:N81" si="197">+J81</f>
        <v>7.37238560782114E-2</v>
      </c>
      <c r="L81" s="49">
        <f t="shared" si="197"/>
        <v>7.37238560782114E-2</v>
      </c>
      <c r="M81" s="49">
        <f t="shared" si="197"/>
        <v>7.37238560782114E-2</v>
      </c>
      <c r="N81" s="49">
        <f t="shared" si="197"/>
        <v>7.37238560782114E-2</v>
      </c>
    </row>
    <row r="82" spans="1:14">
      <c r="A82" s="43" t="s">
        <v>102</v>
      </c>
      <c r="B82" s="43"/>
      <c r="C82" s="43"/>
      <c r="D82" s="43"/>
      <c r="E82" s="43"/>
      <c r="F82" s="43"/>
      <c r="G82" s="81"/>
      <c r="H82" s="81"/>
      <c r="I82" s="43"/>
      <c r="J82" s="39"/>
      <c r="K82" s="39"/>
      <c r="L82" s="39"/>
      <c r="M82" s="39"/>
      <c r="N82" s="39"/>
    </row>
    <row r="83" spans="1:14">
      <c r="A83" s="9" t="s">
        <v>136</v>
      </c>
      <c r="B83" s="9">
        <v>3067</v>
      </c>
      <c r="C83" s="9">
        <v>3785</v>
      </c>
      <c r="D83" s="9">
        <v>4237</v>
      </c>
      <c r="E83" s="9">
        <v>5134</v>
      </c>
      <c r="F83" s="9">
        <v>6208</v>
      </c>
      <c r="G83" s="79">
        <v>6679</v>
      </c>
      <c r="H83" s="79">
        <v>8290</v>
      </c>
      <c r="I83" s="9">
        <v>7547</v>
      </c>
      <c r="J83" s="9">
        <f>+SUM(J85+J89+J93)</f>
        <v>7893.27</v>
      </c>
      <c r="K83" s="9">
        <f t="shared" ref="K83:N83" si="198">+SUM(K85+K89+K93)</f>
        <v>8259.2507000000005</v>
      </c>
      <c r="L83" s="9">
        <f t="shared" si="198"/>
        <v>8646.1140870000017</v>
      </c>
      <c r="M83" s="9">
        <f t="shared" si="198"/>
        <v>9055.1023606700019</v>
      </c>
      <c r="N83" s="9">
        <f t="shared" si="198"/>
        <v>9487.5321450447009</v>
      </c>
    </row>
    <row r="84" spans="1:14">
      <c r="A84" s="44" t="s">
        <v>129</v>
      </c>
      <c r="B84" s="47" t="str">
        <f t="shared" ref="B84:H84" si="199">+IFERROR(B83/A83-1,"nm")</f>
        <v>nm</v>
      </c>
      <c r="C84" s="47">
        <f t="shared" si="199"/>
        <v>0.23410498858819695</v>
      </c>
      <c r="D84" s="47">
        <f t="shared" si="199"/>
        <v>0.11941875825627468</v>
      </c>
      <c r="E84" s="47">
        <f t="shared" si="199"/>
        <v>0.21170639603493036</v>
      </c>
      <c r="F84" s="47">
        <f t="shared" si="199"/>
        <v>0.20919361121932223</v>
      </c>
      <c r="G84" s="75">
        <f t="shared" si="199"/>
        <v>7.5869845360824639E-2</v>
      </c>
      <c r="H84" s="75">
        <f t="shared" si="199"/>
        <v>0.24120377301991325</v>
      </c>
      <c r="I84" s="47">
        <f>+IFERROR(I83/H83-1,"nm")</f>
        <v>-8.9626055488540413E-2</v>
      </c>
      <c r="J84" s="47">
        <f t="shared" ref="J84:N84" si="200">+IFERROR(J83/I83-1,"nm")</f>
        <v>4.588180734066527E-2</v>
      </c>
      <c r="K84" s="47">
        <f t="shared" si="200"/>
        <v>4.6366170167750465E-2</v>
      </c>
      <c r="L84" s="47">
        <f t="shared" si="200"/>
        <v>4.6840010196082416E-2</v>
      </c>
      <c r="M84" s="47">
        <f t="shared" si="200"/>
        <v>4.7303131736943005E-2</v>
      </c>
      <c r="N84" s="47">
        <f t="shared" si="200"/>
        <v>4.7755372291860221E-2</v>
      </c>
    </row>
    <row r="85" spans="1:14">
      <c r="A85" s="45" t="s">
        <v>113</v>
      </c>
      <c r="B85" s="3">
        <v>2016</v>
      </c>
      <c r="C85" s="3">
        <v>2599</v>
      </c>
      <c r="D85" s="3">
        <v>2920</v>
      </c>
      <c r="E85" s="3">
        <v>3496</v>
      </c>
      <c r="F85" s="3">
        <v>4262</v>
      </c>
      <c r="G85" s="67">
        <v>4635</v>
      </c>
      <c r="H85" s="67">
        <v>5748</v>
      </c>
      <c r="I85" s="3">
        <v>5416</v>
      </c>
      <c r="J85" s="3">
        <f>+I85*(1+J86)</f>
        <v>5740.96</v>
      </c>
      <c r="K85" s="3">
        <f t="shared" ref="K85:N85" si="201">+J85*(1+K86)</f>
        <v>6085.4176000000007</v>
      </c>
      <c r="L85" s="3">
        <f t="shared" si="201"/>
        <v>6450.5426560000014</v>
      </c>
      <c r="M85" s="3">
        <f t="shared" si="201"/>
        <v>6837.5752153600015</v>
      </c>
      <c r="N85" s="3">
        <f t="shared" si="201"/>
        <v>7247.829728281602</v>
      </c>
    </row>
    <row r="86" spans="1:14">
      <c r="A86" s="44" t="s">
        <v>129</v>
      </c>
      <c r="B86" s="47" t="str">
        <f t="shared" ref="B86:I86" si="202">+IFERROR(B85/A85-1,"nm")</f>
        <v>nm</v>
      </c>
      <c r="C86" s="47">
        <f t="shared" si="202"/>
        <v>0.28918650793650791</v>
      </c>
      <c r="D86" s="47">
        <f t="shared" si="202"/>
        <v>0.12350904193920731</v>
      </c>
      <c r="E86" s="47">
        <f t="shared" si="202"/>
        <v>0.19726027397260282</v>
      </c>
      <c r="F86" s="47">
        <f t="shared" si="202"/>
        <v>0.21910755148741412</v>
      </c>
      <c r="G86" s="75">
        <f t="shared" si="202"/>
        <v>8.7517597372125833E-2</v>
      </c>
      <c r="H86" s="75">
        <f t="shared" si="202"/>
        <v>0.24012944983818763</v>
      </c>
      <c r="I86" s="47">
        <f t="shared" si="202"/>
        <v>-5.7759220598469052E-2</v>
      </c>
      <c r="J86" s="47">
        <f>+J87+J88</f>
        <v>0.06</v>
      </c>
      <c r="K86" s="47">
        <f t="shared" ref="K86:N86" si="203">+K87+K88</f>
        <v>0.06</v>
      </c>
      <c r="L86" s="47">
        <f t="shared" si="203"/>
        <v>0.06</v>
      </c>
      <c r="M86" s="47">
        <f t="shared" si="203"/>
        <v>0.06</v>
      </c>
      <c r="N86" s="47">
        <f t="shared" si="203"/>
        <v>0.06</v>
      </c>
    </row>
    <row r="87" spans="1:14">
      <c r="A87" s="44" t="s">
        <v>137</v>
      </c>
      <c r="B87" s="47">
        <v>0.28000000000000003</v>
      </c>
      <c r="C87" s="47">
        <v>0.33</v>
      </c>
      <c r="D87" s="47">
        <v>0.18</v>
      </c>
      <c r="E87" s="47">
        <v>0.16</v>
      </c>
      <c r="F87" s="47">
        <v>0.25</v>
      </c>
      <c r="G87" s="75">
        <v>0.12</v>
      </c>
      <c r="H87" s="75">
        <v>0.19</v>
      </c>
      <c r="I87" s="47">
        <v>-0.1</v>
      </c>
      <c r="J87" s="49">
        <v>0.06</v>
      </c>
      <c r="K87" s="49">
        <f>+J87</f>
        <v>0.06</v>
      </c>
      <c r="L87" s="49">
        <f t="shared" ref="L87:N88" si="204">+K87</f>
        <v>0.06</v>
      </c>
      <c r="M87" s="49">
        <f t="shared" si="204"/>
        <v>0.06</v>
      </c>
      <c r="N87" s="49">
        <f t="shared" si="204"/>
        <v>0.06</v>
      </c>
    </row>
    <row r="88" spans="1:14">
      <c r="A88" s="44" t="s">
        <v>138</v>
      </c>
      <c r="B88" s="47" t="str">
        <f t="shared" ref="B88:I88" si="205">+IFERROR(B86-B87,"nm")</f>
        <v>nm</v>
      </c>
      <c r="C88" s="47">
        <f t="shared" si="205"/>
        <v>-4.0813492063492107E-2</v>
      </c>
      <c r="D88" s="47">
        <f t="shared" si="205"/>
        <v>-5.6490958060792684E-2</v>
      </c>
      <c r="E88" s="47">
        <f t="shared" si="205"/>
        <v>3.7260273972602814E-2</v>
      </c>
      <c r="F88" s="47">
        <f t="shared" si="205"/>
        <v>-3.0892448512585879E-2</v>
      </c>
      <c r="G88" s="75">
        <f t="shared" si="205"/>
        <v>-3.2482402627874163E-2</v>
      </c>
      <c r="H88" s="75">
        <f t="shared" si="205"/>
        <v>5.0129449838187623E-2</v>
      </c>
      <c r="I88" s="47">
        <f t="shared" si="205"/>
        <v>4.2240779401530953E-2</v>
      </c>
      <c r="J88" s="49">
        <v>0</v>
      </c>
      <c r="K88" s="49">
        <f>+J88</f>
        <v>0</v>
      </c>
      <c r="L88" s="49">
        <f t="shared" si="204"/>
        <v>0</v>
      </c>
      <c r="M88" s="49">
        <f t="shared" si="204"/>
        <v>0</v>
      </c>
      <c r="N88" s="49">
        <f t="shared" si="204"/>
        <v>0</v>
      </c>
    </row>
    <row r="89" spans="1:14">
      <c r="A89" s="45" t="s">
        <v>114</v>
      </c>
      <c r="B89" s="3">
        <v>925</v>
      </c>
      <c r="C89" s="3">
        <v>1055</v>
      </c>
      <c r="D89" s="3">
        <v>1188</v>
      </c>
      <c r="E89" s="3">
        <v>1508</v>
      </c>
      <c r="F89" s="3">
        <v>1808</v>
      </c>
      <c r="G89" s="67">
        <v>1896</v>
      </c>
      <c r="H89" s="67">
        <v>2347</v>
      </c>
      <c r="I89" s="3">
        <v>1938</v>
      </c>
      <c r="J89" s="3">
        <f>+I89*(1+J90)</f>
        <v>1957.38</v>
      </c>
      <c r="K89" s="3">
        <f t="shared" ref="K89:N89" si="206">+J89*(1+K90)</f>
        <v>1976.9538000000002</v>
      </c>
      <c r="L89" s="3">
        <f t="shared" si="206"/>
        <v>1996.7233380000002</v>
      </c>
      <c r="M89" s="3">
        <f t="shared" si="206"/>
        <v>2016.6905713800002</v>
      </c>
      <c r="N89" s="3">
        <f t="shared" si="206"/>
        <v>2036.8574770938001</v>
      </c>
    </row>
    <row r="90" spans="1:14">
      <c r="A90" s="44" t="s">
        <v>129</v>
      </c>
      <c r="B90" s="47" t="str">
        <f t="shared" ref="B90:I90" si="207">+IFERROR(B89/A89-1,"nm")</f>
        <v>nm</v>
      </c>
      <c r="C90" s="47">
        <f t="shared" si="207"/>
        <v>0.14054054054054044</v>
      </c>
      <c r="D90" s="47">
        <f t="shared" si="207"/>
        <v>0.12606635071090055</v>
      </c>
      <c r="E90" s="47">
        <f t="shared" si="207"/>
        <v>0.26936026936026947</v>
      </c>
      <c r="F90" s="47">
        <f t="shared" si="207"/>
        <v>0.19893899204244025</v>
      </c>
      <c r="G90" s="75">
        <f t="shared" si="207"/>
        <v>4.8672566371681381E-2</v>
      </c>
      <c r="H90" s="75">
        <f t="shared" si="207"/>
        <v>0.2378691983122363</v>
      </c>
      <c r="I90" s="47">
        <f t="shared" si="207"/>
        <v>-0.17426501917341286</v>
      </c>
      <c r="J90" s="47">
        <f>+J91+J92</f>
        <v>1.0000000000000009E-2</v>
      </c>
      <c r="K90" s="47">
        <f t="shared" ref="K90:N90" si="208">+K91+K92</f>
        <v>1.0000000000000009E-2</v>
      </c>
      <c r="L90" s="47">
        <f t="shared" si="208"/>
        <v>1.0000000000000009E-2</v>
      </c>
      <c r="M90" s="47">
        <f t="shared" si="208"/>
        <v>1.0000000000000009E-2</v>
      </c>
      <c r="N90" s="47">
        <f t="shared" si="208"/>
        <v>1.0000000000000009E-2</v>
      </c>
    </row>
    <row r="91" spans="1:14">
      <c r="A91" s="44" t="s">
        <v>137</v>
      </c>
      <c r="B91" s="47">
        <v>7.0000000000000007E-2</v>
      </c>
      <c r="C91" s="47">
        <v>0.17</v>
      </c>
      <c r="D91" s="47">
        <v>0.18</v>
      </c>
      <c r="E91" s="47">
        <v>0.23</v>
      </c>
      <c r="F91" s="47">
        <v>0.23</v>
      </c>
      <c r="G91" s="75">
        <v>0.08</v>
      </c>
      <c r="H91" s="75">
        <v>0.19</v>
      </c>
      <c r="I91" s="47">
        <v>-0.21</v>
      </c>
      <c r="J91" s="49">
        <f>(E91+I91)/2</f>
        <v>1.0000000000000009E-2</v>
      </c>
      <c r="K91" s="49">
        <f>+J91</f>
        <v>1.0000000000000009E-2</v>
      </c>
      <c r="L91" s="49">
        <f t="shared" ref="L91:N92" si="209">+K91</f>
        <v>1.0000000000000009E-2</v>
      </c>
      <c r="M91" s="49">
        <f t="shared" si="209"/>
        <v>1.0000000000000009E-2</v>
      </c>
      <c r="N91" s="49">
        <f t="shared" si="209"/>
        <v>1.0000000000000009E-2</v>
      </c>
    </row>
    <row r="92" spans="1:14">
      <c r="A92" s="44" t="s">
        <v>138</v>
      </c>
      <c r="B92" s="47" t="str">
        <f t="shared" ref="B92:I92" si="210">+IFERROR(B90-B91,"nm")</f>
        <v>nm</v>
      </c>
      <c r="C92" s="47">
        <f t="shared" si="210"/>
        <v>-2.9459459459459575E-2</v>
      </c>
      <c r="D92" s="47">
        <f t="shared" si="210"/>
        <v>-5.3933649289099439E-2</v>
      </c>
      <c r="E92" s="47">
        <f t="shared" si="210"/>
        <v>3.9360269360269456E-2</v>
      </c>
      <c r="F92" s="47">
        <f t="shared" si="210"/>
        <v>-3.1061007957559755E-2</v>
      </c>
      <c r="G92" s="75">
        <f t="shared" si="210"/>
        <v>-3.1327433628318621E-2</v>
      </c>
      <c r="H92" s="75">
        <f t="shared" si="210"/>
        <v>4.7869198312236294E-2</v>
      </c>
      <c r="I92" s="47">
        <f t="shared" si="210"/>
        <v>3.5734980826587132E-2</v>
      </c>
      <c r="J92" s="49">
        <v>0</v>
      </c>
      <c r="K92" s="49">
        <f>+J92</f>
        <v>0</v>
      </c>
      <c r="L92" s="49">
        <f>+K92</f>
        <v>0</v>
      </c>
      <c r="M92" s="49">
        <f t="shared" si="209"/>
        <v>0</v>
      </c>
      <c r="N92" s="49">
        <f t="shared" si="209"/>
        <v>0</v>
      </c>
    </row>
    <row r="93" spans="1:14">
      <c r="A93" s="45" t="s">
        <v>115</v>
      </c>
      <c r="B93" s="3">
        <v>126</v>
      </c>
      <c r="C93" s="3">
        <v>131</v>
      </c>
      <c r="D93" s="3">
        <v>129</v>
      </c>
      <c r="E93" s="3">
        <v>130</v>
      </c>
      <c r="F93" s="3">
        <v>138</v>
      </c>
      <c r="G93" s="67">
        <v>148</v>
      </c>
      <c r="H93" s="67">
        <v>195</v>
      </c>
      <c r="I93" s="3">
        <v>193</v>
      </c>
      <c r="J93" s="3">
        <f>+I93*(1+J94)</f>
        <v>194.93</v>
      </c>
      <c r="K93" s="3">
        <f t="shared" ref="K93:N93" si="211">+J93*(1+K94)</f>
        <v>196.8793</v>
      </c>
      <c r="L93" s="3">
        <f t="shared" si="211"/>
        <v>198.84809300000001</v>
      </c>
      <c r="M93" s="3">
        <f t="shared" si="211"/>
        <v>200.83657393000001</v>
      </c>
      <c r="N93" s="3">
        <f t="shared" si="211"/>
        <v>202.8449396693</v>
      </c>
    </row>
    <row r="94" spans="1:14">
      <c r="A94" s="44" t="s">
        <v>129</v>
      </c>
      <c r="B94" s="47" t="str">
        <f t="shared" ref="B94:I94" si="212">+IFERROR(B93/A93-1,"nm")</f>
        <v>nm</v>
      </c>
      <c r="C94" s="47">
        <f t="shared" si="212"/>
        <v>3.9682539682539764E-2</v>
      </c>
      <c r="D94" s="47">
        <f t="shared" si="212"/>
        <v>-1.5267175572519109E-2</v>
      </c>
      <c r="E94" s="47">
        <f t="shared" si="212"/>
        <v>7.7519379844961378E-3</v>
      </c>
      <c r="F94" s="47">
        <f t="shared" si="212"/>
        <v>6.1538461538461542E-2</v>
      </c>
      <c r="G94" s="75">
        <f t="shared" si="212"/>
        <v>7.2463768115942129E-2</v>
      </c>
      <c r="H94" s="75">
        <f t="shared" si="212"/>
        <v>0.31756756756756754</v>
      </c>
      <c r="I94" s="47">
        <f t="shared" si="212"/>
        <v>-1.025641025641022E-2</v>
      </c>
      <c r="J94" s="47">
        <f>+J95+J96</f>
        <v>1.0000000000000002E-2</v>
      </c>
      <c r="K94" s="47">
        <f t="shared" ref="K94:N94" si="213">+K95+K96</f>
        <v>1.0000000000000002E-2</v>
      </c>
      <c r="L94" s="47">
        <f t="shared" si="213"/>
        <v>1.0000000000000002E-2</v>
      </c>
      <c r="M94" s="47">
        <f t="shared" si="213"/>
        <v>1.0000000000000002E-2</v>
      </c>
      <c r="N94" s="47">
        <f t="shared" si="213"/>
        <v>1.0000000000000002E-2</v>
      </c>
    </row>
    <row r="95" spans="1:14">
      <c r="A95" s="44" t="s">
        <v>137</v>
      </c>
      <c r="B95" s="47">
        <v>0.01</v>
      </c>
      <c r="C95" s="47">
        <v>7.0000000000000007E-2</v>
      </c>
      <c r="D95" s="47">
        <v>0.03</v>
      </c>
      <c r="E95" s="47">
        <v>-0.01</v>
      </c>
      <c r="F95" s="47">
        <v>0.08</v>
      </c>
      <c r="G95" s="75">
        <v>0.11</v>
      </c>
      <c r="H95" s="75">
        <v>0.26</v>
      </c>
      <c r="I95" s="47">
        <v>-0.06</v>
      </c>
      <c r="J95" s="49">
        <f>(F95+I95)/2</f>
        <v>1.0000000000000002E-2</v>
      </c>
      <c r="K95" s="49">
        <f>+J95</f>
        <v>1.0000000000000002E-2</v>
      </c>
      <c r="L95" s="49">
        <f t="shared" ref="L95:N96" si="214">+K95</f>
        <v>1.0000000000000002E-2</v>
      </c>
      <c r="M95" s="49">
        <f t="shared" si="214"/>
        <v>1.0000000000000002E-2</v>
      </c>
      <c r="N95" s="49">
        <f t="shared" si="214"/>
        <v>1.0000000000000002E-2</v>
      </c>
    </row>
    <row r="96" spans="1:14">
      <c r="A96" s="44" t="s">
        <v>138</v>
      </c>
      <c r="B96" s="47" t="str">
        <f t="shared" ref="B96:I96" si="215">+IFERROR(B94-B95,"nm")</f>
        <v>nm</v>
      </c>
      <c r="C96" s="47">
        <f t="shared" si="215"/>
        <v>-3.0317460317460243E-2</v>
      </c>
      <c r="D96" s="47">
        <f t="shared" si="215"/>
        <v>-4.5267175572519108E-2</v>
      </c>
      <c r="E96" s="47">
        <f t="shared" si="215"/>
        <v>1.775193798449614E-2</v>
      </c>
      <c r="F96" s="47">
        <f t="shared" si="215"/>
        <v>-1.846153846153846E-2</v>
      </c>
      <c r="G96" s="75">
        <f t="shared" si="215"/>
        <v>-3.7536231884057872E-2</v>
      </c>
      <c r="H96" s="75">
        <f t="shared" si="215"/>
        <v>5.7567567567567535E-2</v>
      </c>
      <c r="I96" s="47">
        <f t="shared" si="215"/>
        <v>4.9743589743589778E-2</v>
      </c>
      <c r="J96" s="49">
        <v>0</v>
      </c>
      <c r="K96" s="49">
        <f>+J96</f>
        <v>0</v>
      </c>
      <c r="L96" s="49">
        <f t="shared" si="214"/>
        <v>0</v>
      </c>
      <c r="M96" s="49">
        <f t="shared" si="214"/>
        <v>0</v>
      </c>
      <c r="N96" s="49">
        <f t="shared" si="214"/>
        <v>0</v>
      </c>
    </row>
    <row r="97" spans="1:14">
      <c r="A97" s="9" t="s">
        <v>130</v>
      </c>
      <c r="B97" s="48">
        <f>B100+B104</f>
        <v>1039</v>
      </c>
      <c r="C97" s="48">
        <f t="shared" ref="C97:I97" si="216">C100+C104</f>
        <v>1420</v>
      </c>
      <c r="D97" s="48">
        <f t="shared" si="216"/>
        <v>1561</v>
      </c>
      <c r="E97" s="48">
        <f t="shared" si="216"/>
        <v>1863</v>
      </c>
      <c r="F97" s="48">
        <f t="shared" si="216"/>
        <v>2426</v>
      </c>
      <c r="G97" s="80">
        <f t="shared" si="216"/>
        <v>2534</v>
      </c>
      <c r="H97" s="80">
        <f t="shared" si="216"/>
        <v>3289</v>
      </c>
      <c r="I97" s="48">
        <f t="shared" si="216"/>
        <v>2406</v>
      </c>
      <c r="J97" s="48">
        <f>+J83*J99</f>
        <v>2516.3916284616403</v>
      </c>
      <c r="K97" s="48">
        <f t="shared" ref="K97:N97" si="217">+K83*K99</f>
        <v>2633.0670709155957</v>
      </c>
      <c r="L97" s="48">
        <f t="shared" si="217"/>
        <v>2756.3999593642511</v>
      </c>
      <c r="M97" s="48">
        <f t="shared" si="217"/>
        <v>2886.7863097617628</v>
      </c>
      <c r="N97" s="48">
        <f t="shared" si="217"/>
        <v>3024.6458647114814</v>
      </c>
    </row>
    <row r="98" spans="1:14">
      <c r="A98" s="46" t="s">
        <v>129</v>
      </c>
      <c r="B98" s="47" t="str">
        <f t="shared" ref="B98:N98" si="218">+IFERROR(B97/A97-1,"nm")</f>
        <v>nm</v>
      </c>
      <c r="C98" s="47">
        <f t="shared" si="218"/>
        <v>0.36669874879692022</v>
      </c>
      <c r="D98" s="47">
        <f t="shared" si="218"/>
        <v>9.9295774647887303E-2</v>
      </c>
      <c r="E98" s="47">
        <f t="shared" si="218"/>
        <v>0.19346572709801402</v>
      </c>
      <c r="F98" s="47">
        <f t="shared" si="218"/>
        <v>0.3022007514761138</v>
      </c>
      <c r="G98" s="75">
        <f t="shared" si="218"/>
        <v>4.4517724649629109E-2</v>
      </c>
      <c r="H98" s="75">
        <f t="shared" si="218"/>
        <v>0.29794790844514596</v>
      </c>
      <c r="I98" s="47">
        <f t="shared" si="218"/>
        <v>-0.26847065977500761</v>
      </c>
      <c r="J98" s="47">
        <f t="shared" si="218"/>
        <v>4.5881807340665048E-2</v>
      </c>
      <c r="K98" s="47">
        <f t="shared" si="218"/>
        <v>4.6366170167750465E-2</v>
      </c>
      <c r="L98" s="47">
        <f t="shared" si="218"/>
        <v>4.6840010196082416E-2</v>
      </c>
      <c r="M98" s="47">
        <f t="shared" si="218"/>
        <v>4.7303131736943005E-2</v>
      </c>
      <c r="N98" s="47">
        <f t="shared" si="218"/>
        <v>4.7755372291860221E-2</v>
      </c>
    </row>
    <row r="99" spans="1:14">
      <c r="A99" s="46" t="s">
        <v>131</v>
      </c>
      <c r="B99" s="47">
        <f>+IFERROR(B97/B$83,"nm")</f>
        <v>0.33876752526899251</v>
      </c>
      <c r="C99" s="47">
        <f t="shared" ref="C99:I99" si="219">+IFERROR(C97/C$83,"nm")</f>
        <v>0.37516512549537651</v>
      </c>
      <c r="D99" s="47">
        <f t="shared" si="219"/>
        <v>0.36842105263157893</v>
      </c>
      <c r="E99" s="47">
        <f t="shared" si="219"/>
        <v>0.36287495130502534</v>
      </c>
      <c r="F99" s="47">
        <f t="shared" si="219"/>
        <v>0.3907860824742268</v>
      </c>
      <c r="G99" s="75">
        <f t="shared" si="219"/>
        <v>0.37939811349004343</v>
      </c>
      <c r="H99" s="75">
        <f t="shared" si="219"/>
        <v>0.39674306393244874</v>
      </c>
      <c r="I99" s="47">
        <f t="shared" si="219"/>
        <v>0.31880217304889358</v>
      </c>
      <c r="J99" s="49">
        <f>+I99</f>
        <v>0.31880217304889358</v>
      </c>
      <c r="K99" s="49">
        <f t="shared" ref="K99:N99" si="220">+J99</f>
        <v>0.31880217304889358</v>
      </c>
      <c r="L99" s="49">
        <f t="shared" si="220"/>
        <v>0.31880217304889358</v>
      </c>
      <c r="M99" s="49">
        <f t="shared" si="220"/>
        <v>0.31880217304889358</v>
      </c>
      <c r="N99" s="49">
        <f t="shared" si="220"/>
        <v>0.31880217304889358</v>
      </c>
    </row>
    <row r="100" spans="1:14">
      <c r="A100" s="9" t="s">
        <v>132</v>
      </c>
      <c r="B100" s="9">
        <v>46</v>
      </c>
      <c r="C100" s="9">
        <v>48</v>
      </c>
      <c r="D100" s="9">
        <v>54</v>
      </c>
      <c r="E100" s="9">
        <v>56</v>
      </c>
      <c r="F100" s="9">
        <v>50</v>
      </c>
      <c r="G100" s="79">
        <v>44</v>
      </c>
      <c r="H100" s="79">
        <v>46</v>
      </c>
      <c r="I100" s="9">
        <v>41</v>
      </c>
      <c r="J100" s="48">
        <f>+J103*J110</f>
        <v>42.881154100967272</v>
      </c>
      <c r="K100" s="48">
        <f t="shared" ref="K100:N100" si="221">+K103*K110</f>
        <v>44.869388989002253</v>
      </c>
      <c r="L100" s="48">
        <f t="shared" si="221"/>
        <v>46.971071626739111</v>
      </c>
      <c r="M100" s="48">
        <f t="shared" si="221"/>
        <v>49.192950415724134</v>
      </c>
      <c r="N100" s="48">
        <f t="shared" si="221"/>
        <v>51.542178076962067</v>
      </c>
    </row>
    <row r="101" spans="1:14">
      <c r="A101" s="46" t="s">
        <v>129</v>
      </c>
      <c r="B101" s="47" t="str">
        <f t="shared" ref="B101:N101" si="222">+IFERROR(B100/A100-1,"nm")</f>
        <v>nm</v>
      </c>
      <c r="C101" s="47">
        <f t="shared" si="222"/>
        <v>4.3478260869565188E-2</v>
      </c>
      <c r="D101" s="47">
        <f t="shared" si="222"/>
        <v>0.125</v>
      </c>
      <c r="E101" s="47">
        <f t="shared" si="222"/>
        <v>3.7037037037036979E-2</v>
      </c>
      <c r="F101" s="47">
        <f t="shared" si="222"/>
        <v>-0.1071428571428571</v>
      </c>
      <c r="G101" s="75">
        <f t="shared" si="222"/>
        <v>-0.12</v>
      </c>
      <c r="H101" s="75">
        <f t="shared" si="222"/>
        <v>4.5454545454545414E-2</v>
      </c>
      <c r="I101" s="47">
        <f t="shared" si="222"/>
        <v>-0.10869565217391308</v>
      </c>
      <c r="J101" s="47">
        <f t="shared" si="222"/>
        <v>4.588180734066527E-2</v>
      </c>
      <c r="K101" s="47">
        <f t="shared" si="222"/>
        <v>4.6366170167750465E-2</v>
      </c>
      <c r="L101" s="47">
        <f t="shared" si="222"/>
        <v>4.6840010196082416E-2</v>
      </c>
      <c r="M101" s="47">
        <f t="shared" si="222"/>
        <v>4.7303131736943005E-2</v>
      </c>
      <c r="N101" s="47">
        <f t="shared" si="222"/>
        <v>4.7755372291860443E-2</v>
      </c>
    </row>
    <row r="102" spans="1:14">
      <c r="A102" s="46" t="s">
        <v>133</v>
      </c>
      <c r="B102" s="47">
        <f>+IFERROR(B100/B$83,"nm")</f>
        <v>1.4998369742419302E-2</v>
      </c>
      <c r="C102" s="47">
        <f t="shared" ref="C102:I102" si="223">+IFERROR(C100/C$83,"nm")</f>
        <v>1.2681638044914135E-2</v>
      </c>
      <c r="D102" s="47">
        <f t="shared" si="223"/>
        <v>1.2744866650932263E-2</v>
      </c>
      <c r="E102" s="47">
        <f t="shared" si="223"/>
        <v>1.090767432800935E-2</v>
      </c>
      <c r="F102" s="47">
        <f t="shared" si="223"/>
        <v>8.0541237113402053E-3</v>
      </c>
      <c r="G102" s="75">
        <f t="shared" si="223"/>
        <v>6.5878125467884411E-3</v>
      </c>
      <c r="H102" s="75">
        <f t="shared" si="223"/>
        <v>5.5488540410132689E-3</v>
      </c>
      <c r="I102" s="47">
        <f t="shared" si="223"/>
        <v>5.4326222340002651E-3</v>
      </c>
      <c r="J102" s="47">
        <f t="shared" ref="J102:N102" si="224">+IFERROR(J100/J$21,"nm")</f>
        <v>2.1187241207367147E-3</v>
      </c>
      <c r="K102" s="47">
        <f t="shared" si="224"/>
        <v>2.0099414837459395E-3</v>
      </c>
      <c r="L102" s="47">
        <f t="shared" si="224"/>
        <v>1.9072134840685342E-3</v>
      </c>
      <c r="M102" s="47">
        <f t="shared" si="224"/>
        <v>1.8101623481870882E-3</v>
      </c>
      <c r="N102" s="47">
        <f t="shared" si="224"/>
        <v>1.7184363128263267E-3</v>
      </c>
    </row>
    <row r="103" spans="1:14">
      <c r="A103" s="46" t="s">
        <v>140</v>
      </c>
      <c r="B103" s="47">
        <f t="shared" ref="B103:I103" si="225">+IFERROR(B100/B110,"nm")</f>
        <v>0.18110236220472442</v>
      </c>
      <c r="C103" s="47">
        <f t="shared" si="225"/>
        <v>0.20512820512820512</v>
      </c>
      <c r="D103" s="47">
        <f t="shared" si="225"/>
        <v>0.24</v>
      </c>
      <c r="E103" s="47">
        <f t="shared" si="225"/>
        <v>0.21875</v>
      </c>
      <c r="F103" s="47">
        <f t="shared" si="225"/>
        <v>0.2109704641350211</v>
      </c>
      <c r="G103" s="75">
        <f t="shared" si="225"/>
        <v>0.20560747663551401</v>
      </c>
      <c r="H103" s="75">
        <f t="shared" si="225"/>
        <v>0.15972222222222221</v>
      </c>
      <c r="I103" s="47">
        <f t="shared" si="225"/>
        <v>0.13531353135313531</v>
      </c>
      <c r="J103" s="49">
        <f>+I103</f>
        <v>0.13531353135313531</v>
      </c>
      <c r="K103" s="49">
        <f t="shared" ref="K103:N103" si="226">+J103</f>
        <v>0.13531353135313531</v>
      </c>
      <c r="L103" s="49">
        <f t="shared" si="226"/>
        <v>0.13531353135313531</v>
      </c>
      <c r="M103" s="49">
        <f t="shared" si="226"/>
        <v>0.13531353135313531</v>
      </c>
      <c r="N103" s="49">
        <f t="shared" si="226"/>
        <v>0.13531353135313531</v>
      </c>
    </row>
    <row r="104" spans="1:14">
      <c r="A104" s="9" t="s">
        <v>134</v>
      </c>
      <c r="B104" s="9">
        <v>993</v>
      </c>
      <c r="C104" s="9">
        <v>1372</v>
      </c>
      <c r="D104" s="9">
        <v>1507</v>
      </c>
      <c r="E104" s="9">
        <v>1807</v>
      </c>
      <c r="F104" s="9">
        <v>2376</v>
      </c>
      <c r="G104" s="79">
        <v>2490</v>
      </c>
      <c r="H104" s="79">
        <v>3243</v>
      </c>
      <c r="I104" s="9">
        <v>2365</v>
      </c>
      <c r="J104" s="9">
        <f>+J97-J100</f>
        <v>2473.510474360673</v>
      </c>
      <c r="K104" s="9">
        <f t="shared" ref="K104:N104" si="227">+K97-K100</f>
        <v>2588.1976819265933</v>
      </c>
      <c r="L104" s="9">
        <f t="shared" si="227"/>
        <v>2709.428887737512</v>
      </c>
      <c r="M104" s="9">
        <f t="shared" si="227"/>
        <v>2837.5933593460386</v>
      </c>
      <c r="N104" s="9">
        <f t="shared" si="227"/>
        <v>2973.1036866345194</v>
      </c>
    </row>
    <row r="105" spans="1:14">
      <c r="A105" s="46" t="s">
        <v>129</v>
      </c>
      <c r="B105" s="47" t="str">
        <f t="shared" ref="B105:N105" si="228">+IFERROR(B104/A104-1,"nm")</f>
        <v>nm</v>
      </c>
      <c r="C105" s="47">
        <f t="shared" si="228"/>
        <v>0.38167170191339372</v>
      </c>
      <c r="D105" s="47">
        <f t="shared" si="228"/>
        <v>9.8396501457725938E-2</v>
      </c>
      <c r="E105" s="47">
        <f t="shared" si="228"/>
        <v>0.19907100199071004</v>
      </c>
      <c r="F105" s="47">
        <f t="shared" si="228"/>
        <v>0.31488655229662421</v>
      </c>
      <c r="G105" s="75">
        <f t="shared" si="228"/>
        <v>4.7979797979798011E-2</v>
      </c>
      <c r="H105" s="75">
        <f t="shared" si="228"/>
        <v>0.30240963855421676</v>
      </c>
      <c r="I105" s="47">
        <f t="shared" si="228"/>
        <v>-0.27073697193956214</v>
      </c>
      <c r="J105" s="47">
        <f t="shared" si="228"/>
        <v>4.5881807340665048E-2</v>
      </c>
      <c r="K105" s="47">
        <f t="shared" si="228"/>
        <v>4.6366170167750465E-2</v>
      </c>
      <c r="L105" s="47">
        <f t="shared" si="228"/>
        <v>4.6840010196082416E-2</v>
      </c>
      <c r="M105" s="47">
        <f t="shared" si="228"/>
        <v>4.7303131736943005E-2</v>
      </c>
      <c r="N105" s="47">
        <f t="shared" si="228"/>
        <v>4.7755372291860443E-2</v>
      </c>
    </row>
    <row r="106" spans="1:14">
      <c r="A106" s="46" t="s">
        <v>131</v>
      </c>
      <c r="B106" s="47">
        <f>+IFERROR(B104/B$83,"nm")</f>
        <v>0.3237691555265732</v>
      </c>
      <c r="C106" s="47">
        <f t="shared" ref="C106:I106" si="229">+IFERROR(C104/C$83,"nm")</f>
        <v>0.36248348745046233</v>
      </c>
      <c r="D106" s="47">
        <f t="shared" si="229"/>
        <v>0.35567618598064671</v>
      </c>
      <c r="E106" s="47">
        <f t="shared" si="229"/>
        <v>0.35196727697701596</v>
      </c>
      <c r="F106" s="47">
        <f t="shared" si="229"/>
        <v>0.38273195876288657</v>
      </c>
      <c r="G106" s="75">
        <f t="shared" si="229"/>
        <v>0.37281030094325496</v>
      </c>
      <c r="H106" s="75">
        <f t="shared" si="229"/>
        <v>0.39119420989143544</v>
      </c>
      <c r="I106" s="47">
        <f t="shared" si="229"/>
        <v>0.31336955081489332</v>
      </c>
      <c r="J106" s="49">
        <f>+I106</f>
        <v>0.31336955081489332</v>
      </c>
      <c r="K106" s="49">
        <f t="shared" ref="K106:N106" si="230">+J106</f>
        <v>0.31336955081489332</v>
      </c>
      <c r="L106" s="49">
        <f t="shared" si="230"/>
        <v>0.31336955081489332</v>
      </c>
      <c r="M106" s="49">
        <f t="shared" si="230"/>
        <v>0.31336955081489332</v>
      </c>
      <c r="N106" s="49">
        <f t="shared" si="230"/>
        <v>0.31336955081489332</v>
      </c>
    </row>
    <row r="107" spans="1:14">
      <c r="A107" s="9" t="s">
        <v>135</v>
      </c>
      <c r="B107" s="9">
        <v>69</v>
      </c>
      <c r="C107" s="9">
        <v>44</v>
      </c>
      <c r="D107" s="9">
        <v>51</v>
      </c>
      <c r="E107" s="9">
        <v>76</v>
      </c>
      <c r="F107" s="9">
        <v>49</v>
      </c>
      <c r="G107" s="79">
        <v>28</v>
      </c>
      <c r="H107" s="79">
        <v>94</v>
      </c>
      <c r="I107" s="9">
        <v>78</v>
      </c>
      <c r="J107" s="48">
        <f>+J83*J109</f>
        <v>81.578780972571892</v>
      </c>
      <c r="K107" s="48">
        <f t="shared" ref="K107:N107" si="231">+K83*K109</f>
        <v>85.361276613223808</v>
      </c>
      <c r="L107" s="48">
        <f t="shared" si="231"/>
        <v>89.359599680137819</v>
      </c>
      <c r="M107" s="48">
        <f t="shared" si="231"/>
        <v>93.586588595767878</v>
      </c>
      <c r="N107" s="48">
        <f t="shared" si="231"/>
        <v>98.055850975683938</v>
      </c>
    </row>
    <row r="108" spans="1:14">
      <c r="A108" s="46" t="s">
        <v>129</v>
      </c>
      <c r="B108" s="47" t="str">
        <f t="shared" ref="B108:N108" si="232">+IFERROR(B107/A107-1,"nm")</f>
        <v>nm</v>
      </c>
      <c r="C108" s="47">
        <f t="shared" si="232"/>
        <v>-0.3623188405797102</v>
      </c>
      <c r="D108" s="47">
        <f t="shared" si="232"/>
        <v>0.15909090909090917</v>
      </c>
      <c r="E108" s="47">
        <f t="shared" si="232"/>
        <v>0.49019607843137258</v>
      </c>
      <c r="F108" s="47">
        <f t="shared" si="232"/>
        <v>-0.35526315789473684</v>
      </c>
      <c r="G108" s="75">
        <f t="shared" si="232"/>
        <v>-0.4285714285714286</v>
      </c>
      <c r="H108" s="75">
        <f t="shared" si="232"/>
        <v>2.3571428571428572</v>
      </c>
      <c r="I108" s="47">
        <f t="shared" si="232"/>
        <v>-0.17021276595744683</v>
      </c>
      <c r="J108" s="47">
        <f t="shared" si="232"/>
        <v>4.588180734066527E-2</v>
      </c>
      <c r="K108" s="47">
        <f t="shared" si="232"/>
        <v>4.6366170167750465E-2</v>
      </c>
      <c r="L108" s="47">
        <f t="shared" si="232"/>
        <v>4.6840010196082416E-2</v>
      </c>
      <c r="M108" s="47">
        <f t="shared" si="232"/>
        <v>4.7303131736943227E-2</v>
      </c>
      <c r="N108" s="47">
        <f t="shared" si="232"/>
        <v>4.7755372291860221E-2</v>
      </c>
    </row>
    <row r="109" spans="1:14">
      <c r="A109" s="46" t="s">
        <v>133</v>
      </c>
      <c r="B109" s="47">
        <f>+IFERROR(B107/B$83,"nm")</f>
        <v>2.2497554613628953E-2</v>
      </c>
      <c r="C109" s="47">
        <f t="shared" ref="C109:I109" si="233">+IFERROR(C107/C$83,"nm")</f>
        <v>1.1624834874504624E-2</v>
      </c>
      <c r="D109" s="47">
        <f t="shared" si="233"/>
        <v>1.2036818503658248E-2</v>
      </c>
      <c r="E109" s="47">
        <f t="shared" si="233"/>
        <v>1.4803272302298403E-2</v>
      </c>
      <c r="F109" s="47">
        <f t="shared" si="233"/>
        <v>7.8930412371134018E-3</v>
      </c>
      <c r="G109" s="75">
        <f t="shared" si="233"/>
        <v>4.1922443479562805E-3</v>
      </c>
      <c r="H109" s="75">
        <f t="shared" si="233"/>
        <v>1.1338962605548853E-2</v>
      </c>
      <c r="I109" s="47">
        <f t="shared" si="233"/>
        <v>1.0335232542732211E-2</v>
      </c>
      <c r="J109" s="49">
        <f>+I109</f>
        <v>1.0335232542732211E-2</v>
      </c>
      <c r="K109" s="49">
        <f t="shared" ref="K109:N109" si="234">+J109</f>
        <v>1.0335232542732211E-2</v>
      </c>
      <c r="L109" s="49">
        <f t="shared" si="234"/>
        <v>1.0335232542732211E-2</v>
      </c>
      <c r="M109" s="49">
        <f t="shared" si="234"/>
        <v>1.0335232542732211E-2</v>
      </c>
      <c r="N109" s="49">
        <f t="shared" si="234"/>
        <v>1.0335232542732211E-2</v>
      </c>
    </row>
    <row r="110" spans="1:14">
      <c r="A110" s="9" t="s">
        <v>141</v>
      </c>
      <c r="B110" s="9">
        <v>254</v>
      </c>
      <c r="C110" s="9">
        <v>234</v>
      </c>
      <c r="D110" s="9">
        <v>225</v>
      </c>
      <c r="E110" s="9">
        <v>256</v>
      </c>
      <c r="F110" s="9">
        <v>237</v>
      </c>
      <c r="G110" s="79">
        <v>214</v>
      </c>
      <c r="H110" s="79">
        <v>288</v>
      </c>
      <c r="I110" s="9">
        <v>303</v>
      </c>
      <c r="J110" s="48">
        <f>+J83*J112</f>
        <v>316.90218762422154</v>
      </c>
      <c r="K110" s="48">
        <f t="shared" ref="K110:N110" si="235">+K83*K112</f>
        <v>331.59572838213859</v>
      </c>
      <c r="L110" s="48">
        <f t="shared" si="235"/>
        <v>347.12767568053539</v>
      </c>
      <c r="M110" s="48">
        <f t="shared" si="235"/>
        <v>363.54790185279057</v>
      </c>
      <c r="N110" s="48">
        <f t="shared" si="235"/>
        <v>380.90926725169527</v>
      </c>
    </row>
    <row r="111" spans="1:14">
      <c r="A111" s="46" t="s">
        <v>129</v>
      </c>
      <c r="B111" s="47" t="str">
        <f t="shared" ref="B111:I111" si="236">+IFERROR(B110/A110-1,"nm")</f>
        <v>nm</v>
      </c>
      <c r="C111" s="47">
        <f t="shared" si="236"/>
        <v>-7.8740157480314932E-2</v>
      </c>
      <c r="D111" s="47">
        <f t="shared" si="236"/>
        <v>-3.8461538461538436E-2</v>
      </c>
      <c r="E111" s="47">
        <f t="shared" si="236"/>
        <v>0.13777777777777778</v>
      </c>
      <c r="F111" s="47">
        <f t="shared" si="236"/>
        <v>-7.421875E-2</v>
      </c>
      <c r="G111" s="75">
        <f t="shared" si="236"/>
        <v>-9.7046413502109741E-2</v>
      </c>
      <c r="H111" s="75">
        <f t="shared" si="236"/>
        <v>0.34579439252336441</v>
      </c>
      <c r="I111" s="47">
        <f t="shared" si="236"/>
        <v>5.2083333333333259E-2</v>
      </c>
      <c r="J111" s="47">
        <f>+J112+J113</f>
        <v>4.0148403339075128E-2</v>
      </c>
      <c r="K111" s="47">
        <f t="shared" ref="K111:N111" si="237">+K112+K113</f>
        <v>4.0148403339075128E-2</v>
      </c>
      <c r="L111" s="47">
        <f t="shared" si="237"/>
        <v>4.0148403339075128E-2</v>
      </c>
      <c r="M111" s="47">
        <f t="shared" si="237"/>
        <v>4.0148403339075128E-2</v>
      </c>
      <c r="N111" s="47">
        <f t="shared" si="237"/>
        <v>4.0148403339075128E-2</v>
      </c>
    </row>
    <row r="112" spans="1:14">
      <c r="A112" s="46" t="s">
        <v>133</v>
      </c>
      <c r="B112" s="47">
        <f>+IFERROR(B110/B$83,"nm")</f>
        <v>8.2817085099445714E-2</v>
      </c>
      <c r="C112" s="47">
        <f t="shared" ref="C112:I112" si="238">+IFERROR(C110/C$83,"nm")</f>
        <v>6.1822985468956405E-2</v>
      </c>
      <c r="D112" s="47">
        <f t="shared" si="238"/>
        <v>5.31036110455511E-2</v>
      </c>
      <c r="E112" s="47">
        <f t="shared" si="238"/>
        <v>4.9863654070899883E-2</v>
      </c>
      <c r="F112" s="47">
        <f t="shared" si="238"/>
        <v>3.817654639175258E-2</v>
      </c>
      <c r="G112" s="75">
        <f t="shared" si="238"/>
        <v>3.2040724659380147E-2</v>
      </c>
      <c r="H112" s="75">
        <f t="shared" si="238"/>
        <v>3.4740651387213509E-2</v>
      </c>
      <c r="I112" s="47">
        <f t="shared" si="238"/>
        <v>4.0148403339075128E-2</v>
      </c>
      <c r="J112" s="49">
        <f>+I112</f>
        <v>4.0148403339075128E-2</v>
      </c>
      <c r="K112" s="49">
        <f t="shared" ref="K112:N112" si="239">+J112</f>
        <v>4.0148403339075128E-2</v>
      </c>
      <c r="L112" s="49">
        <f t="shared" si="239"/>
        <v>4.0148403339075128E-2</v>
      </c>
      <c r="M112" s="49">
        <f t="shared" si="239"/>
        <v>4.0148403339075128E-2</v>
      </c>
      <c r="N112" s="49">
        <f t="shared" si="239"/>
        <v>4.0148403339075128E-2</v>
      </c>
    </row>
    <row r="113" spans="1:14">
      <c r="A113" s="43" t="s">
        <v>106</v>
      </c>
      <c r="B113" s="43"/>
      <c r="C113" s="43"/>
      <c r="D113" s="43"/>
      <c r="E113" s="43"/>
      <c r="F113" s="43"/>
      <c r="G113" s="81"/>
      <c r="H113" s="81"/>
      <c r="I113" s="43"/>
      <c r="J113" s="39"/>
      <c r="K113" s="39"/>
      <c r="L113" s="39"/>
      <c r="M113" s="39"/>
      <c r="N113" s="39"/>
    </row>
    <row r="114" spans="1:14">
      <c r="A114" s="9" t="s">
        <v>136</v>
      </c>
      <c r="B114" s="9">
        <v>4653</v>
      </c>
      <c r="C114" s="9">
        <v>4570</v>
      </c>
      <c r="D114" s="9">
        <v>4737</v>
      </c>
      <c r="E114" s="9">
        <v>5166</v>
      </c>
      <c r="F114" s="9">
        <v>5254</v>
      </c>
      <c r="G114" s="79">
        <v>5028</v>
      </c>
      <c r="H114" s="79">
        <v>5343</v>
      </c>
      <c r="I114" s="9">
        <v>5955</v>
      </c>
      <c r="J114" s="9">
        <f>+SUM(J116+J120+J124)</f>
        <v>7270.7849999999989</v>
      </c>
      <c r="K114" s="9">
        <f t="shared" ref="K114:N114" si="240">+SUM(K116+K120+K124)</f>
        <v>8931.8822249999976</v>
      </c>
      <c r="L114" s="9">
        <f t="shared" si="240"/>
        <v>11034.370946624998</v>
      </c>
      <c r="M114" s="9">
        <f t="shared" si="240"/>
        <v>13701.527102975624</v>
      </c>
      <c r="N114" s="9">
        <f t="shared" si="240"/>
        <v>17091.559321878358</v>
      </c>
    </row>
    <row r="115" spans="1:14">
      <c r="A115" s="44" t="s">
        <v>129</v>
      </c>
      <c r="B115" s="47" t="str">
        <f t="shared" ref="B115:H115" si="241">+IFERROR(B114/A114-1,"nm")</f>
        <v>nm</v>
      </c>
      <c r="C115" s="47">
        <f t="shared" si="241"/>
        <v>-1.783795400816679E-2</v>
      </c>
      <c r="D115" s="47">
        <f t="shared" si="241"/>
        <v>3.6542669584245013E-2</v>
      </c>
      <c r="E115" s="47">
        <f t="shared" si="241"/>
        <v>9.0563647878403986E-2</v>
      </c>
      <c r="F115" s="47">
        <f t="shared" si="241"/>
        <v>1.7034456058846237E-2</v>
      </c>
      <c r="G115" s="75">
        <f t="shared" si="241"/>
        <v>-4.3014845831747195E-2</v>
      </c>
      <c r="H115" s="75">
        <f t="shared" si="241"/>
        <v>6.2649164677804237E-2</v>
      </c>
      <c r="I115" s="47">
        <f>+IFERROR(I114/H114-1,"nm")</f>
        <v>0.11454239191465465</v>
      </c>
      <c r="J115" s="47">
        <f>+IFERROR(J114/I114-1,"nm")</f>
        <v>0.22095465994962193</v>
      </c>
      <c r="K115" s="47">
        <f t="shared" ref="K115:N115" si="242">+IFERROR(K114/J114-1,"nm")</f>
        <v>0.22846188203887174</v>
      </c>
      <c r="L115" s="47">
        <f t="shared" si="242"/>
        <v>0.23539145150618035</v>
      </c>
      <c r="M115" s="47">
        <f t="shared" si="242"/>
        <v>0.2417134759427686</v>
      </c>
      <c r="N115" s="47">
        <f t="shared" si="242"/>
        <v>0.24742002795925599</v>
      </c>
    </row>
    <row r="116" spans="1:14">
      <c r="A116" s="45" t="s">
        <v>113</v>
      </c>
      <c r="B116" s="3">
        <v>3093</v>
      </c>
      <c r="C116" s="3">
        <v>3106</v>
      </c>
      <c r="D116" s="3">
        <v>3285</v>
      </c>
      <c r="E116" s="3">
        <v>3575</v>
      </c>
      <c r="F116" s="3">
        <v>3622</v>
      </c>
      <c r="G116" s="67">
        <v>3449</v>
      </c>
      <c r="H116" s="67">
        <v>3659</v>
      </c>
      <c r="I116" s="3">
        <v>4111</v>
      </c>
      <c r="J116" s="3">
        <f>+I116*(1+J117)</f>
        <v>5282.6349999999993</v>
      </c>
      <c r="K116" s="3">
        <f t="shared" ref="K116:N116" si="243">+J116*(1+K117)</f>
        <v>6788.1859749999985</v>
      </c>
      <c r="L116" s="3">
        <f t="shared" si="243"/>
        <v>8722.8189778749984</v>
      </c>
      <c r="M116" s="3">
        <f t="shared" si="243"/>
        <v>11208.822386569373</v>
      </c>
      <c r="N116" s="3">
        <f t="shared" si="243"/>
        <v>14403.336766741642</v>
      </c>
    </row>
    <row r="117" spans="1:14">
      <c r="A117" s="44" t="s">
        <v>129</v>
      </c>
      <c r="B117" s="47" t="str">
        <f t="shared" ref="B117:I117" si="244">+IFERROR(B116/A116-1,"nm")</f>
        <v>nm</v>
      </c>
      <c r="C117" s="47">
        <f t="shared" si="244"/>
        <v>4.2030391205949424E-3</v>
      </c>
      <c r="D117" s="47">
        <f t="shared" si="244"/>
        <v>5.7630392788152074E-2</v>
      </c>
      <c r="E117" s="47">
        <f t="shared" si="244"/>
        <v>8.8280060882800715E-2</v>
      </c>
      <c r="F117" s="47">
        <f t="shared" si="244"/>
        <v>1.3146853146853044E-2</v>
      </c>
      <c r="G117" s="75">
        <f t="shared" si="244"/>
        <v>-4.7763666482606326E-2</v>
      </c>
      <c r="H117" s="75">
        <f t="shared" si="244"/>
        <v>6.0887213685126174E-2</v>
      </c>
      <c r="I117" s="47">
        <f t="shared" si="244"/>
        <v>0.12353101940420874</v>
      </c>
      <c r="J117" s="47">
        <f>+J118+J119</f>
        <v>0.28499999999999998</v>
      </c>
      <c r="K117" s="47">
        <f t="shared" ref="K117:N117" si="245">+K118+K119</f>
        <v>0.28499999999999998</v>
      </c>
      <c r="L117" s="47">
        <f t="shared" si="245"/>
        <v>0.28499999999999998</v>
      </c>
      <c r="M117" s="47">
        <f t="shared" si="245"/>
        <v>0.28499999999999998</v>
      </c>
      <c r="N117" s="47">
        <f t="shared" si="245"/>
        <v>0.28499999999999998</v>
      </c>
    </row>
    <row r="118" spans="1:14">
      <c r="A118" s="44" t="s">
        <v>137</v>
      </c>
      <c r="B118" s="47">
        <v>0.32</v>
      </c>
      <c r="C118" s="47">
        <v>0.48</v>
      </c>
      <c r="D118" s="47">
        <v>0.24</v>
      </c>
      <c r="E118" s="47">
        <v>0.09</v>
      </c>
      <c r="F118" s="47">
        <v>0.12</v>
      </c>
      <c r="G118" s="75">
        <v>0</v>
      </c>
      <c r="H118" s="75">
        <v>0.08</v>
      </c>
      <c r="I118" s="47">
        <v>0.17</v>
      </c>
      <c r="J118" s="49">
        <f>(C118+E118)/2</f>
        <v>0.28499999999999998</v>
      </c>
      <c r="K118" s="49">
        <f>+J118</f>
        <v>0.28499999999999998</v>
      </c>
      <c r="L118" s="49">
        <f t="shared" ref="L118:N119" si="246">+K118</f>
        <v>0.28499999999999998</v>
      </c>
      <c r="M118" s="49">
        <f t="shared" si="246"/>
        <v>0.28499999999999998</v>
      </c>
      <c r="N118" s="49">
        <f t="shared" si="246"/>
        <v>0.28499999999999998</v>
      </c>
    </row>
    <row r="119" spans="1:14">
      <c r="A119" s="44" t="s">
        <v>138</v>
      </c>
      <c r="B119" s="47" t="str">
        <f t="shared" ref="B119:I119" si="247">+IFERROR(B117-B118,"nm")</f>
        <v>nm</v>
      </c>
      <c r="C119" s="47">
        <f t="shared" si="247"/>
        <v>-0.47579696087940504</v>
      </c>
      <c r="D119" s="47">
        <f t="shared" si="247"/>
        <v>-0.18236960721184792</v>
      </c>
      <c r="E119" s="47">
        <f t="shared" si="247"/>
        <v>-1.7199391171992817E-3</v>
      </c>
      <c r="F119" s="47">
        <f t="shared" si="247"/>
        <v>-0.10685314685314695</v>
      </c>
      <c r="G119" s="75">
        <f t="shared" si="247"/>
        <v>-4.7763666482606326E-2</v>
      </c>
      <c r="H119" s="75">
        <f t="shared" si="247"/>
        <v>-1.9112786314873828E-2</v>
      </c>
      <c r="I119" s="47">
        <f t="shared" si="247"/>
        <v>-4.646898059579127E-2</v>
      </c>
      <c r="J119" s="49">
        <v>0</v>
      </c>
      <c r="K119" s="49">
        <f>+J119</f>
        <v>0</v>
      </c>
      <c r="L119" s="49">
        <f t="shared" si="246"/>
        <v>0</v>
      </c>
      <c r="M119" s="49">
        <f t="shared" si="246"/>
        <v>0</v>
      </c>
      <c r="N119" s="49">
        <f t="shared" si="246"/>
        <v>0</v>
      </c>
    </row>
    <row r="120" spans="1:14">
      <c r="A120" s="45" t="s">
        <v>114</v>
      </c>
      <c r="B120" s="3">
        <v>1251</v>
      </c>
      <c r="C120" s="3">
        <v>1175</v>
      </c>
      <c r="D120" s="3">
        <v>1185</v>
      </c>
      <c r="E120" s="3">
        <v>1347</v>
      </c>
      <c r="F120" s="3">
        <v>1395</v>
      </c>
      <c r="G120" s="67">
        <v>1365</v>
      </c>
      <c r="H120" s="67">
        <v>1494</v>
      </c>
      <c r="I120" s="3">
        <v>1610</v>
      </c>
      <c r="J120" s="3">
        <f>+I120*(1+J121)</f>
        <v>1730.75</v>
      </c>
      <c r="K120" s="3">
        <f t="shared" ref="K120:N120" si="248">+J120*(1+K121)</f>
        <v>1860.5562499999999</v>
      </c>
      <c r="L120" s="3">
        <f t="shared" si="248"/>
        <v>2000.0979687499998</v>
      </c>
      <c r="M120" s="3">
        <f t="shared" si="248"/>
        <v>2150.1053164062496</v>
      </c>
      <c r="N120" s="3">
        <f t="shared" si="248"/>
        <v>2311.3632151367183</v>
      </c>
    </row>
    <row r="121" spans="1:14">
      <c r="A121" s="44" t="s">
        <v>129</v>
      </c>
      <c r="B121" s="47" t="str">
        <f t="shared" ref="B121:I121" si="249">+IFERROR(B120/A120-1,"nm")</f>
        <v>nm</v>
      </c>
      <c r="C121" s="47">
        <f t="shared" si="249"/>
        <v>-6.0751398880895313E-2</v>
      </c>
      <c r="D121" s="47">
        <f t="shared" si="249"/>
        <v>8.5106382978723527E-3</v>
      </c>
      <c r="E121" s="47">
        <f t="shared" si="249"/>
        <v>0.13670886075949373</v>
      </c>
      <c r="F121" s="47">
        <f t="shared" si="249"/>
        <v>3.563474387527843E-2</v>
      </c>
      <c r="G121" s="75">
        <f t="shared" si="249"/>
        <v>-2.1505376344086002E-2</v>
      </c>
      <c r="H121" s="75">
        <f t="shared" si="249"/>
        <v>9.4505494505494614E-2</v>
      </c>
      <c r="I121" s="47">
        <f t="shared" si="249"/>
        <v>7.7643908969210251E-2</v>
      </c>
      <c r="J121" s="47">
        <f>+J122+J123</f>
        <v>7.4999999999999997E-2</v>
      </c>
      <c r="K121" s="47">
        <f t="shared" ref="K121:N121" si="250">+K122+K123</f>
        <v>7.4999999999999997E-2</v>
      </c>
      <c r="L121" s="47">
        <f t="shared" si="250"/>
        <v>7.4999999999999997E-2</v>
      </c>
      <c r="M121" s="47">
        <f t="shared" si="250"/>
        <v>7.4999999999999997E-2</v>
      </c>
      <c r="N121" s="47">
        <f t="shared" si="250"/>
        <v>7.4999999999999997E-2</v>
      </c>
    </row>
    <row r="122" spans="1:14">
      <c r="A122" s="44" t="s">
        <v>137</v>
      </c>
      <c r="B122" s="47">
        <v>-0.03</v>
      </c>
      <c r="C122" s="47">
        <v>0.16</v>
      </c>
      <c r="D122" s="47">
        <v>0.18</v>
      </c>
      <c r="E122" s="47">
        <v>0.15</v>
      </c>
      <c r="F122" s="47">
        <v>0.15</v>
      </c>
      <c r="G122" s="75">
        <v>0.02</v>
      </c>
      <c r="H122" s="75">
        <v>0.1</v>
      </c>
      <c r="I122" s="47">
        <v>0.12</v>
      </c>
      <c r="J122" s="49">
        <f>(D122+B122)/2</f>
        <v>7.4999999999999997E-2</v>
      </c>
      <c r="K122" s="49">
        <f>+J122</f>
        <v>7.4999999999999997E-2</v>
      </c>
      <c r="L122" s="49">
        <f t="shared" ref="L122:N123" si="251">+K122</f>
        <v>7.4999999999999997E-2</v>
      </c>
      <c r="M122" s="49">
        <f t="shared" si="251"/>
        <v>7.4999999999999997E-2</v>
      </c>
      <c r="N122" s="49">
        <f t="shared" si="251"/>
        <v>7.4999999999999997E-2</v>
      </c>
    </row>
    <row r="123" spans="1:14">
      <c r="A123" s="44" t="s">
        <v>138</v>
      </c>
      <c r="B123" s="47" t="str">
        <f t="shared" ref="B123:I123" si="252">+IFERROR(B121-B122,"nm")</f>
        <v>nm</v>
      </c>
      <c r="C123" s="47">
        <f t="shared" si="252"/>
        <v>-0.22075139888089532</v>
      </c>
      <c r="D123" s="47">
        <f t="shared" si="252"/>
        <v>-0.17148936170212764</v>
      </c>
      <c r="E123" s="47">
        <f t="shared" si="252"/>
        <v>-1.3291139240506261E-2</v>
      </c>
      <c r="F123" s="47">
        <f t="shared" si="252"/>
        <v>-0.11436525612472156</v>
      </c>
      <c r="G123" s="75">
        <f t="shared" si="252"/>
        <v>-4.1505376344086006E-2</v>
      </c>
      <c r="H123" s="75">
        <f t="shared" si="252"/>
        <v>-5.4945054945053917E-3</v>
      </c>
      <c r="I123" s="47">
        <f t="shared" si="252"/>
        <v>-4.2356091030789744E-2</v>
      </c>
      <c r="J123" s="49">
        <v>0</v>
      </c>
      <c r="K123" s="49">
        <f>+J123</f>
        <v>0</v>
      </c>
      <c r="L123" s="49">
        <f t="shared" si="251"/>
        <v>0</v>
      </c>
      <c r="M123" s="49">
        <f t="shared" si="251"/>
        <v>0</v>
      </c>
      <c r="N123" s="49">
        <f t="shared" si="251"/>
        <v>0</v>
      </c>
    </row>
    <row r="124" spans="1:14">
      <c r="A124" s="45" t="s">
        <v>115</v>
      </c>
      <c r="B124" s="3">
        <v>309</v>
      </c>
      <c r="C124" s="3">
        <v>289</v>
      </c>
      <c r="D124" s="3">
        <v>267</v>
      </c>
      <c r="E124" s="3">
        <v>244</v>
      </c>
      <c r="F124" s="3">
        <v>237</v>
      </c>
      <c r="G124" s="67">
        <v>214</v>
      </c>
      <c r="H124" s="67">
        <v>190</v>
      </c>
      <c r="I124" s="3">
        <v>234</v>
      </c>
      <c r="J124" s="3">
        <f>+I124*(1+J125)</f>
        <v>257.40000000000003</v>
      </c>
      <c r="K124" s="3">
        <f t="shared" ref="K124:N124" si="253">+J124*(1+K125)</f>
        <v>283.14000000000004</v>
      </c>
      <c r="L124" s="3">
        <f t="shared" si="253"/>
        <v>311.45400000000006</v>
      </c>
      <c r="M124" s="3">
        <f t="shared" si="253"/>
        <v>342.59940000000012</v>
      </c>
      <c r="N124" s="3">
        <f t="shared" si="253"/>
        <v>376.85934000000015</v>
      </c>
    </row>
    <row r="125" spans="1:14">
      <c r="A125" s="44" t="s">
        <v>129</v>
      </c>
      <c r="B125" s="47" t="str">
        <f t="shared" ref="B125:I125" si="254">+IFERROR(B124/A124-1,"nm")</f>
        <v>nm</v>
      </c>
      <c r="C125" s="47">
        <f t="shared" si="254"/>
        <v>-6.4724919093851141E-2</v>
      </c>
      <c r="D125" s="47">
        <f t="shared" si="254"/>
        <v>-7.6124567474048388E-2</v>
      </c>
      <c r="E125" s="47">
        <f t="shared" si="254"/>
        <v>-8.6142322097378266E-2</v>
      </c>
      <c r="F125" s="47">
        <f t="shared" si="254"/>
        <v>-2.8688524590163911E-2</v>
      </c>
      <c r="G125" s="75">
        <f t="shared" si="254"/>
        <v>-9.7046413502109741E-2</v>
      </c>
      <c r="H125" s="75">
        <f t="shared" si="254"/>
        <v>-0.11214953271028039</v>
      </c>
      <c r="I125" s="47">
        <f t="shared" si="254"/>
        <v>0.23157894736842111</v>
      </c>
      <c r="J125" s="47">
        <f>+J126+J127</f>
        <v>0.1</v>
      </c>
      <c r="K125" s="47">
        <f t="shared" ref="K125:N125" si="255">+K126+K127</f>
        <v>0.1</v>
      </c>
      <c r="L125" s="47">
        <f t="shared" si="255"/>
        <v>0.1</v>
      </c>
      <c r="M125" s="47">
        <f t="shared" si="255"/>
        <v>0.1</v>
      </c>
      <c r="N125" s="47">
        <f t="shared" si="255"/>
        <v>0.1</v>
      </c>
    </row>
    <row r="126" spans="1:14">
      <c r="A126" s="44" t="s">
        <v>137</v>
      </c>
      <c r="B126" s="47">
        <v>-0.01</v>
      </c>
      <c r="C126" s="47">
        <v>0.14000000000000001</v>
      </c>
      <c r="D126" s="47">
        <v>-0.04</v>
      </c>
      <c r="E126" s="47">
        <v>-0.08</v>
      </c>
      <c r="F126" s="47">
        <v>0.08</v>
      </c>
      <c r="G126" s="75">
        <v>-0.04</v>
      </c>
      <c r="H126" s="75">
        <v>-0.09</v>
      </c>
      <c r="I126" s="47">
        <v>0.28000000000000003</v>
      </c>
      <c r="J126" s="49">
        <f>(I126+E126)/2</f>
        <v>0.1</v>
      </c>
      <c r="K126" s="49">
        <f>+J126</f>
        <v>0.1</v>
      </c>
      <c r="L126" s="49">
        <f t="shared" ref="L126:N127" si="256">+K126</f>
        <v>0.1</v>
      </c>
      <c r="M126" s="49">
        <f t="shared" si="256"/>
        <v>0.1</v>
      </c>
      <c r="N126" s="49">
        <f t="shared" si="256"/>
        <v>0.1</v>
      </c>
    </row>
    <row r="127" spans="1:14">
      <c r="A127" s="44" t="s">
        <v>138</v>
      </c>
      <c r="B127" s="47" t="str">
        <f t="shared" ref="B127:I127" si="257">+IFERROR(B125-B126,"nm")</f>
        <v>nm</v>
      </c>
      <c r="C127" s="47">
        <f t="shared" si="257"/>
        <v>-0.20472491909385115</v>
      </c>
      <c r="D127" s="47">
        <f t="shared" si="257"/>
        <v>-3.6124567474048387E-2</v>
      </c>
      <c r="E127" s="47">
        <f t="shared" si="257"/>
        <v>-6.1423220973782638E-3</v>
      </c>
      <c r="F127" s="47">
        <f t="shared" si="257"/>
        <v>-0.10868852459016391</v>
      </c>
      <c r="G127" s="75">
        <f t="shared" si="257"/>
        <v>-5.704641350210974E-2</v>
      </c>
      <c r="H127" s="75">
        <f t="shared" si="257"/>
        <v>-2.214953271028039E-2</v>
      </c>
      <c r="I127" s="47">
        <f t="shared" si="257"/>
        <v>-4.842105263157892E-2</v>
      </c>
      <c r="J127" s="49">
        <v>0</v>
      </c>
      <c r="K127" s="49">
        <f>+J127</f>
        <v>0</v>
      </c>
      <c r="L127" s="49">
        <f t="shared" si="256"/>
        <v>0</v>
      </c>
      <c r="M127" s="49">
        <f t="shared" si="256"/>
        <v>0</v>
      </c>
      <c r="N127" s="49">
        <f t="shared" si="256"/>
        <v>0</v>
      </c>
    </row>
    <row r="128" spans="1:14">
      <c r="A128" s="9" t="s">
        <v>130</v>
      </c>
      <c r="B128" s="48">
        <f>B135+B131</f>
        <v>967</v>
      </c>
      <c r="C128" s="48">
        <f t="shared" ref="C128:I128" si="258">C135+C131</f>
        <v>1045</v>
      </c>
      <c r="D128" s="48">
        <f t="shared" si="258"/>
        <v>1036</v>
      </c>
      <c r="E128" s="48">
        <f t="shared" si="258"/>
        <v>1244</v>
      </c>
      <c r="F128" s="48">
        <f t="shared" si="258"/>
        <v>1376</v>
      </c>
      <c r="G128" s="80">
        <f t="shared" si="258"/>
        <v>1230</v>
      </c>
      <c r="H128" s="80">
        <f t="shared" si="258"/>
        <v>1573</v>
      </c>
      <c r="I128" s="48">
        <f t="shared" si="258"/>
        <v>1938</v>
      </c>
      <c r="J128" s="48">
        <f>+J114*J130</f>
        <v>2366.2101309823674</v>
      </c>
      <c r="K128" s="48">
        <f t="shared" ref="K128:N128" si="259">+K114*K130</f>
        <v>2906.7989508060446</v>
      </c>
      <c r="L128" s="48">
        <f t="shared" si="259"/>
        <v>3591.0345750729211</v>
      </c>
      <c r="M128" s="48">
        <f t="shared" si="259"/>
        <v>4459.0360244444601</v>
      </c>
      <c r="N128" s="48">
        <f t="shared" si="259"/>
        <v>5562.2908422838382</v>
      </c>
    </row>
    <row r="129" spans="1:14">
      <c r="A129" s="46" t="s">
        <v>129</v>
      </c>
      <c r="B129" s="47" t="str">
        <f t="shared" ref="B129:N129" si="260">+IFERROR(B128/A128-1,"nm")</f>
        <v>nm</v>
      </c>
      <c r="C129" s="47">
        <f t="shared" si="260"/>
        <v>8.0661840744570945E-2</v>
      </c>
      <c r="D129" s="47">
        <f t="shared" si="260"/>
        <v>-8.6124401913875159E-3</v>
      </c>
      <c r="E129" s="47">
        <f t="shared" si="260"/>
        <v>0.20077220077220082</v>
      </c>
      <c r="F129" s="47">
        <f t="shared" si="260"/>
        <v>0.10610932475884249</v>
      </c>
      <c r="G129" s="75">
        <f t="shared" si="260"/>
        <v>-0.10610465116279066</v>
      </c>
      <c r="H129" s="75">
        <f t="shared" si="260"/>
        <v>0.27886178861788613</v>
      </c>
      <c r="I129" s="47">
        <f t="shared" si="260"/>
        <v>0.23204068658614108</v>
      </c>
      <c r="J129" s="47">
        <f t="shared" si="260"/>
        <v>0.22095465994962193</v>
      </c>
      <c r="K129" s="47">
        <f t="shared" si="260"/>
        <v>0.22846188203887174</v>
      </c>
      <c r="L129" s="47">
        <f t="shared" si="260"/>
        <v>0.23539145150618013</v>
      </c>
      <c r="M129" s="47">
        <f t="shared" si="260"/>
        <v>0.2417134759427686</v>
      </c>
      <c r="N129" s="47">
        <f t="shared" si="260"/>
        <v>0.24742002795925599</v>
      </c>
    </row>
    <row r="130" spans="1:14">
      <c r="A130" s="46" t="s">
        <v>131</v>
      </c>
      <c r="B130" s="82">
        <f>+IFERROR(B128/B$114,"nm")</f>
        <v>0.20782290995056951</v>
      </c>
      <c r="C130" s="82">
        <f t="shared" ref="C130:I130" si="261">+IFERROR(C128/C$114,"nm")</f>
        <v>0.2286652078774617</v>
      </c>
      <c r="D130" s="82">
        <f t="shared" si="261"/>
        <v>0.218703820983745</v>
      </c>
      <c r="E130" s="82">
        <f t="shared" si="261"/>
        <v>0.2408052651955091</v>
      </c>
      <c r="F130" s="82">
        <f t="shared" si="261"/>
        <v>0.26189569851541683</v>
      </c>
      <c r="G130" s="83">
        <f t="shared" si="261"/>
        <v>0.24463007159904535</v>
      </c>
      <c r="H130" s="83">
        <f t="shared" si="261"/>
        <v>0.2944038929440389</v>
      </c>
      <c r="I130" s="82">
        <f t="shared" si="261"/>
        <v>0.32544080604534004</v>
      </c>
      <c r="J130" s="49">
        <f>+I130</f>
        <v>0.32544080604534004</v>
      </c>
      <c r="K130" s="49">
        <f t="shared" ref="K130:N130" si="262">+J130</f>
        <v>0.32544080604534004</v>
      </c>
      <c r="L130" s="49">
        <f t="shared" si="262"/>
        <v>0.32544080604534004</v>
      </c>
      <c r="M130" s="49">
        <f t="shared" si="262"/>
        <v>0.32544080604534004</v>
      </c>
      <c r="N130" s="49">
        <f t="shared" si="262"/>
        <v>0.32544080604534004</v>
      </c>
    </row>
    <row r="131" spans="1:14">
      <c r="A131" s="9" t="s">
        <v>132</v>
      </c>
      <c r="B131" s="9">
        <v>49</v>
      </c>
      <c r="C131" s="9">
        <v>43</v>
      </c>
      <c r="D131" s="9">
        <v>56</v>
      </c>
      <c r="E131" s="9">
        <v>55</v>
      </c>
      <c r="F131" s="9">
        <v>53</v>
      </c>
      <c r="G131" s="79">
        <v>46</v>
      </c>
      <c r="H131" s="79">
        <v>43</v>
      </c>
      <c r="I131" s="9">
        <v>42</v>
      </c>
      <c r="J131" s="48">
        <f>+J134*J141</f>
        <v>51.28009571788413</v>
      </c>
      <c r="K131" s="48">
        <f t="shared" ref="K131:N131" si="263">+K134*K141</f>
        <v>62.995642896725428</v>
      </c>
      <c r="L131" s="48">
        <f t="shared" si="263"/>
        <v>77.824278716750626</v>
      </c>
      <c r="M131" s="48">
        <f t="shared" si="263"/>
        <v>96.635455638115246</v>
      </c>
      <c r="N131" s="48">
        <f t="shared" si="263"/>
        <v>120.54500277395316</v>
      </c>
    </row>
    <row r="132" spans="1:14">
      <c r="A132" s="46" t="s">
        <v>129</v>
      </c>
      <c r="B132" s="47" t="str">
        <f t="shared" ref="B132:N132" si="264">+IFERROR(B131/A131-1,"nm")</f>
        <v>nm</v>
      </c>
      <c r="C132" s="47">
        <f t="shared" si="264"/>
        <v>-0.12244897959183676</v>
      </c>
      <c r="D132" s="47">
        <f t="shared" si="264"/>
        <v>0.30232558139534893</v>
      </c>
      <c r="E132" s="47">
        <f t="shared" si="264"/>
        <v>-1.7857142857142905E-2</v>
      </c>
      <c r="F132" s="47">
        <f t="shared" si="264"/>
        <v>-3.6363636363636376E-2</v>
      </c>
      <c r="G132" s="75">
        <f t="shared" si="264"/>
        <v>-0.13207547169811318</v>
      </c>
      <c r="H132" s="75">
        <f t="shared" si="264"/>
        <v>-6.5217391304347783E-2</v>
      </c>
      <c r="I132" s="47">
        <f t="shared" si="264"/>
        <v>-2.3255813953488413E-2</v>
      </c>
      <c r="J132" s="47">
        <f t="shared" si="264"/>
        <v>0.22095465994962216</v>
      </c>
      <c r="K132" s="47">
        <f t="shared" si="264"/>
        <v>0.22846188203887174</v>
      </c>
      <c r="L132" s="47">
        <f t="shared" si="264"/>
        <v>0.23539145150618035</v>
      </c>
      <c r="M132" s="47">
        <f t="shared" si="264"/>
        <v>0.2417134759427686</v>
      </c>
      <c r="N132" s="47">
        <f t="shared" si="264"/>
        <v>0.24742002795925599</v>
      </c>
    </row>
    <row r="133" spans="1:14">
      <c r="A133" s="46" t="s">
        <v>133</v>
      </c>
      <c r="B133" s="47">
        <f>+IFERROR(B131/B$114,"nm")</f>
        <v>1.053084031807436E-2</v>
      </c>
      <c r="C133" s="47">
        <f t="shared" ref="C133:I133" si="265">+IFERROR(C131/C$114,"nm")</f>
        <v>9.4091903719912464E-3</v>
      </c>
      <c r="D133" s="47">
        <f t="shared" si="265"/>
        <v>1.1821828161283512E-2</v>
      </c>
      <c r="E133" s="47">
        <f t="shared" si="265"/>
        <v>1.064653503677894E-2</v>
      </c>
      <c r="F133" s="47">
        <f t="shared" si="265"/>
        <v>1.0087552341073468E-2</v>
      </c>
      <c r="G133" s="75">
        <f t="shared" si="265"/>
        <v>9.148766905330152E-3</v>
      </c>
      <c r="H133" s="75">
        <f t="shared" si="265"/>
        <v>8.0479131574022079E-3</v>
      </c>
      <c r="I133" s="47">
        <f t="shared" si="265"/>
        <v>7.0528967254408059E-3</v>
      </c>
      <c r="J133" s="47">
        <f t="shared" ref="J133:N133" si="266">+IFERROR(J131/J$21,"nm")</f>
        <v>2.5337092246945341E-3</v>
      </c>
      <c r="K133" s="47">
        <f t="shared" si="266"/>
        <v>2.8219139775763013E-3</v>
      </c>
      <c r="L133" s="47">
        <f t="shared" si="266"/>
        <v>3.159977165008934E-3</v>
      </c>
      <c r="M133" s="47">
        <f t="shared" si="266"/>
        <v>3.5559132318297832E-3</v>
      </c>
      <c r="N133" s="47">
        <f t="shared" si="266"/>
        <v>4.0190173916825845E-3</v>
      </c>
    </row>
    <row r="134" spans="1:14">
      <c r="A134" s="46" t="s">
        <v>140</v>
      </c>
      <c r="B134" s="47">
        <f t="shared" ref="B134:I134" si="267">+IFERROR(B131/B141,"nm")</f>
        <v>0.15909090909090909</v>
      </c>
      <c r="C134" s="47">
        <f t="shared" si="267"/>
        <v>0.12951807228915663</v>
      </c>
      <c r="D134" s="47">
        <f t="shared" si="267"/>
        <v>0.16326530612244897</v>
      </c>
      <c r="E134" s="47">
        <f t="shared" si="267"/>
        <v>0.16224188790560473</v>
      </c>
      <c r="F134" s="47">
        <f t="shared" si="267"/>
        <v>0.16257668711656442</v>
      </c>
      <c r="G134" s="75">
        <f t="shared" si="267"/>
        <v>0.1554054054054054</v>
      </c>
      <c r="H134" s="75">
        <f t="shared" si="267"/>
        <v>0.14144736842105263</v>
      </c>
      <c r="I134" s="47">
        <f t="shared" si="267"/>
        <v>0.15328467153284672</v>
      </c>
      <c r="J134" s="49">
        <f>+I134</f>
        <v>0.15328467153284672</v>
      </c>
      <c r="K134" s="49">
        <f t="shared" ref="K134:N134" si="268">+J134</f>
        <v>0.15328467153284672</v>
      </c>
      <c r="L134" s="49">
        <f t="shared" si="268"/>
        <v>0.15328467153284672</v>
      </c>
      <c r="M134" s="49">
        <f t="shared" si="268"/>
        <v>0.15328467153284672</v>
      </c>
      <c r="N134" s="49">
        <f t="shared" si="268"/>
        <v>0.15328467153284672</v>
      </c>
    </row>
    <row r="135" spans="1:14">
      <c r="A135" s="9" t="s">
        <v>134</v>
      </c>
      <c r="B135" s="9">
        <v>918</v>
      </c>
      <c r="C135" s="9">
        <v>1002</v>
      </c>
      <c r="D135" s="9">
        <v>980</v>
      </c>
      <c r="E135" s="9">
        <v>1189</v>
      </c>
      <c r="F135" s="9">
        <v>1323</v>
      </c>
      <c r="G135" s="79">
        <v>1184</v>
      </c>
      <c r="H135" s="79">
        <v>1530</v>
      </c>
      <c r="I135" s="9">
        <v>1896</v>
      </c>
      <c r="J135" s="9">
        <f>+J128-J131</f>
        <v>2314.9300352644832</v>
      </c>
      <c r="K135" s="9">
        <f t="shared" ref="K135:N135" si="269">+K128-K131</f>
        <v>2843.8033079093193</v>
      </c>
      <c r="L135" s="9">
        <f t="shared" si="269"/>
        <v>3513.2102963561706</v>
      </c>
      <c r="M135" s="9">
        <f t="shared" si="269"/>
        <v>4362.4005688063444</v>
      </c>
      <c r="N135" s="9">
        <f t="shared" si="269"/>
        <v>5441.7458395098847</v>
      </c>
    </row>
    <row r="136" spans="1:14">
      <c r="A136" s="46" t="s">
        <v>129</v>
      </c>
      <c r="B136" s="47" t="str">
        <f t="shared" ref="B136:N136" si="270">+IFERROR(B135/A135-1,"nm")</f>
        <v>nm</v>
      </c>
      <c r="C136" s="47">
        <f t="shared" si="270"/>
        <v>9.1503267973856106E-2</v>
      </c>
      <c r="D136" s="47">
        <f t="shared" si="270"/>
        <v>-2.1956087824351322E-2</v>
      </c>
      <c r="E136" s="47">
        <f t="shared" si="270"/>
        <v>0.21326530612244898</v>
      </c>
      <c r="F136" s="47">
        <f t="shared" si="270"/>
        <v>0.11269974768713209</v>
      </c>
      <c r="G136" s="75">
        <f t="shared" si="270"/>
        <v>-0.1050642479213908</v>
      </c>
      <c r="H136" s="75">
        <f t="shared" si="270"/>
        <v>0.29222972972972983</v>
      </c>
      <c r="I136" s="47">
        <f t="shared" si="270"/>
        <v>0.23921568627450984</v>
      </c>
      <c r="J136" s="47">
        <f t="shared" si="270"/>
        <v>0.22095465994962193</v>
      </c>
      <c r="K136" s="47">
        <f t="shared" si="270"/>
        <v>0.22846188203887197</v>
      </c>
      <c r="L136" s="47">
        <f t="shared" si="270"/>
        <v>0.23539145150618013</v>
      </c>
      <c r="M136" s="47">
        <f t="shared" si="270"/>
        <v>0.24171347594276837</v>
      </c>
      <c r="N136" s="47">
        <f t="shared" si="270"/>
        <v>0.24742002795925599</v>
      </c>
    </row>
    <row r="137" spans="1:14">
      <c r="A137" s="46" t="s">
        <v>131</v>
      </c>
      <c r="B137" s="47">
        <f>+IFERROR(B135/B$145,"nm")</f>
        <v>7.982608695652174</v>
      </c>
      <c r="C137" s="47">
        <f t="shared" ref="C137:I137" si="271">+IFERROR(C135/C$145,"nm")</f>
        <v>13.726027397260275</v>
      </c>
      <c r="D137" s="47">
        <f t="shared" si="271"/>
        <v>13.424657534246576</v>
      </c>
      <c r="E137" s="47">
        <f t="shared" si="271"/>
        <v>13.511363636363637</v>
      </c>
      <c r="F137" s="47">
        <f t="shared" si="271"/>
        <v>31.5</v>
      </c>
      <c r="G137" s="75">
        <f t="shared" si="271"/>
        <v>39.466666666666669</v>
      </c>
      <c r="H137" s="75">
        <f t="shared" si="271"/>
        <v>61.2</v>
      </c>
      <c r="I137" s="47">
        <f t="shared" si="271"/>
        <v>18.588235294117649</v>
      </c>
      <c r="J137" s="49">
        <f>+I137</f>
        <v>18.588235294117649</v>
      </c>
      <c r="K137" s="49">
        <f t="shared" ref="K137:N137" si="272">+J137</f>
        <v>18.588235294117649</v>
      </c>
      <c r="L137" s="49">
        <f t="shared" si="272"/>
        <v>18.588235294117649</v>
      </c>
      <c r="M137" s="49">
        <f t="shared" si="272"/>
        <v>18.588235294117649</v>
      </c>
      <c r="N137" s="49">
        <f t="shared" si="272"/>
        <v>18.588235294117649</v>
      </c>
    </row>
    <row r="138" spans="1:14">
      <c r="A138" s="9" t="s">
        <v>135</v>
      </c>
      <c r="B138" s="51">
        <v>52</v>
      </c>
      <c r="C138" s="51">
        <v>64</v>
      </c>
      <c r="D138" s="51">
        <v>60</v>
      </c>
      <c r="E138" s="51">
        <v>49</v>
      </c>
      <c r="F138" s="51">
        <v>47</v>
      </c>
      <c r="G138" s="84">
        <v>41</v>
      </c>
      <c r="H138" s="84">
        <v>54</v>
      </c>
      <c r="I138" s="51">
        <v>56</v>
      </c>
      <c r="J138" s="48">
        <f>+J114*J140</f>
        <v>68.373460957178835</v>
      </c>
      <c r="K138" s="48">
        <f t="shared" ref="K138:N138" si="273">+K114*K140</f>
        <v>83.994190528967223</v>
      </c>
      <c r="L138" s="48">
        <f t="shared" si="273"/>
        <v>103.76570495566749</v>
      </c>
      <c r="M138" s="48">
        <f t="shared" si="273"/>
        <v>128.84727418415363</v>
      </c>
      <c r="N138" s="48">
        <f t="shared" si="273"/>
        <v>160.72667036527088</v>
      </c>
    </row>
    <row r="139" spans="1:14">
      <c r="A139" s="46" t="s">
        <v>129</v>
      </c>
      <c r="B139" s="47" t="str">
        <f t="shared" ref="B139:N139" si="274">+IFERROR(B138/A138-1,"nm")</f>
        <v>nm</v>
      </c>
      <c r="C139" s="47">
        <f t="shared" si="274"/>
        <v>0.23076923076923084</v>
      </c>
      <c r="D139" s="47">
        <f t="shared" si="274"/>
        <v>-6.25E-2</v>
      </c>
      <c r="E139" s="47">
        <f t="shared" si="274"/>
        <v>-0.18333333333333335</v>
      </c>
      <c r="F139" s="47">
        <f t="shared" si="274"/>
        <v>-4.081632653061229E-2</v>
      </c>
      <c r="G139" s="75">
        <f t="shared" si="274"/>
        <v>-0.12765957446808507</v>
      </c>
      <c r="H139" s="75">
        <f t="shared" si="274"/>
        <v>0.31707317073170738</v>
      </c>
      <c r="I139" s="47">
        <f t="shared" si="274"/>
        <v>3.7037037037036979E-2</v>
      </c>
      <c r="J139" s="47">
        <f t="shared" si="274"/>
        <v>0.22095465994962216</v>
      </c>
      <c r="K139" s="47">
        <f t="shared" si="274"/>
        <v>0.22846188203887174</v>
      </c>
      <c r="L139" s="47">
        <f t="shared" si="274"/>
        <v>0.23539145150618035</v>
      </c>
      <c r="M139" s="47">
        <f t="shared" si="274"/>
        <v>0.24171347594276837</v>
      </c>
      <c r="N139" s="47">
        <f t="shared" si="274"/>
        <v>0.24742002795925622</v>
      </c>
    </row>
    <row r="140" spans="1:14">
      <c r="A140" s="46" t="s">
        <v>133</v>
      </c>
      <c r="B140" s="47">
        <f>+IFERROR(B138/B$114,"nm")</f>
        <v>1.117558564367075E-2</v>
      </c>
      <c r="C140" s="47">
        <f t="shared" ref="C140:I140" si="275">+IFERROR(C138/C$114,"nm")</f>
        <v>1.400437636761488E-2</v>
      </c>
      <c r="D140" s="47">
        <f t="shared" si="275"/>
        <v>1.266624445851805E-2</v>
      </c>
      <c r="E140" s="47">
        <f t="shared" si="275"/>
        <v>9.485094850948509E-3</v>
      </c>
      <c r="F140" s="47">
        <f t="shared" si="275"/>
        <v>8.9455652835934533E-3</v>
      </c>
      <c r="G140" s="75">
        <f t="shared" si="275"/>
        <v>8.1543357199681775E-3</v>
      </c>
      <c r="H140" s="75">
        <f t="shared" si="275"/>
        <v>1.0106681639528355E-2</v>
      </c>
      <c r="I140" s="47">
        <f t="shared" si="275"/>
        <v>9.4038623005877411E-3</v>
      </c>
      <c r="J140" s="49">
        <f>+I140</f>
        <v>9.4038623005877411E-3</v>
      </c>
      <c r="K140" s="49">
        <f t="shared" ref="K140:N140" si="276">+J140</f>
        <v>9.4038623005877411E-3</v>
      </c>
      <c r="L140" s="49">
        <f t="shared" si="276"/>
        <v>9.4038623005877411E-3</v>
      </c>
      <c r="M140" s="49">
        <f t="shared" si="276"/>
        <v>9.4038623005877411E-3</v>
      </c>
      <c r="N140" s="49">
        <f t="shared" si="276"/>
        <v>9.4038623005877411E-3</v>
      </c>
    </row>
    <row r="141" spans="1:14">
      <c r="A141" s="9" t="s">
        <v>141</v>
      </c>
      <c r="B141" s="9">
        <v>308</v>
      </c>
      <c r="C141" s="9">
        <v>332</v>
      </c>
      <c r="D141" s="9">
        <v>343</v>
      </c>
      <c r="E141" s="9">
        <v>339</v>
      </c>
      <c r="F141" s="9">
        <v>326</v>
      </c>
      <c r="G141" s="79">
        <v>296</v>
      </c>
      <c r="H141" s="79">
        <v>304</v>
      </c>
      <c r="I141" s="9">
        <v>274</v>
      </c>
      <c r="J141" s="48">
        <f>+J114*J143</f>
        <v>334.54157682619643</v>
      </c>
      <c r="K141" s="48">
        <f t="shared" ref="K141:N141" si="277">+K114*K143</f>
        <v>410.9715750881611</v>
      </c>
      <c r="L141" s="48">
        <f t="shared" si="277"/>
        <v>507.7107706759445</v>
      </c>
      <c r="M141" s="48">
        <f t="shared" si="277"/>
        <v>630.43130582960896</v>
      </c>
      <c r="N141" s="48">
        <f t="shared" si="277"/>
        <v>786.41263714436104</v>
      </c>
    </row>
    <row r="142" spans="1:14">
      <c r="A142" s="46" t="s">
        <v>129</v>
      </c>
      <c r="B142" s="47" t="str">
        <f t="shared" ref="B142:I142" si="278">+IFERROR(B141/A141-1,"nm")</f>
        <v>nm</v>
      </c>
      <c r="C142" s="47">
        <f t="shared" si="278"/>
        <v>7.7922077922077948E-2</v>
      </c>
      <c r="D142" s="47">
        <f t="shared" si="278"/>
        <v>3.3132530120481896E-2</v>
      </c>
      <c r="E142" s="47">
        <f t="shared" si="278"/>
        <v>-1.1661807580174877E-2</v>
      </c>
      <c r="F142" s="47">
        <f t="shared" si="278"/>
        <v>-3.8348082595870192E-2</v>
      </c>
      <c r="G142" s="75">
        <f t="shared" si="278"/>
        <v>-9.2024539877300637E-2</v>
      </c>
      <c r="H142" s="75">
        <f t="shared" si="278"/>
        <v>2.7027027027026973E-2</v>
      </c>
      <c r="I142" s="47">
        <f t="shared" si="278"/>
        <v>-9.8684210526315819E-2</v>
      </c>
      <c r="J142" s="47">
        <f>+J143+J144</f>
        <v>4.6011754827875735E-2</v>
      </c>
      <c r="K142" s="47">
        <f t="shared" ref="K142:N142" si="279">+K143+K144</f>
        <v>4.6011754827875735E-2</v>
      </c>
      <c r="L142" s="47">
        <f t="shared" si="279"/>
        <v>4.6011754827875735E-2</v>
      </c>
      <c r="M142" s="47">
        <f t="shared" si="279"/>
        <v>4.6011754827875735E-2</v>
      </c>
      <c r="N142" s="47">
        <f t="shared" si="279"/>
        <v>4.6011754827875735E-2</v>
      </c>
    </row>
    <row r="143" spans="1:14">
      <c r="A143" s="46" t="s">
        <v>133</v>
      </c>
      <c r="B143" s="47">
        <f>+IFERROR(B141/B$114,"nm")</f>
        <v>6.6193853427895979E-2</v>
      </c>
      <c r="C143" s="47">
        <f t="shared" ref="C143:I143" si="280">+IFERROR(C141/C$114,"nm")</f>
        <v>7.264770240700219E-2</v>
      </c>
      <c r="D143" s="47">
        <f t="shared" si="280"/>
        <v>7.2408697487861509E-2</v>
      </c>
      <c r="E143" s="47">
        <f t="shared" si="280"/>
        <v>6.5621370499419282E-2</v>
      </c>
      <c r="F143" s="47">
        <f t="shared" si="280"/>
        <v>6.2047963456414161E-2</v>
      </c>
      <c r="G143" s="75">
        <f t="shared" si="280"/>
        <v>5.88703261734288E-2</v>
      </c>
      <c r="H143" s="75">
        <f t="shared" si="280"/>
        <v>5.6896874415122589E-2</v>
      </c>
      <c r="I143" s="47">
        <f t="shared" si="280"/>
        <v>4.6011754827875735E-2</v>
      </c>
      <c r="J143" s="49">
        <f>+I143</f>
        <v>4.6011754827875735E-2</v>
      </c>
      <c r="K143" s="49">
        <f t="shared" ref="K143:N143" si="281">+J143</f>
        <v>4.6011754827875735E-2</v>
      </c>
      <c r="L143" s="49">
        <f t="shared" si="281"/>
        <v>4.6011754827875735E-2</v>
      </c>
      <c r="M143" s="49">
        <f t="shared" si="281"/>
        <v>4.6011754827875735E-2</v>
      </c>
      <c r="N143" s="49">
        <f t="shared" si="281"/>
        <v>4.6011754827875735E-2</v>
      </c>
    </row>
    <row r="144" spans="1:14">
      <c r="A144" s="43" t="s">
        <v>107</v>
      </c>
      <c r="B144" s="43"/>
      <c r="C144" s="43"/>
      <c r="D144" s="43"/>
      <c r="E144" s="43"/>
      <c r="F144" s="43"/>
      <c r="G144" s="81"/>
      <c r="H144" s="81"/>
      <c r="I144" s="43"/>
      <c r="J144" s="39"/>
      <c r="K144" s="39"/>
      <c r="L144" s="39"/>
      <c r="M144" s="39"/>
      <c r="N144" s="39"/>
    </row>
    <row r="145" spans="1:14">
      <c r="A145" s="9" t="s">
        <v>136</v>
      </c>
      <c r="B145" s="48">
        <v>115</v>
      </c>
      <c r="C145" s="48">
        <v>73</v>
      </c>
      <c r="D145" s="48">
        <v>73</v>
      </c>
      <c r="E145" s="48">
        <v>88</v>
      </c>
      <c r="F145" s="48">
        <v>42</v>
      </c>
      <c r="G145" s="80">
        <v>30</v>
      </c>
      <c r="H145" s="80">
        <v>25</v>
      </c>
      <c r="I145" s="48">
        <v>102</v>
      </c>
      <c r="J145" s="79">
        <f>+SUM(J147)</f>
        <v>112.2</v>
      </c>
      <c r="K145" s="79">
        <f>+SUM(K147)</f>
        <v>123.42000000000002</v>
      </c>
      <c r="L145" s="79">
        <f>+SUM(L147)</f>
        <v>135.76200000000003</v>
      </c>
      <c r="M145" s="79">
        <f>+SUM(M147)</f>
        <v>149.33820000000006</v>
      </c>
      <c r="N145" s="79">
        <f>+SUM(N147)</f>
        <v>164.27202000000008</v>
      </c>
    </row>
    <row r="146" spans="1:14">
      <c r="A146" s="44" t="s">
        <v>129</v>
      </c>
      <c r="B146" s="47" t="str">
        <f t="shared" ref="B146:H146" si="282">+IFERROR(B145/A145-1,"nm")</f>
        <v>nm</v>
      </c>
      <c r="C146" s="47">
        <f t="shared" si="282"/>
        <v>-0.36521739130434783</v>
      </c>
      <c r="D146" s="47">
        <f t="shared" si="282"/>
        <v>0</v>
      </c>
      <c r="E146" s="47">
        <f t="shared" si="282"/>
        <v>0.20547945205479445</v>
      </c>
      <c r="F146" s="47">
        <f t="shared" si="282"/>
        <v>-0.52272727272727271</v>
      </c>
      <c r="G146" s="75">
        <f t="shared" si="282"/>
        <v>-0.2857142857142857</v>
      </c>
      <c r="H146" s="75">
        <f t="shared" si="282"/>
        <v>-0.16666666666666663</v>
      </c>
      <c r="I146" s="47">
        <f>+IFERROR(I145/H145-1,"nm")</f>
        <v>3.08</v>
      </c>
      <c r="J146" s="47">
        <f t="shared" ref="J146:N146" si="283">+IFERROR(J145/I145-1,"nm")</f>
        <v>0.10000000000000009</v>
      </c>
      <c r="K146" s="47">
        <f t="shared" si="283"/>
        <v>0.10000000000000009</v>
      </c>
      <c r="L146" s="47">
        <f t="shared" si="283"/>
        <v>0.10000000000000009</v>
      </c>
      <c r="M146" s="47">
        <f t="shared" si="283"/>
        <v>0.10000000000000009</v>
      </c>
      <c r="N146" s="47">
        <f t="shared" si="283"/>
        <v>0.10000000000000009</v>
      </c>
    </row>
    <row r="147" spans="1:14">
      <c r="A147" s="45" t="s">
        <v>113</v>
      </c>
      <c r="B147" s="3">
        <v>115</v>
      </c>
      <c r="C147" s="3">
        <v>73</v>
      </c>
      <c r="D147" s="3">
        <v>73</v>
      </c>
      <c r="E147" s="3">
        <v>88</v>
      </c>
      <c r="F147" s="3">
        <v>42</v>
      </c>
      <c r="G147" s="67">
        <v>30</v>
      </c>
      <c r="H147" s="67">
        <v>25</v>
      </c>
      <c r="I147" s="3">
        <v>102</v>
      </c>
      <c r="J147" s="3">
        <f>+I147*(1+J148)</f>
        <v>112.2</v>
      </c>
      <c r="K147" s="3">
        <f t="shared" ref="K147:N147" si="284">+J147*(1+K148)</f>
        <v>123.42000000000002</v>
      </c>
      <c r="L147" s="3">
        <f t="shared" si="284"/>
        <v>135.76200000000003</v>
      </c>
      <c r="M147" s="3">
        <f t="shared" si="284"/>
        <v>149.33820000000006</v>
      </c>
      <c r="N147" s="3">
        <f t="shared" si="284"/>
        <v>164.27202000000008</v>
      </c>
    </row>
    <row r="148" spans="1:14">
      <c r="A148" s="44" t="s">
        <v>129</v>
      </c>
      <c r="B148" s="47" t="str">
        <f t="shared" ref="B148:H148" si="285">+IFERROR(B147/A147-1,"nm")</f>
        <v>nm</v>
      </c>
      <c r="C148" s="47">
        <f t="shared" si="285"/>
        <v>-0.36521739130434783</v>
      </c>
      <c r="D148" s="47">
        <f t="shared" si="285"/>
        <v>0</v>
      </c>
      <c r="E148" s="47">
        <f t="shared" si="285"/>
        <v>0.20547945205479445</v>
      </c>
      <c r="F148" s="47">
        <f t="shared" si="285"/>
        <v>-0.52272727272727271</v>
      </c>
      <c r="G148" s="75">
        <f t="shared" si="285"/>
        <v>-0.2857142857142857</v>
      </c>
      <c r="H148" s="75">
        <f t="shared" si="285"/>
        <v>-0.16666666666666663</v>
      </c>
      <c r="I148" s="47">
        <f>+IFERROR(I147/H147-1,"nm")</f>
        <v>3.08</v>
      </c>
      <c r="J148" s="47">
        <f>+J149+J150</f>
        <v>0.1</v>
      </c>
      <c r="K148" s="47">
        <f t="shared" ref="K148:N148" si="286">+K149+K150</f>
        <v>0.1</v>
      </c>
      <c r="L148" s="47">
        <f t="shared" si="286"/>
        <v>0.1</v>
      </c>
      <c r="M148" s="47">
        <f t="shared" si="286"/>
        <v>0.1</v>
      </c>
      <c r="N148" s="47">
        <f t="shared" si="286"/>
        <v>0.1</v>
      </c>
    </row>
    <row r="149" spans="1:14">
      <c r="A149" s="44" t="s">
        <v>137</v>
      </c>
      <c r="B149" s="47">
        <v>-0.02</v>
      </c>
      <c r="C149" s="47">
        <v>-0.3</v>
      </c>
      <c r="D149" s="47">
        <v>0.02</v>
      </c>
      <c r="E149" s="47">
        <v>0.12</v>
      </c>
      <c r="F149" s="47">
        <v>-0.53</v>
      </c>
      <c r="G149" s="75">
        <v>-0.26</v>
      </c>
      <c r="H149" s="75">
        <v>-0.17</v>
      </c>
      <c r="I149" s="47">
        <v>3.02</v>
      </c>
      <c r="J149" s="49">
        <v>0.1</v>
      </c>
      <c r="K149" s="49">
        <f t="shared" ref="K149:N150" si="287">+J149</f>
        <v>0.1</v>
      </c>
      <c r="L149" s="49">
        <f t="shared" si="287"/>
        <v>0.1</v>
      </c>
      <c r="M149" s="49">
        <f t="shared" si="287"/>
        <v>0.1</v>
      </c>
      <c r="N149" s="49">
        <f t="shared" si="287"/>
        <v>0.1</v>
      </c>
    </row>
    <row r="150" spans="1:14">
      <c r="A150" s="44" t="s">
        <v>138</v>
      </c>
      <c r="B150" s="47" t="str">
        <f t="shared" ref="B150:H150" si="288">+IFERROR(B148-B149,"nm")</f>
        <v>nm</v>
      </c>
      <c r="C150" s="47">
        <f t="shared" si="288"/>
        <v>-6.5217391304347838E-2</v>
      </c>
      <c r="D150" s="47">
        <f t="shared" si="288"/>
        <v>-0.02</v>
      </c>
      <c r="E150" s="47">
        <f t="shared" si="288"/>
        <v>8.5479452054794458E-2</v>
      </c>
      <c r="F150" s="47">
        <f t="shared" si="288"/>
        <v>7.2727272727273196E-3</v>
      </c>
      <c r="G150" s="75">
        <f t="shared" si="288"/>
        <v>-2.571428571428569E-2</v>
      </c>
      <c r="H150" s="75">
        <f t="shared" si="288"/>
        <v>3.3333333333333826E-3</v>
      </c>
      <c r="I150" s="47">
        <f>+IFERROR(I148-I149,"nm")</f>
        <v>6.0000000000000053E-2</v>
      </c>
      <c r="J150" s="49">
        <v>0</v>
      </c>
      <c r="K150" s="49">
        <f t="shared" si="287"/>
        <v>0</v>
      </c>
      <c r="L150" s="49">
        <f t="shared" si="287"/>
        <v>0</v>
      </c>
      <c r="M150" s="49">
        <f t="shared" si="287"/>
        <v>0</v>
      </c>
      <c r="N150" s="49">
        <f t="shared" si="287"/>
        <v>0</v>
      </c>
    </row>
    <row r="151" spans="1:14">
      <c r="A151" s="9" t="s">
        <v>130</v>
      </c>
      <c r="B151" s="48">
        <f>B154+B158</f>
        <v>-2053</v>
      </c>
      <c r="C151" s="48">
        <f t="shared" ref="C151:I151" si="289">C154+C158</f>
        <v>-2366</v>
      </c>
      <c r="D151" s="48">
        <f t="shared" si="289"/>
        <v>-2444</v>
      </c>
      <c r="E151" s="48">
        <f t="shared" si="289"/>
        <v>-2441</v>
      </c>
      <c r="F151" s="48">
        <f t="shared" si="289"/>
        <v>-3067</v>
      </c>
      <c r="G151" s="80">
        <f t="shared" si="289"/>
        <v>-3254</v>
      </c>
      <c r="H151" s="80">
        <f t="shared" si="289"/>
        <v>-3434</v>
      </c>
      <c r="I151" s="48">
        <f t="shared" si="289"/>
        <v>-4042</v>
      </c>
      <c r="J151" s="48">
        <f>+J145*J153</f>
        <v>-4446.2</v>
      </c>
      <c r="K151" s="48">
        <f>+K145*K153</f>
        <v>-4890.8200000000006</v>
      </c>
      <c r="L151" s="48">
        <f>+L145*L153</f>
        <v>-5379.902000000001</v>
      </c>
      <c r="M151" s="48">
        <f>+M145*M153</f>
        <v>-5917.892200000002</v>
      </c>
      <c r="N151" s="48">
        <f>+N145*N153</f>
        <v>-6509.6814200000026</v>
      </c>
    </row>
    <row r="152" spans="1:14">
      <c r="A152" s="46" t="s">
        <v>129</v>
      </c>
      <c r="B152" s="47" t="str">
        <f t="shared" ref="B152:N152" si="290">+IFERROR(B151/A151-1,"nm")</f>
        <v>nm</v>
      </c>
      <c r="C152" s="47">
        <f t="shared" si="290"/>
        <v>0.15245981490501714</v>
      </c>
      <c r="D152" s="47">
        <f t="shared" si="290"/>
        <v>3.2967032967033072E-2</v>
      </c>
      <c r="E152" s="47">
        <f t="shared" si="290"/>
        <v>-1.2274959083469206E-3</v>
      </c>
      <c r="F152" s="47">
        <f t="shared" si="290"/>
        <v>0.25645227365833678</v>
      </c>
      <c r="G152" s="75">
        <f t="shared" si="290"/>
        <v>6.0971633518095869E-2</v>
      </c>
      <c r="H152" s="75">
        <f t="shared" si="290"/>
        <v>5.5316533497234088E-2</v>
      </c>
      <c r="I152" s="47">
        <f t="shared" si="290"/>
        <v>0.1770529994175889</v>
      </c>
      <c r="J152" s="47">
        <f t="shared" si="290"/>
        <v>9.9999999999999867E-2</v>
      </c>
      <c r="K152" s="47">
        <f t="shared" si="290"/>
        <v>0.10000000000000009</v>
      </c>
      <c r="L152" s="47">
        <f t="shared" si="290"/>
        <v>0.10000000000000009</v>
      </c>
      <c r="M152" s="47">
        <f t="shared" si="290"/>
        <v>0.10000000000000009</v>
      </c>
      <c r="N152" s="47">
        <f t="shared" si="290"/>
        <v>0.10000000000000009</v>
      </c>
    </row>
    <row r="153" spans="1:14">
      <c r="A153" s="46" t="s">
        <v>131</v>
      </c>
      <c r="B153" s="82">
        <f>+IFERROR(B151/B$145,"nm")</f>
        <v>-17.85217391304348</v>
      </c>
      <c r="C153" s="82">
        <f t="shared" ref="C153:I153" si="291">+IFERROR(C151/C$145,"nm")</f>
        <v>-32.410958904109592</v>
      </c>
      <c r="D153" s="82">
        <f t="shared" si="291"/>
        <v>-33.479452054794521</v>
      </c>
      <c r="E153" s="82">
        <f t="shared" si="291"/>
        <v>-27.738636363636363</v>
      </c>
      <c r="F153" s="82">
        <f t="shared" si="291"/>
        <v>-73.023809523809518</v>
      </c>
      <c r="G153" s="83">
        <f t="shared" si="291"/>
        <v>-108.46666666666667</v>
      </c>
      <c r="H153" s="83">
        <f t="shared" si="291"/>
        <v>-137.36000000000001</v>
      </c>
      <c r="I153" s="82">
        <f t="shared" si="291"/>
        <v>-39.627450980392155</v>
      </c>
      <c r="J153" s="85">
        <f>+I153</f>
        <v>-39.627450980392155</v>
      </c>
      <c r="K153" s="85">
        <f t="shared" ref="K153:N153" si="292">+J153</f>
        <v>-39.627450980392155</v>
      </c>
      <c r="L153" s="85">
        <f t="shared" si="292"/>
        <v>-39.627450980392155</v>
      </c>
      <c r="M153" s="85">
        <f t="shared" si="292"/>
        <v>-39.627450980392155</v>
      </c>
      <c r="N153" s="85">
        <f t="shared" si="292"/>
        <v>-39.627450980392155</v>
      </c>
    </row>
    <row r="154" spans="1:14">
      <c r="A154" s="9" t="s">
        <v>132</v>
      </c>
      <c r="B154" s="9">
        <v>210</v>
      </c>
      <c r="C154" s="9">
        <v>230</v>
      </c>
      <c r="D154" s="9">
        <v>233</v>
      </c>
      <c r="E154" s="9">
        <v>217</v>
      </c>
      <c r="F154" s="9">
        <v>195</v>
      </c>
      <c r="G154" s="79">
        <v>214</v>
      </c>
      <c r="H154" s="79">
        <v>222</v>
      </c>
      <c r="I154" s="9">
        <v>220</v>
      </c>
      <c r="J154" s="48">
        <f>+J157*J164</f>
        <v>241.99999999999997</v>
      </c>
      <c r="K154" s="48">
        <f t="shared" ref="K154:N154" si="293">+K157*K164</f>
        <v>266.20000000000005</v>
      </c>
      <c r="L154" s="48">
        <f t="shared" si="293"/>
        <v>292.82000000000005</v>
      </c>
      <c r="M154" s="48">
        <f t="shared" si="293"/>
        <v>322.10200000000009</v>
      </c>
      <c r="N154" s="48">
        <f t="shared" si="293"/>
        <v>354.31220000000013</v>
      </c>
    </row>
    <row r="155" spans="1:14">
      <c r="A155" s="46" t="s">
        <v>129</v>
      </c>
      <c r="B155" s="47" t="str">
        <f t="shared" ref="B155:N155" si="294">+IFERROR(B154/A154-1,"nm")</f>
        <v>nm</v>
      </c>
      <c r="C155" s="47">
        <f t="shared" si="294"/>
        <v>9.5238095238095344E-2</v>
      </c>
      <c r="D155" s="47">
        <f t="shared" si="294"/>
        <v>1.304347826086949E-2</v>
      </c>
      <c r="E155" s="47">
        <f t="shared" si="294"/>
        <v>-6.8669527896995763E-2</v>
      </c>
      <c r="F155" s="47">
        <f t="shared" si="294"/>
        <v>-0.10138248847926268</v>
      </c>
      <c r="G155" s="75">
        <f t="shared" si="294"/>
        <v>9.7435897435897534E-2</v>
      </c>
      <c r="H155" s="75">
        <f t="shared" si="294"/>
        <v>3.7383177570093462E-2</v>
      </c>
      <c r="I155" s="47">
        <f t="shared" si="294"/>
        <v>-9.009009009009028E-3</v>
      </c>
      <c r="J155" s="47">
        <f t="shared" si="294"/>
        <v>9.9999999999999867E-2</v>
      </c>
      <c r="K155" s="47">
        <f t="shared" si="294"/>
        <v>0.10000000000000031</v>
      </c>
      <c r="L155" s="47">
        <f t="shared" si="294"/>
        <v>0.10000000000000009</v>
      </c>
      <c r="M155" s="47">
        <f t="shared" si="294"/>
        <v>0.10000000000000009</v>
      </c>
      <c r="N155" s="47">
        <f t="shared" si="294"/>
        <v>0.10000000000000009</v>
      </c>
    </row>
    <row r="156" spans="1:14">
      <c r="A156" s="46" t="s">
        <v>133</v>
      </c>
      <c r="B156" s="47">
        <f>+IFERROR(B154/B$145,"nm")</f>
        <v>1.826086956521739</v>
      </c>
      <c r="C156" s="47">
        <f t="shared" ref="C156:I156" si="295">+IFERROR(C154/C$145,"nm")</f>
        <v>3.1506849315068495</v>
      </c>
      <c r="D156" s="47">
        <f t="shared" si="295"/>
        <v>3.1917808219178081</v>
      </c>
      <c r="E156" s="47">
        <f t="shared" si="295"/>
        <v>2.4659090909090908</v>
      </c>
      <c r="F156" s="47">
        <f t="shared" si="295"/>
        <v>4.6428571428571432</v>
      </c>
      <c r="G156" s="75">
        <f t="shared" si="295"/>
        <v>7.1333333333333337</v>
      </c>
      <c r="H156" s="75">
        <f t="shared" si="295"/>
        <v>8.8800000000000008</v>
      </c>
      <c r="I156" s="47">
        <f t="shared" si="295"/>
        <v>2.1568627450980391</v>
      </c>
      <c r="J156" s="47">
        <f t="shared" ref="J156:N156" si="296">+IFERROR(J154/J$21,"nm")</f>
        <v>1.1957029794744242E-2</v>
      </c>
      <c r="K156" s="47">
        <f t="shared" si="296"/>
        <v>1.1924531067367823E-2</v>
      </c>
      <c r="L156" s="47">
        <f t="shared" si="296"/>
        <v>1.188966385188941E-2</v>
      </c>
      <c r="M156" s="47">
        <f t="shared" si="296"/>
        <v>1.1852448526636616E-2</v>
      </c>
      <c r="N156" s="47">
        <f t="shared" si="296"/>
        <v>1.1812906890512825E-2</v>
      </c>
    </row>
    <row r="157" spans="1:14">
      <c r="A157" s="46" t="s">
        <v>140</v>
      </c>
      <c r="B157" s="47">
        <f t="shared" ref="B157:I157" si="297">+IFERROR(B154/B164,"nm")</f>
        <v>0.43388429752066116</v>
      </c>
      <c r="C157" s="47">
        <f t="shared" si="297"/>
        <v>0.45009784735812131</v>
      </c>
      <c r="D157" s="47">
        <f t="shared" si="297"/>
        <v>0.43714821763602252</v>
      </c>
      <c r="E157" s="47">
        <f t="shared" si="297"/>
        <v>0.36348408710217756</v>
      </c>
      <c r="F157" s="47">
        <f t="shared" si="297"/>
        <v>0.2932330827067669</v>
      </c>
      <c r="G157" s="75">
        <f t="shared" si="297"/>
        <v>0.25783132530120484</v>
      </c>
      <c r="H157" s="75">
        <f t="shared" si="297"/>
        <v>0.2846153846153846</v>
      </c>
      <c r="I157" s="47">
        <f t="shared" si="297"/>
        <v>0.27883396704689478</v>
      </c>
      <c r="J157" s="49">
        <f>+I157</f>
        <v>0.27883396704689478</v>
      </c>
      <c r="K157" s="49">
        <f t="shared" ref="K157:N157" si="298">+J157</f>
        <v>0.27883396704689478</v>
      </c>
      <c r="L157" s="49">
        <f t="shared" si="298"/>
        <v>0.27883396704689478</v>
      </c>
      <c r="M157" s="49">
        <f t="shared" si="298"/>
        <v>0.27883396704689478</v>
      </c>
      <c r="N157" s="49">
        <f t="shared" si="298"/>
        <v>0.27883396704689478</v>
      </c>
    </row>
    <row r="158" spans="1:14">
      <c r="A158" s="9" t="s">
        <v>134</v>
      </c>
      <c r="B158" s="9">
        <v>-2263</v>
      </c>
      <c r="C158" s="9">
        <v>-2596</v>
      </c>
      <c r="D158" s="9">
        <v>-2677</v>
      </c>
      <c r="E158" s="9">
        <v>-2658</v>
      </c>
      <c r="F158" s="9">
        <v>-3262</v>
      </c>
      <c r="G158" s="79">
        <v>-3468</v>
      </c>
      <c r="H158" s="79">
        <v>-3656</v>
      </c>
      <c r="I158" s="9">
        <v>-4262</v>
      </c>
      <c r="J158" s="9">
        <f>+J151-J154</f>
        <v>-4688.2</v>
      </c>
      <c r="K158" s="9">
        <f t="shared" ref="K158:N158" si="299">+K151-K154</f>
        <v>-5157.0200000000004</v>
      </c>
      <c r="L158" s="9">
        <f t="shared" si="299"/>
        <v>-5672.7220000000007</v>
      </c>
      <c r="M158" s="9">
        <f t="shared" si="299"/>
        <v>-6239.9942000000019</v>
      </c>
      <c r="N158" s="9">
        <f t="shared" si="299"/>
        <v>-6863.9936200000029</v>
      </c>
    </row>
    <row r="159" spans="1:14">
      <c r="A159" s="46" t="s">
        <v>129</v>
      </c>
      <c r="B159" s="47" t="str">
        <f t="shared" ref="B159:N159" si="300">+IFERROR(B158/A158-1,"nm")</f>
        <v>nm</v>
      </c>
      <c r="C159" s="47">
        <f t="shared" si="300"/>
        <v>0.1471498011489174</v>
      </c>
      <c r="D159" s="47">
        <f t="shared" si="300"/>
        <v>3.1201848998459125E-2</v>
      </c>
      <c r="E159" s="47">
        <f t="shared" si="300"/>
        <v>-7.097497198356395E-3</v>
      </c>
      <c r="F159" s="47">
        <f t="shared" si="300"/>
        <v>0.22723852520692245</v>
      </c>
      <c r="G159" s="75">
        <f t="shared" si="300"/>
        <v>6.3151440833844275E-2</v>
      </c>
      <c r="H159" s="75">
        <f t="shared" si="300"/>
        <v>5.4209919261822392E-2</v>
      </c>
      <c r="I159" s="47">
        <f t="shared" si="300"/>
        <v>0.16575492341356668</v>
      </c>
      <c r="J159" s="47">
        <f t="shared" si="300"/>
        <v>9.9999999999999867E-2</v>
      </c>
      <c r="K159" s="47">
        <f t="shared" si="300"/>
        <v>0.10000000000000009</v>
      </c>
      <c r="L159" s="47">
        <f t="shared" si="300"/>
        <v>0.10000000000000009</v>
      </c>
      <c r="M159" s="47">
        <f t="shared" si="300"/>
        <v>0.10000000000000031</v>
      </c>
      <c r="N159" s="47">
        <f t="shared" si="300"/>
        <v>0.10000000000000009</v>
      </c>
    </row>
    <row r="160" spans="1:14">
      <c r="A160" s="46" t="s">
        <v>131</v>
      </c>
      <c r="B160" s="47">
        <f>+IFERROR(B158/B$145,"nm")</f>
        <v>-19.678260869565218</v>
      </c>
      <c r="C160" s="47">
        <f t="shared" ref="C160:I160" si="301">+IFERROR(C158/C$145,"nm")</f>
        <v>-35.561643835616437</v>
      </c>
      <c r="D160" s="47">
        <f t="shared" si="301"/>
        <v>-36.671232876712331</v>
      </c>
      <c r="E160" s="47">
        <f t="shared" si="301"/>
        <v>-30.204545454545453</v>
      </c>
      <c r="F160" s="47">
        <f t="shared" si="301"/>
        <v>-77.666666666666671</v>
      </c>
      <c r="G160" s="75">
        <f t="shared" si="301"/>
        <v>-115.6</v>
      </c>
      <c r="H160" s="75">
        <f t="shared" si="301"/>
        <v>-146.24</v>
      </c>
      <c r="I160" s="47">
        <f t="shared" si="301"/>
        <v>-41.784313725490193</v>
      </c>
      <c r="J160" s="49">
        <f>+I160</f>
        <v>-41.784313725490193</v>
      </c>
      <c r="K160" s="49">
        <f t="shared" ref="K160:N160" si="302">+J160</f>
        <v>-41.784313725490193</v>
      </c>
      <c r="L160" s="49">
        <f t="shared" si="302"/>
        <v>-41.784313725490193</v>
      </c>
      <c r="M160" s="49">
        <f t="shared" si="302"/>
        <v>-41.784313725490193</v>
      </c>
      <c r="N160" s="49">
        <f t="shared" si="302"/>
        <v>-41.784313725490193</v>
      </c>
    </row>
    <row r="161" spans="1:14">
      <c r="A161" s="9" t="s">
        <v>135</v>
      </c>
      <c r="B161" s="9">
        <v>225</v>
      </c>
      <c r="C161" s="9">
        <v>258</v>
      </c>
      <c r="D161" s="9">
        <v>278</v>
      </c>
      <c r="E161" s="9">
        <v>286</v>
      </c>
      <c r="F161" s="9">
        <v>278</v>
      </c>
      <c r="G161" s="79">
        <v>438</v>
      </c>
      <c r="H161" s="79">
        <v>278</v>
      </c>
      <c r="I161" s="9">
        <v>222</v>
      </c>
      <c r="J161" s="48">
        <f>+J145*J163</f>
        <v>244.2</v>
      </c>
      <c r="K161" s="48">
        <f>+K145*K163</f>
        <v>268.62</v>
      </c>
      <c r="L161" s="48">
        <f>+L145*L163</f>
        <v>295.48200000000003</v>
      </c>
      <c r="M161" s="48">
        <f>+M145*M163</f>
        <v>325.03020000000009</v>
      </c>
      <c r="N161" s="48">
        <f>+N145*N163</f>
        <v>357.53322000000014</v>
      </c>
    </row>
    <row r="162" spans="1:14">
      <c r="A162" s="46" t="s">
        <v>129</v>
      </c>
      <c r="B162" s="47" t="str">
        <f t="shared" ref="B162:N162" si="303">+IFERROR(B161/A161-1,"nm")</f>
        <v>nm</v>
      </c>
      <c r="C162" s="47">
        <f t="shared" si="303"/>
        <v>0.14666666666666672</v>
      </c>
      <c r="D162" s="47">
        <f t="shared" si="303"/>
        <v>7.7519379844961156E-2</v>
      </c>
      <c r="E162" s="47">
        <f t="shared" si="303"/>
        <v>2.877697841726623E-2</v>
      </c>
      <c r="F162" s="47">
        <f t="shared" si="303"/>
        <v>-2.7972027972028024E-2</v>
      </c>
      <c r="G162" s="75">
        <f t="shared" si="303"/>
        <v>0.57553956834532372</v>
      </c>
      <c r="H162" s="75">
        <f t="shared" si="303"/>
        <v>-0.36529680365296802</v>
      </c>
      <c r="I162" s="47">
        <f t="shared" si="303"/>
        <v>-0.20143884892086328</v>
      </c>
      <c r="J162" s="47">
        <f t="shared" si="303"/>
        <v>9.9999999999999867E-2</v>
      </c>
      <c r="K162" s="47">
        <f t="shared" si="303"/>
        <v>0.10000000000000009</v>
      </c>
      <c r="L162" s="47">
        <f t="shared" si="303"/>
        <v>0.10000000000000009</v>
      </c>
      <c r="M162" s="47">
        <f t="shared" si="303"/>
        <v>0.10000000000000031</v>
      </c>
      <c r="N162" s="47">
        <f t="shared" si="303"/>
        <v>0.10000000000000009</v>
      </c>
    </row>
    <row r="163" spans="1:14">
      <c r="A163" s="46" t="s">
        <v>133</v>
      </c>
      <c r="B163" s="47">
        <f>+IFERROR(B161/B$145,"nm")</f>
        <v>1.9565217391304348</v>
      </c>
      <c r="C163" s="47">
        <f t="shared" ref="C163:I163" si="304">+IFERROR(C161/C$145,"nm")</f>
        <v>3.5342465753424657</v>
      </c>
      <c r="D163" s="47">
        <f t="shared" si="304"/>
        <v>3.8082191780821919</v>
      </c>
      <c r="E163" s="47">
        <f t="shared" si="304"/>
        <v>3.25</v>
      </c>
      <c r="F163" s="47">
        <f t="shared" si="304"/>
        <v>6.6190476190476186</v>
      </c>
      <c r="G163" s="75">
        <f t="shared" si="304"/>
        <v>14.6</v>
      </c>
      <c r="H163" s="75">
        <f t="shared" si="304"/>
        <v>11.12</v>
      </c>
      <c r="I163" s="47">
        <f t="shared" si="304"/>
        <v>2.1764705882352939</v>
      </c>
      <c r="J163" s="49">
        <f>+I163</f>
        <v>2.1764705882352939</v>
      </c>
      <c r="K163" s="49">
        <f t="shared" ref="K163:N163" si="305">+J163</f>
        <v>2.1764705882352939</v>
      </c>
      <c r="L163" s="49">
        <f t="shared" si="305"/>
        <v>2.1764705882352939</v>
      </c>
      <c r="M163" s="49">
        <f t="shared" si="305"/>
        <v>2.1764705882352939</v>
      </c>
      <c r="N163" s="49">
        <f t="shared" si="305"/>
        <v>2.1764705882352939</v>
      </c>
    </row>
    <row r="164" spans="1:14">
      <c r="A164" s="9" t="s">
        <v>141</v>
      </c>
      <c r="B164" s="9">
        <v>484</v>
      </c>
      <c r="C164" s="9">
        <v>511</v>
      </c>
      <c r="D164" s="9">
        <v>533</v>
      </c>
      <c r="E164" s="9">
        <v>597</v>
      </c>
      <c r="F164" s="9">
        <v>665</v>
      </c>
      <c r="G164" s="79">
        <v>830</v>
      </c>
      <c r="H164" s="79">
        <v>780</v>
      </c>
      <c r="I164" s="9">
        <v>789</v>
      </c>
      <c r="J164" s="48">
        <f>+J145*J166</f>
        <v>867.9</v>
      </c>
      <c r="K164" s="48">
        <f>+K145*K166</f>
        <v>954.69000000000017</v>
      </c>
      <c r="L164" s="48">
        <f>+L145*L166</f>
        <v>1050.1590000000003</v>
      </c>
      <c r="M164" s="48">
        <f>+M145*M166</f>
        <v>1155.1749000000004</v>
      </c>
      <c r="N164" s="48">
        <f>+N145*N166</f>
        <v>1270.6923900000006</v>
      </c>
    </row>
    <row r="165" spans="1:14">
      <c r="A165" s="46" t="s">
        <v>129</v>
      </c>
      <c r="B165" s="47" t="str">
        <f t="shared" ref="B165:I165" si="306">+IFERROR(B164/A164-1,"nm")</f>
        <v>nm</v>
      </c>
      <c r="C165" s="47">
        <f t="shared" si="306"/>
        <v>5.5785123966942241E-2</v>
      </c>
      <c r="D165" s="47">
        <f t="shared" si="306"/>
        <v>4.3052837573385627E-2</v>
      </c>
      <c r="E165" s="47">
        <f t="shared" si="306"/>
        <v>0.12007504690431525</v>
      </c>
      <c r="F165" s="47">
        <f t="shared" si="306"/>
        <v>0.11390284757118918</v>
      </c>
      <c r="G165" s="75">
        <f t="shared" si="306"/>
        <v>0.24812030075187974</v>
      </c>
      <c r="H165" s="75">
        <f t="shared" si="306"/>
        <v>-6.0240963855421659E-2</v>
      </c>
      <c r="I165" s="47">
        <f t="shared" si="306"/>
        <v>1.1538461538461497E-2</v>
      </c>
      <c r="J165" s="47">
        <f>+J166+J167</f>
        <v>7.7352941176470589</v>
      </c>
      <c r="K165" s="47">
        <f t="shared" ref="K165:N165" si="307">+K166+K167</f>
        <v>7.7352941176470589</v>
      </c>
      <c r="L165" s="47">
        <f t="shared" si="307"/>
        <v>7.7352941176470589</v>
      </c>
      <c r="M165" s="47">
        <f t="shared" si="307"/>
        <v>7.7352941176470589</v>
      </c>
      <c r="N165" s="47">
        <f t="shared" si="307"/>
        <v>7.7352941176470589</v>
      </c>
    </row>
    <row r="166" spans="1:14">
      <c r="A166" s="46" t="s">
        <v>133</v>
      </c>
      <c r="B166" s="47">
        <f>+IFERROR(B164/B$145,"nm")</f>
        <v>4.2086956521739127</v>
      </c>
      <c r="C166" s="47">
        <f t="shared" ref="C166:I166" si="308">+IFERROR(C164/C$145,"nm")</f>
        <v>7</v>
      </c>
      <c r="D166" s="47">
        <f t="shared" si="308"/>
        <v>7.3013698630136989</v>
      </c>
      <c r="E166" s="47">
        <f t="shared" si="308"/>
        <v>6.7840909090909092</v>
      </c>
      <c r="F166" s="47">
        <f t="shared" si="308"/>
        <v>15.833333333333334</v>
      </c>
      <c r="G166" s="75">
        <f t="shared" si="308"/>
        <v>27.666666666666668</v>
      </c>
      <c r="H166" s="75">
        <f t="shared" si="308"/>
        <v>31.2</v>
      </c>
      <c r="I166" s="47">
        <f t="shared" si="308"/>
        <v>7.7352941176470589</v>
      </c>
      <c r="J166" s="49">
        <f>+I166</f>
        <v>7.7352941176470589</v>
      </c>
      <c r="K166" s="49">
        <f t="shared" ref="K166:N166" si="309">+J166</f>
        <v>7.7352941176470589</v>
      </c>
      <c r="L166" s="49">
        <f t="shared" si="309"/>
        <v>7.7352941176470589</v>
      </c>
      <c r="M166" s="49">
        <f t="shared" si="309"/>
        <v>7.7352941176470589</v>
      </c>
      <c r="N166" s="49">
        <f t="shared" si="309"/>
        <v>7.7352941176470589</v>
      </c>
    </row>
    <row r="167" spans="1:14">
      <c r="A167" s="43" t="s">
        <v>104</v>
      </c>
      <c r="B167" s="43"/>
      <c r="C167" s="43"/>
      <c r="D167" s="43"/>
      <c r="E167" s="43"/>
      <c r="F167" s="43"/>
      <c r="G167" s="81"/>
      <c r="H167" s="81"/>
      <c r="I167" s="43"/>
      <c r="J167" s="39"/>
      <c r="K167" s="39"/>
      <c r="L167" s="39"/>
      <c r="M167" s="39"/>
      <c r="N167" s="39"/>
    </row>
    <row r="168" spans="1:14">
      <c r="A168" s="9" t="s">
        <v>136</v>
      </c>
      <c r="B168" s="9">
        <v>1982</v>
      </c>
      <c r="C168" s="9">
        <v>1955</v>
      </c>
      <c r="D168" s="9">
        <v>2042</v>
      </c>
      <c r="E168" s="9">
        <v>1886</v>
      </c>
      <c r="F168" s="9">
        <v>1906</v>
      </c>
      <c r="G168" s="79">
        <v>1846</v>
      </c>
      <c r="H168" s="79">
        <v>2205</v>
      </c>
      <c r="I168" s="9">
        <v>2346</v>
      </c>
      <c r="J168" s="9">
        <f>+SUM(J170+J174+J178+J182)</f>
        <v>2431.0250000000001</v>
      </c>
      <c r="K168" s="9">
        <f t="shared" ref="K168:N168" si="310">+SUM(K170+K174+K178+K182)</f>
        <v>2523.5484750000005</v>
      </c>
      <c r="L168" s="9">
        <f t="shared" si="310"/>
        <v>2624.7524063750002</v>
      </c>
      <c r="M168" s="9">
        <f t="shared" si="310"/>
        <v>2736.0607534443752</v>
      </c>
      <c r="N168" s="9">
        <f t="shared" si="310"/>
        <v>2859.1896535233595</v>
      </c>
    </row>
    <row r="169" spans="1:14">
      <c r="A169" s="44" t="s">
        <v>129</v>
      </c>
      <c r="B169" s="47" t="str">
        <f t="shared" ref="B169:N169" si="311">+IFERROR(B168/A168-1,"nm")</f>
        <v>nm</v>
      </c>
      <c r="C169" s="47">
        <f t="shared" si="311"/>
        <v>-1.3622603430877955E-2</v>
      </c>
      <c r="D169" s="47">
        <f t="shared" si="311"/>
        <v>4.4501278772378416E-2</v>
      </c>
      <c r="E169" s="47">
        <f t="shared" si="311"/>
        <v>-7.6395690499510338E-2</v>
      </c>
      <c r="F169" s="47">
        <f t="shared" si="311"/>
        <v>1.0604453870625585E-2</v>
      </c>
      <c r="G169" s="75">
        <f t="shared" si="311"/>
        <v>-3.147953830010497E-2</v>
      </c>
      <c r="H169" s="75">
        <f t="shared" si="311"/>
        <v>0.19447453954496208</v>
      </c>
      <c r="I169" s="47">
        <f t="shared" si="311"/>
        <v>6.3945578231292544E-2</v>
      </c>
      <c r="J169" s="47">
        <f t="shared" si="311"/>
        <v>3.624254049445863E-2</v>
      </c>
      <c r="K169" s="47">
        <f t="shared" si="311"/>
        <v>3.8059450231898273E-2</v>
      </c>
      <c r="L169" s="47">
        <f t="shared" si="311"/>
        <v>4.010381903799165E-2</v>
      </c>
      <c r="M169" s="47">
        <f t="shared" si="311"/>
        <v>4.2407179739707646E-2</v>
      </c>
      <c r="N169" s="47">
        <f t="shared" si="311"/>
        <v>4.500225366851951E-2</v>
      </c>
    </row>
    <row r="170" spans="1:14">
      <c r="A170" s="45" t="s">
        <v>113</v>
      </c>
      <c r="B170" s="3">
        <v>18318</v>
      </c>
      <c r="C170" s="3">
        <v>19871</v>
      </c>
      <c r="D170" s="3">
        <v>21081</v>
      </c>
      <c r="E170" s="3">
        <v>22268</v>
      </c>
      <c r="F170" s="3">
        <v>1658</v>
      </c>
      <c r="G170" s="67">
        <v>1642</v>
      </c>
      <c r="H170" s="67">
        <v>1986</v>
      </c>
      <c r="I170" s="3">
        <v>2094</v>
      </c>
      <c r="J170" s="3">
        <f>+I170*(1+J171)</f>
        <v>2156.8200000000002</v>
      </c>
      <c r="K170" s="3">
        <f t="shared" ref="K170:N170" si="312">+J170*(1+K171)</f>
        <v>2221.5246000000002</v>
      </c>
      <c r="L170" s="3">
        <f t="shared" si="312"/>
        <v>2288.1703380000004</v>
      </c>
      <c r="M170" s="3">
        <f t="shared" si="312"/>
        <v>2356.8154481400006</v>
      </c>
      <c r="N170" s="3">
        <f t="shared" si="312"/>
        <v>2427.5199115842006</v>
      </c>
    </row>
    <row r="171" spans="1:14">
      <c r="A171" s="44" t="s">
        <v>129</v>
      </c>
      <c r="B171" s="47" t="str">
        <f t="shared" ref="B171:I171" si="313">+IFERROR(B170/A170-1,"nm")</f>
        <v>nm</v>
      </c>
      <c r="C171" s="47">
        <f t="shared" si="313"/>
        <v>8.4779997816355479E-2</v>
      </c>
      <c r="D171" s="47">
        <f t="shared" si="313"/>
        <v>6.0892758290976845E-2</v>
      </c>
      <c r="E171" s="47">
        <f t="shared" si="313"/>
        <v>5.6306626820359584E-2</v>
      </c>
      <c r="F171" s="47">
        <f t="shared" si="313"/>
        <v>-0.92554338063589003</v>
      </c>
      <c r="G171" s="75">
        <f t="shared" si="313"/>
        <v>-9.6501809408926498E-3</v>
      </c>
      <c r="H171" s="75">
        <f t="shared" si="313"/>
        <v>0.2095006090133984</v>
      </c>
      <c r="I171" s="47">
        <f t="shared" si="313"/>
        <v>5.4380664652567967E-2</v>
      </c>
      <c r="J171" s="47">
        <f>+J172+J173</f>
        <v>0.03</v>
      </c>
      <c r="K171" s="47">
        <f t="shared" ref="K171:N171" si="314">+K172+K173</f>
        <v>0.03</v>
      </c>
      <c r="L171" s="47">
        <f t="shared" si="314"/>
        <v>0.03</v>
      </c>
      <c r="M171" s="47">
        <f t="shared" si="314"/>
        <v>0.03</v>
      </c>
      <c r="N171" s="47">
        <f t="shared" si="314"/>
        <v>0.03</v>
      </c>
    </row>
    <row r="172" spans="1:14">
      <c r="A172" s="44" t="s">
        <v>137</v>
      </c>
      <c r="B172" s="47">
        <v>0</v>
      </c>
      <c r="C172" s="47">
        <v>0</v>
      </c>
      <c r="D172" s="47">
        <v>0</v>
      </c>
      <c r="E172" s="47">
        <v>0</v>
      </c>
      <c r="F172" s="47">
        <v>0.06</v>
      </c>
      <c r="G172" s="75">
        <v>0.01</v>
      </c>
      <c r="H172" s="75">
        <v>0.17</v>
      </c>
      <c r="I172" s="47">
        <v>0.06</v>
      </c>
      <c r="J172" s="49">
        <f>(F172+E172)/2</f>
        <v>0.03</v>
      </c>
      <c r="K172" s="49">
        <f>+J172</f>
        <v>0.03</v>
      </c>
      <c r="L172" s="49">
        <f t="shared" ref="L172:N173" si="315">+K172</f>
        <v>0.03</v>
      </c>
      <c r="M172" s="49">
        <f t="shared" si="315"/>
        <v>0.03</v>
      </c>
      <c r="N172" s="49">
        <f t="shared" si="315"/>
        <v>0.03</v>
      </c>
    </row>
    <row r="173" spans="1:14">
      <c r="A173" s="44" t="s">
        <v>138</v>
      </c>
      <c r="B173" s="47" t="str">
        <f t="shared" ref="B173:I173" si="316">+IFERROR(B171-B172,"nm")</f>
        <v>nm</v>
      </c>
      <c r="C173" s="47">
        <f t="shared" si="316"/>
        <v>8.4779997816355479E-2</v>
      </c>
      <c r="D173" s="47">
        <f t="shared" si="316"/>
        <v>6.0892758290976845E-2</v>
      </c>
      <c r="E173" s="47">
        <f t="shared" si="316"/>
        <v>5.6306626820359584E-2</v>
      </c>
      <c r="F173" s="47">
        <f t="shared" si="316"/>
        <v>-0.98554338063588998</v>
      </c>
      <c r="G173" s="75">
        <f t="shared" si="316"/>
        <v>-1.9650180940892652E-2</v>
      </c>
      <c r="H173" s="75">
        <f t="shared" si="316"/>
        <v>3.9500609013398386E-2</v>
      </c>
      <c r="I173" s="47">
        <f t="shared" si="316"/>
        <v>-5.6193353474320307E-3</v>
      </c>
      <c r="J173" s="49">
        <v>0</v>
      </c>
      <c r="K173" s="49">
        <f>+J173</f>
        <v>0</v>
      </c>
      <c r="L173" s="49">
        <f t="shared" si="315"/>
        <v>0</v>
      </c>
      <c r="M173" s="49">
        <f t="shared" si="315"/>
        <v>0</v>
      </c>
      <c r="N173" s="49">
        <f t="shared" si="315"/>
        <v>0</v>
      </c>
    </row>
    <row r="174" spans="1:14">
      <c r="A174" s="45" t="s">
        <v>114</v>
      </c>
      <c r="B174" s="3">
        <v>8637</v>
      </c>
      <c r="C174" s="3">
        <v>9067</v>
      </c>
      <c r="D174" s="3">
        <v>9654</v>
      </c>
      <c r="E174" s="3">
        <v>10733</v>
      </c>
      <c r="F174" s="3">
        <v>118</v>
      </c>
      <c r="G174" s="67">
        <v>89</v>
      </c>
      <c r="H174" s="67">
        <v>104</v>
      </c>
      <c r="I174" s="3">
        <v>103</v>
      </c>
      <c r="J174" s="3">
        <f>+I174*(1+J175)</f>
        <v>101.455</v>
      </c>
      <c r="K174" s="3">
        <f t="shared" ref="K174:N174" si="317">+J174*(1+K175)</f>
        <v>99.933174999999991</v>
      </c>
      <c r="L174" s="3">
        <f t="shared" si="317"/>
        <v>98.43417737499999</v>
      </c>
      <c r="M174" s="3">
        <f t="shared" si="317"/>
        <v>96.957664714374985</v>
      </c>
      <c r="N174" s="3">
        <f t="shared" si="317"/>
        <v>95.503299743659355</v>
      </c>
    </row>
    <row r="175" spans="1:14">
      <c r="A175" s="44" t="s">
        <v>129</v>
      </c>
      <c r="B175" s="47" t="str">
        <f t="shared" ref="B175:I175" si="318">+IFERROR(B174/A174-1,"nm")</f>
        <v>nm</v>
      </c>
      <c r="C175" s="47">
        <f t="shared" si="318"/>
        <v>4.9785805256454818E-2</v>
      </c>
      <c r="D175" s="47">
        <f t="shared" si="318"/>
        <v>6.4740266901952115E-2</v>
      </c>
      <c r="E175" s="47">
        <f t="shared" si="318"/>
        <v>0.1117671431530971</v>
      </c>
      <c r="F175" s="47">
        <f t="shared" si="318"/>
        <v>-0.9890058697475077</v>
      </c>
      <c r="G175" s="75">
        <f t="shared" si="318"/>
        <v>-0.24576271186440679</v>
      </c>
      <c r="H175" s="75">
        <f t="shared" si="318"/>
        <v>0.1685393258426966</v>
      </c>
      <c r="I175" s="47">
        <f t="shared" si="318"/>
        <v>-9.6153846153845812E-3</v>
      </c>
      <c r="J175" s="47">
        <f>+J176+J177</f>
        <v>-1.4999999999999999E-2</v>
      </c>
      <c r="K175" s="47">
        <f t="shared" ref="K175:N175" si="319">+K176+K177</f>
        <v>-1.4999999999999999E-2</v>
      </c>
      <c r="L175" s="47">
        <f t="shared" si="319"/>
        <v>-1.4999999999999999E-2</v>
      </c>
      <c r="M175" s="47">
        <f t="shared" si="319"/>
        <v>-1.4999999999999999E-2</v>
      </c>
      <c r="N175" s="47">
        <f t="shared" si="319"/>
        <v>-1.4999999999999999E-2</v>
      </c>
    </row>
    <row r="176" spans="1:14">
      <c r="A176" s="44" t="s">
        <v>137</v>
      </c>
      <c r="B176" s="47">
        <v>0</v>
      </c>
      <c r="C176" s="47">
        <v>0</v>
      </c>
      <c r="D176" s="47">
        <v>0</v>
      </c>
      <c r="E176" s="47">
        <v>0</v>
      </c>
      <c r="F176" s="47">
        <v>-0.03</v>
      </c>
      <c r="G176" s="75">
        <v>-0.22</v>
      </c>
      <c r="H176" s="75">
        <v>0.13</v>
      </c>
      <c r="I176" s="47">
        <v>-0.03</v>
      </c>
      <c r="J176" s="49">
        <f>(I176+E176)/2</f>
        <v>-1.4999999999999999E-2</v>
      </c>
      <c r="K176" s="49">
        <f>+J176</f>
        <v>-1.4999999999999999E-2</v>
      </c>
      <c r="L176" s="49">
        <f t="shared" ref="L176:N177" si="320">+K176</f>
        <v>-1.4999999999999999E-2</v>
      </c>
      <c r="M176" s="49">
        <f t="shared" si="320"/>
        <v>-1.4999999999999999E-2</v>
      </c>
      <c r="N176" s="49">
        <f t="shared" si="320"/>
        <v>-1.4999999999999999E-2</v>
      </c>
    </row>
    <row r="177" spans="1:14">
      <c r="A177" s="44" t="s">
        <v>138</v>
      </c>
      <c r="B177" s="47" t="str">
        <f t="shared" ref="B177:I177" si="321">+IFERROR(B175-B176,"nm")</f>
        <v>nm</v>
      </c>
      <c r="C177" s="47">
        <f t="shared" si="321"/>
        <v>4.9785805256454818E-2</v>
      </c>
      <c r="D177" s="47">
        <f t="shared" si="321"/>
        <v>6.4740266901952115E-2</v>
      </c>
      <c r="E177" s="47">
        <f t="shared" si="321"/>
        <v>0.1117671431530971</v>
      </c>
      <c r="F177" s="47">
        <f t="shared" si="321"/>
        <v>-0.95900586974750768</v>
      </c>
      <c r="G177" s="75">
        <f t="shared" si="321"/>
        <v>-2.576271186440679E-2</v>
      </c>
      <c r="H177" s="75">
        <f t="shared" si="321"/>
        <v>3.8539325842696592E-2</v>
      </c>
      <c r="I177" s="47">
        <f t="shared" si="321"/>
        <v>2.0384615384615418E-2</v>
      </c>
      <c r="J177" s="49">
        <v>0</v>
      </c>
      <c r="K177" s="49">
        <f>+J177</f>
        <v>0</v>
      </c>
      <c r="L177" s="49">
        <f t="shared" si="320"/>
        <v>0</v>
      </c>
      <c r="M177" s="49">
        <f t="shared" si="320"/>
        <v>0</v>
      </c>
      <c r="N177" s="49">
        <f t="shared" si="320"/>
        <v>0</v>
      </c>
    </row>
    <row r="178" spans="1:14">
      <c r="A178" s="45" t="s">
        <v>115</v>
      </c>
      <c r="B178" s="3">
        <v>1631</v>
      </c>
      <c r="C178" s="3">
        <v>1496</v>
      </c>
      <c r="D178" s="3">
        <v>1425</v>
      </c>
      <c r="E178" s="3">
        <v>1396</v>
      </c>
      <c r="F178" s="3">
        <v>24</v>
      </c>
      <c r="G178" s="67">
        <v>25</v>
      </c>
      <c r="H178" s="67">
        <v>29</v>
      </c>
      <c r="I178" s="3">
        <v>26</v>
      </c>
      <c r="J178" s="3">
        <f>+I178*(1+J179)</f>
        <v>23.92</v>
      </c>
      <c r="K178" s="3">
        <f t="shared" ref="K178:N178" si="322">+J178*(1+K179)</f>
        <v>22.006400000000003</v>
      </c>
      <c r="L178" s="3">
        <f t="shared" si="322"/>
        <v>20.245888000000004</v>
      </c>
      <c r="M178" s="3">
        <f t="shared" si="322"/>
        <v>18.626216960000004</v>
      </c>
      <c r="N178" s="3">
        <f t="shared" si="322"/>
        <v>17.136119603200004</v>
      </c>
    </row>
    <row r="179" spans="1:14">
      <c r="A179" s="44" t="s">
        <v>129</v>
      </c>
      <c r="B179" s="47" t="str">
        <f t="shared" ref="B179:I179" si="323">+IFERROR(B178/A178-1,"nm")</f>
        <v>nm</v>
      </c>
      <c r="C179" s="47">
        <f t="shared" si="323"/>
        <v>-8.2771305947271667E-2</v>
      </c>
      <c r="D179" s="47">
        <f t="shared" si="323"/>
        <v>-4.7459893048128365E-2</v>
      </c>
      <c r="E179" s="47">
        <f t="shared" si="323"/>
        <v>-2.0350877192982453E-2</v>
      </c>
      <c r="F179" s="47">
        <f t="shared" si="323"/>
        <v>-0.98280802292263614</v>
      </c>
      <c r="G179" s="75">
        <f t="shared" si="323"/>
        <v>4.1666666666666741E-2</v>
      </c>
      <c r="H179" s="75">
        <f t="shared" si="323"/>
        <v>0.15999999999999992</v>
      </c>
      <c r="I179" s="47">
        <f t="shared" si="323"/>
        <v>-0.10344827586206895</v>
      </c>
      <c r="J179" s="47">
        <f>+J180+J181</f>
        <v>-0.08</v>
      </c>
      <c r="K179" s="47">
        <f t="shared" ref="K179:N179" si="324">+K180+K181</f>
        <v>-0.08</v>
      </c>
      <c r="L179" s="47">
        <f t="shared" si="324"/>
        <v>-0.08</v>
      </c>
      <c r="M179" s="47">
        <f t="shared" si="324"/>
        <v>-0.08</v>
      </c>
      <c r="N179" s="47">
        <f t="shared" si="324"/>
        <v>-0.08</v>
      </c>
    </row>
    <row r="180" spans="1:14">
      <c r="A180" s="44" t="s">
        <v>137</v>
      </c>
      <c r="B180" s="47">
        <v>0</v>
      </c>
      <c r="C180" s="47">
        <v>0</v>
      </c>
      <c r="D180" s="47">
        <v>0</v>
      </c>
      <c r="E180" s="47">
        <v>0</v>
      </c>
      <c r="F180" s="47">
        <v>-0.16</v>
      </c>
      <c r="G180" s="75">
        <v>0.08</v>
      </c>
      <c r="H180" s="75">
        <v>0.14000000000000001</v>
      </c>
      <c r="I180" s="47">
        <v>-0.16</v>
      </c>
      <c r="J180" s="49">
        <f>(I180+E180)/2</f>
        <v>-0.08</v>
      </c>
      <c r="K180" s="49">
        <f>+J180</f>
        <v>-0.08</v>
      </c>
      <c r="L180" s="49">
        <f t="shared" ref="L180:N181" si="325">+K180</f>
        <v>-0.08</v>
      </c>
      <c r="M180" s="49">
        <f t="shared" si="325"/>
        <v>-0.08</v>
      </c>
      <c r="N180" s="49">
        <f t="shared" si="325"/>
        <v>-0.08</v>
      </c>
    </row>
    <row r="181" spans="1:14">
      <c r="A181" s="44" t="s">
        <v>138</v>
      </c>
      <c r="B181" s="47" t="str">
        <f t="shared" ref="B181:I181" si="326">+IFERROR(B179-B180,"nm")</f>
        <v>nm</v>
      </c>
      <c r="C181" s="47">
        <f t="shared" si="326"/>
        <v>-8.2771305947271667E-2</v>
      </c>
      <c r="D181" s="47">
        <f t="shared" si="326"/>
        <v>-4.7459893048128365E-2</v>
      </c>
      <c r="E181" s="47">
        <f t="shared" si="326"/>
        <v>-2.0350877192982453E-2</v>
      </c>
      <c r="F181" s="47">
        <f t="shared" si="326"/>
        <v>-0.82280802292263611</v>
      </c>
      <c r="G181" s="75">
        <f t="shared" si="326"/>
        <v>-3.8333333333333261E-2</v>
      </c>
      <c r="H181" s="75">
        <f t="shared" si="326"/>
        <v>1.9999999999999907E-2</v>
      </c>
      <c r="I181" s="47">
        <f t="shared" si="326"/>
        <v>5.6551724137931053E-2</v>
      </c>
      <c r="J181" s="49">
        <v>0</v>
      </c>
      <c r="K181" s="49">
        <f>+J181</f>
        <v>0</v>
      </c>
      <c r="L181" s="49">
        <f t="shared" si="325"/>
        <v>0</v>
      </c>
      <c r="M181" s="49">
        <f t="shared" si="325"/>
        <v>0</v>
      </c>
      <c r="N181" s="49">
        <f t="shared" si="325"/>
        <v>0</v>
      </c>
    </row>
    <row r="182" spans="1:14">
      <c r="A182" s="86" t="s">
        <v>121</v>
      </c>
      <c r="B182" s="68">
        <v>115</v>
      </c>
      <c r="C182" s="68">
        <v>73</v>
      </c>
      <c r="D182" s="68">
        <v>73</v>
      </c>
      <c r="E182" s="68">
        <v>88</v>
      </c>
      <c r="F182" s="68">
        <v>106</v>
      </c>
      <c r="G182" s="87">
        <v>90</v>
      </c>
      <c r="H182" s="87">
        <v>86</v>
      </c>
      <c r="I182" s="68">
        <v>123</v>
      </c>
      <c r="J182" s="3">
        <f>+I182*(1+J183)</f>
        <v>148.82999999999998</v>
      </c>
      <c r="K182" s="3">
        <f t="shared" ref="K182:N182" si="327">+J182*(1+K183)</f>
        <v>180.08429999999998</v>
      </c>
      <c r="L182" s="3">
        <f t="shared" si="327"/>
        <v>217.90200299999998</v>
      </c>
      <c r="M182" s="3">
        <f t="shared" si="327"/>
        <v>263.66142362999994</v>
      </c>
      <c r="N182" s="3">
        <f t="shared" si="327"/>
        <v>319.03032259229991</v>
      </c>
    </row>
    <row r="183" spans="1:14">
      <c r="A183" s="44" t="s">
        <v>129</v>
      </c>
      <c r="B183" s="47" t="str">
        <f t="shared" ref="B183:I183" si="328">+IFERROR(B182/A182-1,"nm")</f>
        <v>nm</v>
      </c>
      <c r="C183" s="47">
        <f t="shared" si="328"/>
        <v>-0.36521739130434783</v>
      </c>
      <c r="D183" s="47">
        <f t="shared" si="328"/>
        <v>0</v>
      </c>
      <c r="E183" s="47">
        <f t="shared" si="328"/>
        <v>0.20547945205479445</v>
      </c>
      <c r="F183" s="47">
        <f t="shared" si="328"/>
        <v>0.20454545454545459</v>
      </c>
      <c r="G183" s="75">
        <f t="shared" si="328"/>
        <v>-0.15094339622641506</v>
      </c>
      <c r="H183" s="75">
        <f t="shared" si="328"/>
        <v>-4.4444444444444398E-2</v>
      </c>
      <c r="I183" s="47">
        <f t="shared" si="328"/>
        <v>0.43023255813953498</v>
      </c>
      <c r="J183" s="47">
        <f>+J184+J185</f>
        <v>0.21</v>
      </c>
      <c r="K183" s="47">
        <f t="shared" ref="K183:N183" si="329">+K184+K185</f>
        <v>0.21</v>
      </c>
      <c r="L183" s="47">
        <f t="shared" si="329"/>
        <v>0.21</v>
      </c>
      <c r="M183" s="47">
        <f t="shared" si="329"/>
        <v>0.21</v>
      </c>
      <c r="N183" s="47">
        <f t="shared" si="329"/>
        <v>0.21</v>
      </c>
    </row>
    <row r="184" spans="1:14">
      <c r="A184" s="44" t="s">
        <v>137</v>
      </c>
      <c r="B184" s="47">
        <v>0</v>
      </c>
      <c r="C184" s="47">
        <v>0</v>
      </c>
      <c r="D184" s="47">
        <v>0</v>
      </c>
      <c r="E184" s="47">
        <v>0</v>
      </c>
      <c r="F184" s="47">
        <v>0.42</v>
      </c>
      <c r="G184" s="75">
        <v>-0.14000000000000001</v>
      </c>
      <c r="H184" s="75">
        <v>-0.01</v>
      </c>
      <c r="I184" s="47">
        <v>0.42</v>
      </c>
      <c r="J184" s="49">
        <f>(I184+E184)/2</f>
        <v>0.21</v>
      </c>
      <c r="K184" s="49">
        <f>+J184</f>
        <v>0.21</v>
      </c>
      <c r="L184" s="49">
        <f t="shared" ref="L184:N185" si="330">+K184</f>
        <v>0.21</v>
      </c>
      <c r="M184" s="49">
        <f t="shared" si="330"/>
        <v>0.21</v>
      </c>
      <c r="N184" s="49">
        <f t="shared" si="330"/>
        <v>0.21</v>
      </c>
    </row>
    <row r="185" spans="1:14">
      <c r="A185" s="44" t="s">
        <v>138</v>
      </c>
      <c r="B185" s="47" t="str">
        <f t="shared" ref="B185:I185" si="331">+IFERROR(B183-B184,"nm")</f>
        <v>nm</v>
      </c>
      <c r="C185" s="47">
        <f t="shared" si="331"/>
        <v>-0.36521739130434783</v>
      </c>
      <c r="D185" s="47">
        <f t="shared" si="331"/>
        <v>0</v>
      </c>
      <c r="E185" s="47">
        <f t="shared" si="331"/>
        <v>0.20547945205479445</v>
      </c>
      <c r="F185" s="47">
        <f t="shared" si="331"/>
        <v>-0.2154545454545454</v>
      </c>
      <c r="G185" s="75">
        <f t="shared" si="331"/>
        <v>-1.0943396226415048E-2</v>
      </c>
      <c r="H185" s="75">
        <f t="shared" si="331"/>
        <v>-3.4444444444444396E-2</v>
      </c>
      <c r="I185" s="47">
        <f t="shared" si="331"/>
        <v>1.0232558139534997E-2</v>
      </c>
      <c r="J185" s="49">
        <v>0</v>
      </c>
      <c r="K185" s="49">
        <f>+J185</f>
        <v>0</v>
      </c>
      <c r="L185" s="49">
        <f t="shared" si="330"/>
        <v>0</v>
      </c>
      <c r="M185" s="49">
        <f t="shared" si="330"/>
        <v>0</v>
      </c>
      <c r="N185" s="49">
        <f t="shared" si="330"/>
        <v>0</v>
      </c>
    </row>
    <row r="186" spans="1:14">
      <c r="A186" s="9" t="s">
        <v>130</v>
      </c>
      <c r="B186" s="48">
        <f>B189+B193</f>
        <v>535</v>
      </c>
      <c r="C186" s="48">
        <f t="shared" ref="C186:I186" si="332">C189+C193</f>
        <v>514</v>
      </c>
      <c r="D186" s="48">
        <f t="shared" si="332"/>
        <v>505</v>
      </c>
      <c r="E186" s="48">
        <f t="shared" si="332"/>
        <v>343</v>
      </c>
      <c r="F186" s="48">
        <f t="shared" si="332"/>
        <v>334</v>
      </c>
      <c r="G186" s="80">
        <f t="shared" si="332"/>
        <v>322</v>
      </c>
      <c r="H186" s="80">
        <f t="shared" si="332"/>
        <v>569</v>
      </c>
      <c r="I186" s="48">
        <f t="shared" si="332"/>
        <v>691</v>
      </c>
      <c r="J186" s="48">
        <f>+J168*J188</f>
        <v>716.04359548167099</v>
      </c>
      <c r="K186" s="48">
        <f t="shared" ref="K186:N186" si="333">+K168*K188</f>
        <v>743.29582106777514</v>
      </c>
      <c r="L186" s="48">
        <f t="shared" si="333"/>
        <v>773.10482216757248</v>
      </c>
      <c r="M186" s="48">
        <f t="shared" si="333"/>
        <v>805.89001731886754</v>
      </c>
      <c r="N186" s="48">
        <f t="shared" si="333"/>
        <v>842.15688430717876</v>
      </c>
    </row>
    <row r="187" spans="1:14">
      <c r="A187" s="46" t="s">
        <v>129</v>
      </c>
      <c r="B187" s="47" t="str">
        <f>+IFERROR(B186/A186-1,"nm")</f>
        <v>nm</v>
      </c>
      <c r="C187" s="47">
        <f t="shared" ref="C187:N187" si="334">+IFERROR(C186/B186-1,"nm")</f>
        <v>-3.9252336448598157E-2</v>
      </c>
      <c r="D187" s="47">
        <f t="shared" si="334"/>
        <v>-1.7509727626459193E-2</v>
      </c>
      <c r="E187" s="47">
        <f t="shared" si="334"/>
        <v>-0.32079207920792074</v>
      </c>
      <c r="F187" s="47">
        <f t="shared" si="334"/>
        <v>-2.6239067055393583E-2</v>
      </c>
      <c r="G187" s="75">
        <f t="shared" si="334"/>
        <v>-3.59281437125748E-2</v>
      </c>
      <c r="H187" s="75">
        <f t="shared" si="334"/>
        <v>0.76708074534161486</v>
      </c>
      <c r="I187" s="47">
        <f t="shared" si="334"/>
        <v>0.21441124780316345</v>
      </c>
      <c r="J187" s="47">
        <f t="shared" si="334"/>
        <v>3.6242540494458853E-2</v>
      </c>
      <c r="K187" s="47">
        <f t="shared" si="334"/>
        <v>3.8059450231898273E-2</v>
      </c>
      <c r="L187" s="47">
        <f t="shared" si="334"/>
        <v>4.0103819037991428E-2</v>
      </c>
      <c r="M187" s="47">
        <f t="shared" si="334"/>
        <v>4.2407179739707868E-2</v>
      </c>
      <c r="N187" s="47">
        <f t="shared" si="334"/>
        <v>4.500225366851951E-2</v>
      </c>
    </row>
    <row r="188" spans="1:14">
      <c r="A188" s="46" t="s">
        <v>131</v>
      </c>
      <c r="B188" s="75">
        <f>+IFERROR(B186/B$168,"nm")</f>
        <v>0.26992936427850656</v>
      </c>
      <c r="C188" s="75">
        <f t="shared" ref="C188:I188" si="335">+IFERROR(C186/C$168,"nm")</f>
        <v>0.26291560102301792</v>
      </c>
      <c r="D188" s="75">
        <f t="shared" si="335"/>
        <v>0.24730656219392752</v>
      </c>
      <c r="E188" s="75">
        <f t="shared" si="335"/>
        <v>0.18186638388123011</v>
      </c>
      <c r="F188" s="75">
        <f t="shared" si="335"/>
        <v>0.17523609653725078</v>
      </c>
      <c r="G188" s="75">
        <f t="shared" si="335"/>
        <v>0.17443120260021669</v>
      </c>
      <c r="H188" s="75">
        <f t="shared" si="335"/>
        <v>0.25804988662131517</v>
      </c>
      <c r="I188" s="75">
        <f t="shared" si="335"/>
        <v>0.29454390451832907</v>
      </c>
      <c r="J188" s="88">
        <f>+I188</f>
        <v>0.29454390451832907</v>
      </c>
      <c r="K188" s="88">
        <f t="shared" ref="K188:N188" si="336">+J188</f>
        <v>0.29454390451832907</v>
      </c>
      <c r="L188" s="88">
        <f t="shared" si="336"/>
        <v>0.29454390451832907</v>
      </c>
      <c r="M188" s="88">
        <f t="shared" si="336"/>
        <v>0.29454390451832907</v>
      </c>
      <c r="N188" s="88">
        <f t="shared" si="336"/>
        <v>0.29454390451832907</v>
      </c>
    </row>
    <row r="189" spans="1:14">
      <c r="A189" s="9" t="s">
        <v>132</v>
      </c>
      <c r="B189" s="9">
        <v>18</v>
      </c>
      <c r="C189" s="9">
        <v>27</v>
      </c>
      <c r="D189" s="9">
        <v>28</v>
      </c>
      <c r="E189" s="9">
        <v>33</v>
      </c>
      <c r="F189" s="9">
        <v>31</v>
      </c>
      <c r="G189" s="79">
        <v>25</v>
      </c>
      <c r="H189" s="79">
        <v>26</v>
      </c>
      <c r="I189" s="9">
        <v>22</v>
      </c>
      <c r="J189" s="48">
        <f>+J192*J199</f>
        <v>22.797335890878092</v>
      </c>
      <c r="K189" s="48">
        <f t="shared" ref="K189:N189" si="337">+K192*K199</f>
        <v>23.664989961636834</v>
      </c>
      <c r="L189" s="48">
        <f t="shared" si="337"/>
        <v>24.614046436594204</v>
      </c>
      <c r="M189" s="48">
        <f t="shared" si="337"/>
        <v>25.65785872795237</v>
      </c>
      <c r="N189" s="48">
        <f t="shared" si="337"/>
        <v>26.812520195018717</v>
      </c>
    </row>
    <row r="190" spans="1:14">
      <c r="A190" s="46" t="s">
        <v>129</v>
      </c>
      <c r="B190" s="47" t="str">
        <f t="shared" ref="B190:N190" si="338">+IFERROR(B189/A189-1,"nm")</f>
        <v>nm</v>
      </c>
      <c r="C190" s="47">
        <f t="shared" si="338"/>
        <v>0.5</v>
      </c>
      <c r="D190" s="47">
        <f t="shared" si="338"/>
        <v>3.7037037037036979E-2</v>
      </c>
      <c r="E190" s="47">
        <f t="shared" si="338"/>
        <v>0.1785714285714286</v>
      </c>
      <c r="F190" s="47">
        <f t="shared" si="338"/>
        <v>-6.0606060606060552E-2</v>
      </c>
      <c r="G190" s="75">
        <f t="shared" si="338"/>
        <v>-0.19354838709677424</v>
      </c>
      <c r="H190" s="75">
        <f t="shared" si="338"/>
        <v>4.0000000000000036E-2</v>
      </c>
      <c r="I190" s="47">
        <f t="shared" si="338"/>
        <v>-0.15384615384615385</v>
      </c>
      <c r="J190" s="47">
        <f t="shared" si="338"/>
        <v>3.624254049445863E-2</v>
      </c>
      <c r="K190" s="47">
        <f t="shared" si="338"/>
        <v>3.8059450231898273E-2</v>
      </c>
      <c r="L190" s="47">
        <f t="shared" si="338"/>
        <v>4.010381903799165E-2</v>
      </c>
      <c r="M190" s="47">
        <f t="shared" si="338"/>
        <v>4.2407179739707868E-2</v>
      </c>
      <c r="N190" s="47">
        <f t="shared" si="338"/>
        <v>4.500225366851951E-2</v>
      </c>
    </row>
    <row r="191" spans="1:14">
      <c r="A191" s="46" t="s">
        <v>133</v>
      </c>
      <c r="B191" s="47">
        <f>+IFERROR(B189/B$168,"nm")</f>
        <v>9.0817356205852677E-3</v>
      </c>
      <c r="C191" s="47">
        <f t="shared" ref="C191:I191" si="339">+IFERROR(C189/C$168,"nm")</f>
        <v>1.3810741687979539E-2</v>
      </c>
      <c r="D191" s="47">
        <f t="shared" si="339"/>
        <v>1.3712047012732615E-2</v>
      </c>
      <c r="E191" s="47">
        <f t="shared" si="339"/>
        <v>1.7497348886532343E-2</v>
      </c>
      <c r="F191" s="47">
        <f t="shared" si="339"/>
        <v>1.6264428121720881E-2</v>
      </c>
      <c r="G191" s="75">
        <f t="shared" si="339"/>
        <v>1.3542795232936078E-2</v>
      </c>
      <c r="H191" s="75">
        <f t="shared" si="339"/>
        <v>1.1791383219954649E-2</v>
      </c>
      <c r="I191" s="47">
        <f t="shared" si="339"/>
        <v>9.3776641091219103E-3</v>
      </c>
      <c r="J191" s="47">
        <f t="shared" ref="J191:N191" si="340">+IFERROR(J189/J$21,"nm")</f>
        <v>1.12639844829761E-3</v>
      </c>
      <c r="K191" s="47">
        <f t="shared" si="340"/>
        <v>1.0600822990476562E-3</v>
      </c>
      <c r="L191" s="47">
        <f t="shared" si="340"/>
        <v>9.99428789583708E-4</v>
      </c>
      <c r="M191" s="47">
        <f t="shared" si="340"/>
        <v>9.4413710525476232E-4</v>
      </c>
      <c r="N191" s="47">
        <f t="shared" si="340"/>
        <v>8.9393987721492728E-4</v>
      </c>
    </row>
    <row r="192" spans="1:14">
      <c r="A192" s="46" t="s">
        <v>140</v>
      </c>
      <c r="B192" s="47">
        <f t="shared" ref="B192:I192" si="341">+IFERROR(B189/B199,"nm")</f>
        <v>0.14754098360655737</v>
      </c>
      <c r="C192" s="47">
        <f t="shared" si="341"/>
        <v>0.216</v>
      </c>
      <c r="D192" s="47">
        <f t="shared" si="341"/>
        <v>0.224</v>
      </c>
      <c r="E192" s="47">
        <f t="shared" si="341"/>
        <v>0.28695652173913044</v>
      </c>
      <c r="F192" s="47">
        <f t="shared" si="341"/>
        <v>0.31</v>
      </c>
      <c r="G192" s="75">
        <f t="shared" si="341"/>
        <v>0.3125</v>
      </c>
      <c r="H192" s="75">
        <f t="shared" si="341"/>
        <v>0.41269841269841268</v>
      </c>
      <c r="I192" s="47">
        <f t="shared" si="341"/>
        <v>0.44897959183673469</v>
      </c>
      <c r="J192" s="49">
        <f>+I192</f>
        <v>0.44897959183673469</v>
      </c>
      <c r="K192" s="49">
        <f t="shared" ref="K192:N192" si="342">+J192</f>
        <v>0.44897959183673469</v>
      </c>
      <c r="L192" s="49">
        <f t="shared" si="342"/>
        <v>0.44897959183673469</v>
      </c>
      <c r="M192" s="49">
        <f t="shared" si="342"/>
        <v>0.44897959183673469</v>
      </c>
      <c r="N192" s="49">
        <f t="shared" si="342"/>
        <v>0.44897959183673469</v>
      </c>
    </row>
    <row r="193" spans="1:14">
      <c r="A193" s="9" t="s">
        <v>134</v>
      </c>
      <c r="B193" s="9">
        <v>517</v>
      </c>
      <c r="C193" s="9">
        <v>487</v>
      </c>
      <c r="D193" s="9">
        <v>477</v>
      </c>
      <c r="E193" s="9">
        <v>310</v>
      </c>
      <c r="F193" s="9">
        <v>303</v>
      </c>
      <c r="G193" s="79">
        <v>297</v>
      </c>
      <c r="H193" s="79">
        <v>543</v>
      </c>
      <c r="I193" s="9">
        <v>669</v>
      </c>
      <c r="J193" s="9">
        <f>+J186-J189</f>
        <v>693.24625959079287</v>
      </c>
      <c r="K193" s="9">
        <f t="shared" ref="K193:N193" si="343">+K186-K189</f>
        <v>719.63083110613832</v>
      </c>
      <c r="L193" s="9">
        <f t="shared" si="343"/>
        <v>748.49077573097827</v>
      </c>
      <c r="M193" s="9">
        <f t="shared" si="343"/>
        <v>780.23215859091522</v>
      </c>
      <c r="N193" s="9">
        <f t="shared" si="343"/>
        <v>815.34436411216006</v>
      </c>
    </row>
    <row r="194" spans="1:14">
      <c r="A194" s="46" t="s">
        <v>129</v>
      </c>
      <c r="B194" s="89" t="str">
        <f t="shared" ref="B194:N194" si="344">+IFERROR(B193/A193-1,"nm")</f>
        <v>nm</v>
      </c>
      <c r="C194" s="89">
        <f t="shared" si="344"/>
        <v>-5.8027079303675011E-2</v>
      </c>
      <c r="D194" s="89">
        <f t="shared" si="344"/>
        <v>-2.0533880903490731E-2</v>
      </c>
      <c r="E194" s="89">
        <f t="shared" si="344"/>
        <v>-0.35010482180293501</v>
      </c>
      <c r="F194" s="89">
        <f t="shared" si="344"/>
        <v>-2.2580645161290325E-2</v>
      </c>
      <c r="G194" s="90">
        <f t="shared" si="344"/>
        <v>-1.980198019801982E-2</v>
      </c>
      <c r="H194" s="90">
        <f t="shared" si="344"/>
        <v>0.82828282828282829</v>
      </c>
      <c r="I194" s="89">
        <f t="shared" si="344"/>
        <v>0.2320441988950277</v>
      </c>
      <c r="J194" s="89">
        <f t="shared" si="344"/>
        <v>3.624254049445863E-2</v>
      </c>
      <c r="K194" s="89">
        <f t="shared" si="344"/>
        <v>3.8059450231898273E-2</v>
      </c>
      <c r="L194" s="89">
        <f t="shared" si="344"/>
        <v>4.0103819037991428E-2</v>
      </c>
      <c r="M194" s="89">
        <f t="shared" si="344"/>
        <v>4.2407179739707868E-2</v>
      </c>
      <c r="N194" s="89">
        <f t="shared" si="344"/>
        <v>4.500225366851951E-2</v>
      </c>
    </row>
    <row r="195" spans="1:14">
      <c r="A195" s="46" t="s">
        <v>131</v>
      </c>
      <c r="B195" s="89">
        <f>+IFERROR(B193/B$168,"nm")</f>
        <v>0.26084762865792127</v>
      </c>
      <c r="C195" s="89">
        <f t="shared" ref="C195:I195" si="345">+IFERROR(C193/C$168,"nm")</f>
        <v>0.24910485933503837</v>
      </c>
      <c r="D195" s="89">
        <f t="shared" si="345"/>
        <v>0.23359451518119489</v>
      </c>
      <c r="E195" s="89">
        <f t="shared" si="345"/>
        <v>0.16436903499469777</v>
      </c>
      <c r="F195" s="89">
        <f t="shared" si="345"/>
        <v>0.1589716684155299</v>
      </c>
      <c r="G195" s="90">
        <f t="shared" si="345"/>
        <v>0.16088840736728061</v>
      </c>
      <c r="H195" s="90">
        <f t="shared" si="345"/>
        <v>0.24625850340136055</v>
      </c>
      <c r="I195" s="89">
        <f t="shared" si="345"/>
        <v>0.28516624040920718</v>
      </c>
      <c r="J195" s="49">
        <f>+I195</f>
        <v>0.28516624040920718</v>
      </c>
      <c r="K195" s="49">
        <f t="shared" ref="K195:N195" si="346">+J195</f>
        <v>0.28516624040920718</v>
      </c>
      <c r="L195" s="49">
        <f t="shared" si="346"/>
        <v>0.28516624040920718</v>
      </c>
      <c r="M195" s="49">
        <f t="shared" si="346"/>
        <v>0.28516624040920718</v>
      </c>
      <c r="N195" s="49">
        <f t="shared" si="346"/>
        <v>0.28516624040920718</v>
      </c>
    </row>
    <row r="196" spans="1:14">
      <c r="A196" s="9" t="s">
        <v>135</v>
      </c>
      <c r="B196" s="9">
        <v>69</v>
      </c>
      <c r="C196" s="9">
        <v>39</v>
      </c>
      <c r="D196" s="9">
        <v>30</v>
      </c>
      <c r="E196" s="9">
        <v>22</v>
      </c>
      <c r="F196" s="9">
        <v>18</v>
      </c>
      <c r="G196" s="79">
        <v>12</v>
      </c>
      <c r="H196" s="79">
        <v>7</v>
      </c>
      <c r="I196" s="9">
        <v>9</v>
      </c>
      <c r="J196" s="48">
        <f>+J168*J198</f>
        <v>9.3261828644501286</v>
      </c>
      <c r="K196" s="48">
        <f t="shared" ref="K196:N196" si="347">+K168*K198</f>
        <v>9.6811322570332496</v>
      </c>
      <c r="L196" s="48">
        <f t="shared" si="347"/>
        <v>10.069382633152175</v>
      </c>
      <c r="M196" s="48">
        <f t="shared" si="347"/>
        <v>10.49639675234415</v>
      </c>
      <c r="N196" s="48">
        <f t="shared" si="347"/>
        <v>10.968758261598566</v>
      </c>
    </row>
    <row r="197" spans="1:14">
      <c r="A197" s="46" t="s">
        <v>129</v>
      </c>
      <c r="B197" s="47" t="str">
        <f t="shared" ref="B197:N197" si="348">+IFERROR(B196/A196-1,"nm")</f>
        <v>nm</v>
      </c>
      <c r="C197" s="47">
        <f t="shared" si="348"/>
        <v>-0.43478260869565222</v>
      </c>
      <c r="D197" s="47">
        <f t="shared" si="348"/>
        <v>-0.23076923076923073</v>
      </c>
      <c r="E197" s="47">
        <f t="shared" si="348"/>
        <v>-0.26666666666666672</v>
      </c>
      <c r="F197" s="47">
        <f t="shared" si="348"/>
        <v>-0.18181818181818177</v>
      </c>
      <c r="G197" s="75">
        <f t="shared" si="348"/>
        <v>-0.33333333333333337</v>
      </c>
      <c r="H197" s="75">
        <f t="shared" si="348"/>
        <v>-0.41666666666666663</v>
      </c>
      <c r="I197" s="47">
        <f t="shared" si="348"/>
        <v>0.28571428571428581</v>
      </c>
      <c r="J197" s="47">
        <f t="shared" si="348"/>
        <v>3.624254049445863E-2</v>
      </c>
      <c r="K197" s="47">
        <f t="shared" si="348"/>
        <v>3.8059450231898051E-2</v>
      </c>
      <c r="L197" s="47">
        <f t="shared" si="348"/>
        <v>4.010381903799165E-2</v>
      </c>
      <c r="M197" s="47">
        <f t="shared" si="348"/>
        <v>4.2407179739707646E-2</v>
      </c>
      <c r="N197" s="47">
        <f t="shared" si="348"/>
        <v>4.500225366851951E-2</v>
      </c>
    </row>
    <row r="198" spans="1:14">
      <c r="A198" s="46" t="s">
        <v>133</v>
      </c>
      <c r="B198" s="47">
        <f>+IFERROR(B196/B$168,"nm")</f>
        <v>3.481331987891019E-2</v>
      </c>
      <c r="C198" s="47">
        <f t="shared" ref="C198:I198" si="349">+IFERROR(C196/C$168,"nm")</f>
        <v>1.9948849104859334E-2</v>
      </c>
      <c r="D198" s="47">
        <f t="shared" si="349"/>
        <v>1.4691478942213516E-2</v>
      </c>
      <c r="E198" s="47">
        <f t="shared" si="349"/>
        <v>1.166489925768823E-2</v>
      </c>
      <c r="F198" s="47">
        <f t="shared" si="349"/>
        <v>9.4438614900314802E-3</v>
      </c>
      <c r="G198" s="75">
        <f t="shared" si="349"/>
        <v>6.5005417118093175E-3</v>
      </c>
      <c r="H198" s="75">
        <f t="shared" si="349"/>
        <v>3.1746031746031746E-3</v>
      </c>
      <c r="I198" s="47">
        <f t="shared" si="349"/>
        <v>3.8363171355498722E-3</v>
      </c>
      <c r="J198" s="49">
        <f>+I198</f>
        <v>3.8363171355498722E-3</v>
      </c>
      <c r="K198" s="49">
        <f t="shared" ref="K198:N198" si="350">+J198</f>
        <v>3.8363171355498722E-3</v>
      </c>
      <c r="L198" s="49">
        <f t="shared" si="350"/>
        <v>3.8363171355498722E-3</v>
      </c>
      <c r="M198" s="49">
        <f t="shared" si="350"/>
        <v>3.8363171355498722E-3</v>
      </c>
      <c r="N198" s="49">
        <f t="shared" si="350"/>
        <v>3.8363171355498722E-3</v>
      </c>
    </row>
    <row r="199" spans="1:14">
      <c r="A199" s="9" t="s">
        <v>141</v>
      </c>
      <c r="B199" s="9">
        <v>122</v>
      </c>
      <c r="C199" s="9">
        <v>125</v>
      </c>
      <c r="D199" s="9">
        <v>125</v>
      </c>
      <c r="E199" s="9">
        <v>115</v>
      </c>
      <c r="F199" s="9">
        <v>100</v>
      </c>
      <c r="G199" s="79">
        <v>80</v>
      </c>
      <c r="H199" s="79">
        <v>63</v>
      </c>
      <c r="I199" s="9">
        <v>49</v>
      </c>
      <c r="J199" s="48">
        <f>+J168*J201</f>
        <v>50.775884484228477</v>
      </c>
      <c r="K199" s="48">
        <f t="shared" ref="K199:N199" si="351">+K168*K201</f>
        <v>52.708386732736585</v>
      </c>
      <c r="L199" s="48">
        <f t="shared" si="351"/>
        <v>54.822194336050728</v>
      </c>
      <c r="M199" s="48">
        <f t="shared" si="351"/>
        <v>57.147048984984821</v>
      </c>
      <c r="N199" s="48">
        <f t="shared" si="351"/>
        <v>59.718794979814419</v>
      </c>
    </row>
    <row r="200" spans="1:14">
      <c r="A200" s="46" t="s">
        <v>129</v>
      </c>
      <c r="B200" s="47" t="str">
        <f t="shared" ref="B200:I200" si="352">+IFERROR(B199/A199-1,"nm")</f>
        <v>nm</v>
      </c>
      <c r="C200" s="47">
        <f t="shared" si="352"/>
        <v>2.4590163934426146E-2</v>
      </c>
      <c r="D200" s="47">
        <f t="shared" si="352"/>
        <v>0</v>
      </c>
      <c r="E200" s="47">
        <f t="shared" si="352"/>
        <v>-7.999999999999996E-2</v>
      </c>
      <c r="F200" s="47">
        <f t="shared" si="352"/>
        <v>-0.13043478260869568</v>
      </c>
      <c r="G200" s="75">
        <f t="shared" si="352"/>
        <v>-0.19999999999999996</v>
      </c>
      <c r="H200" s="75">
        <f t="shared" si="352"/>
        <v>-0.21250000000000002</v>
      </c>
      <c r="I200" s="47">
        <f t="shared" si="352"/>
        <v>-0.22222222222222221</v>
      </c>
      <c r="J200" s="47">
        <f>+J201+J202</f>
        <v>2.0886615515771527E-2</v>
      </c>
      <c r="K200" s="47">
        <f t="shared" ref="K200:N200" si="353">+K201+K202</f>
        <v>2.0886615515771527E-2</v>
      </c>
      <c r="L200" s="47">
        <f t="shared" si="353"/>
        <v>2.0886615515771527E-2</v>
      </c>
      <c r="M200" s="47">
        <f t="shared" si="353"/>
        <v>2.0886615515771527E-2</v>
      </c>
      <c r="N200" s="47">
        <f t="shared" si="353"/>
        <v>2.0886615515771527E-2</v>
      </c>
    </row>
    <row r="201" spans="1:14">
      <c r="A201" s="46" t="s">
        <v>133</v>
      </c>
      <c r="B201" s="47">
        <f>+IFERROR(B199/B$168,"nm")</f>
        <v>6.1553985872855703E-2</v>
      </c>
      <c r="C201" s="47">
        <f t="shared" ref="C201:I201" si="354">+IFERROR(C199/C$168,"nm")</f>
        <v>6.3938618925831206E-2</v>
      </c>
      <c r="D201" s="47">
        <f t="shared" si="354"/>
        <v>6.1214495592556317E-2</v>
      </c>
      <c r="E201" s="47">
        <f t="shared" si="354"/>
        <v>6.097560975609756E-2</v>
      </c>
      <c r="F201" s="47">
        <f t="shared" si="354"/>
        <v>5.2465897166841552E-2</v>
      </c>
      <c r="G201" s="75">
        <f t="shared" si="354"/>
        <v>4.3336944745395449E-2</v>
      </c>
      <c r="H201" s="75">
        <f t="shared" si="354"/>
        <v>2.8571428571428571E-2</v>
      </c>
      <c r="I201" s="47">
        <f t="shared" si="354"/>
        <v>2.0886615515771527E-2</v>
      </c>
      <c r="J201" s="49">
        <f>+I201</f>
        <v>2.0886615515771527E-2</v>
      </c>
      <c r="K201" s="49">
        <f t="shared" ref="K201:N201" si="355">+J201</f>
        <v>2.0886615515771527E-2</v>
      </c>
      <c r="L201" s="49">
        <f t="shared" si="355"/>
        <v>2.0886615515771527E-2</v>
      </c>
      <c r="M201" s="49">
        <f t="shared" si="355"/>
        <v>2.0886615515771527E-2</v>
      </c>
      <c r="N201" s="49">
        <f t="shared" si="355"/>
        <v>2.0886615515771527E-2</v>
      </c>
    </row>
    <row r="202" spans="1:14">
      <c r="A202" s="43" t="s">
        <v>108</v>
      </c>
      <c r="B202" s="43"/>
      <c r="C202" s="43"/>
      <c r="D202" s="43"/>
      <c r="E202" s="43"/>
      <c r="F202" s="43"/>
      <c r="G202" s="81"/>
      <c r="H202" s="81"/>
      <c r="I202" s="43"/>
      <c r="J202" s="39"/>
      <c r="K202" s="39"/>
      <c r="L202" s="39"/>
      <c r="M202" s="39"/>
      <c r="N202" s="39"/>
    </row>
    <row r="203" spans="1:14">
      <c r="A203" s="9" t="s">
        <v>136</v>
      </c>
      <c r="B203" s="48">
        <v>-82</v>
      </c>
      <c r="C203" s="48">
        <v>-86</v>
      </c>
      <c r="D203" s="48">
        <v>75</v>
      </c>
      <c r="E203" s="48">
        <v>26</v>
      </c>
      <c r="F203" s="48">
        <v>-7</v>
      </c>
      <c r="G203" s="80">
        <v>-11</v>
      </c>
      <c r="H203" s="80">
        <v>40</v>
      </c>
      <c r="I203" s="48">
        <v>-72</v>
      </c>
      <c r="J203" s="79">
        <f>I203*(1+J204)</f>
        <v>27.043902439024382</v>
      </c>
      <c r="K203" s="79">
        <f t="shared" ref="K203:N203" si="356">J203*(1+K204)</f>
        <v>-10.157953599048179</v>
      </c>
      <c r="L203" s="79">
        <f t="shared" si="356"/>
        <v>3.8154264737888273</v>
      </c>
      <c r="M203" s="79">
        <f t="shared" si="356"/>
        <v>-1.433111407227998</v>
      </c>
      <c r="N203" s="79">
        <f t="shared" si="356"/>
        <v>0.53829062612954059</v>
      </c>
    </row>
    <row r="204" spans="1:14">
      <c r="A204" s="44" t="s">
        <v>129</v>
      </c>
      <c r="B204" s="47" t="str">
        <f t="shared" ref="B204:H204" si="357">+IFERROR(B203/A203-1,"nm")</f>
        <v>nm</v>
      </c>
      <c r="C204" s="47">
        <f t="shared" si="357"/>
        <v>4.8780487804878092E-2</v>
      </c>
      <c r="D204" s="47">
        <f t="shared" si="357"/>
        <v>-1.8720930232558139</v>
      </c>
      <c r="E204" s="47">
        <f t="shared" si="357"/>
        <v>-0.65333333333333332</v>
      </c>
      <c r="F204" s="47">
        <f t="shared" si="357"/>
        <v>-1.2692307692307692</v>
      </c>
      <c r="G204" s="75">
        <f t="shared" si="357"/>
        <v>0.5714285714285714</v>
      </c>
      <c r="H204" s="75">
        <f t="shared" si="357"/>
        <v>-4.6363636363636367</v>
      </c>
      <c r="I204" s="47">
        <f>+IFERROR(I203/H203-1,"nm")</f>
        <v>-2.8</v>
      </c>
      <c r="J204" s="47">
        <f>(C204+I204)/2</f>
        <v>-1.3756097560975609</v>
      </c>
      <c r="K204" s="47">
        <f>+J204</f>
        <v>-1.3756097560975609</v>
      </c>
      <c r="L204" s="47">
        <f t="shared" ref="L204:N204" si="358">+K204</f>
        <v>-1.3756097560975609</v>
      </c>
      <c r="M204" s="47">
        <f t="shared" si="358"/>
        <v>-1.3756097560975609</v>
      </c>
      <c r="N204" s="47">
        <f t="shared" si="358"/>
        <v>-1.3756097560975609</v>
      </c>
    </row>
    <row r="205" spans="1:14">
      <c r="A205" s="9" t="s">
        <v>130</v>
      </c>
      <c r="B205" s="48">
        <f>B208+B212</f>
        <v>-1026</v>
      </c>
      <c r="C205" s="48">
        <f t="shared" ref="C205:I205" si="359">C208+C212</f>
        <v>-1089</v>
      </c>
      <c r="D205" s="48">
        <f t="shared" si="359"/>
        <v>-633</v>
      </c>
      <c r="E205" s="48">
        <f t="shared" si="359"/>
        <v>-1346</v>
      </c>
      <c r="F205" s="48">
        <f t="shared" si="359"/>
        <v>-1694</v>
      </c>
      <c r="G205" s="80">
        <f t="shared" si="359"/>
        <v>-1855</v>
      </c>
      <c r="H205" s="80">
        <f t="shared" si="359"/>
        <v>-2120</v>
      </c>
      <c r="I205" s="48">
        <f t="shared" si="359"/>
        <v>-2085</v>
      </c>
      <c r="J205" s="48">
        <f>+J203*J207</f>
        <v>-1406.2829268292678</v>
      </c>
      <c r="K205" s="48">
        <f>+K203*K207</f>
        <v>528.2135871505053</v>
      </c>
      <c r="L205" s="48">
        <f>+L203*L207</f>
        <v>-198.40217663701901</v>
      </c>
      <c r="M205" s="48">
        <f>+M203*M207</f>
        <v>74.52179317585589</v>
      </c>
      <c r="N205" s="48">
        <f>+N203*N207</f>
        <v>-27.991112558736113</v>
      </c>
    </row>
    <row r="206" spans="1:14">
      <c r="A206" s="46" t="s">
        <v>129</v>
      </c>
      <c r="B206" s="47" t="str">
        <f>+IFERROR(B205/A205-1,"nm")</f>
        <v>nm</v>
      </c>
      <c r="C206" s="47">
        <f t="shared" ref="C206:N206" si="360">+IFERROR(C205/B205-1,"nm")</f>
        <v>6.1403508771929793E-2</v>
      </c>
      <c r="D206" s="47">
        <f t="shared" si="360"/>
        <v>-0.41873278236914602</v>
      </c>
      <c r="E206" s="47">
        <f t="shared" si="360"/>
        <v>1.126382306477093</v>
      </c>
      <c r="F206" s="47">
        <f t="shared" si="360"/>
        <v>0.25854383358098065</v>
      </c>
      <c r="G206" s="75">
        <f t="shared" si="360"/>
        <v>9.5041322314049603E-2</v>
      </c>
      <c r="H206" s="75">
        <f t="shared" si="360"/>
        <v>0.14285714285714279</v>
      </c>
      <c r="I206" s="47">
        <f t="shared" si="360"/>
        <v>-1.650943396226412E-2</v>
      </c>
      <c r="J206" s="47">
        <f t="shared" si="360"/>
        <v>-0.32552377610107064</v>
      </c>
      <c r="K206" s="47">
        <f t="shared" si="360"/>
        <v>-1.3756097560975609</v>
      </c>
      <c r="L206" s="47">
        <f t="shared" si="360"/>
        <v>-1.3756097560975609</v>
      </c>
      <c r="M206" s="47">
        <f t="shared" si="360"/>
        <v>-1.3756097560975609</v>
      </c>
      <c r="N206" s="47">
        <f t="shared" si="360"/>
        <v>-1.3756097560975609</v>
      </c>
    </row>
    <row r="207" spans="1:14">
      <c r="A207" s="91" t="s">
        <v>131</v>
      </c>
      <c r="B207" s="75">
        <f>+IFERROR(B205/B$203,"nm")</f>
        <v>12.512195121951219</v>
      </c>
      <c r="C207" s="75">
        <f t="shared" ref="C207:I207" si="361">+IFERROR(C205/C$203,"nm")</f>
        <v>12.662790697674419</v>
      </c>
      <c r="D207" s="75">
        <f t="shared" si="361"/>
        <v>-8.44</v>
      </c>
      <c r="E207" s="75">
        <f t="shared" si="361"/>
        <v>-51.769230769230766</v>
      </c>
      <c r="F207" s="75">
        <f t="shared" si="361"/>
        <v>242</v>
      </c>
      <c r="G207" s="75">
        <f t="shared" si="361"/>
        <v>168.63636363636363</v>
      </c>
      <c r="H207" s="75">
        <f t="shared" si="361"/>
        <v>-53</v>
      </c>
      <c r="I207" s="75">
        <f t="shared" si="361"/>
        <v>28.958333333333332</v>
      </c>
      <c r="J207" s="49">
        <v>-52</v>
      </c>
      <c r="K207" s="49">
        <f t="shared" ref="K207:N207" si="362">+J207</f>
        <v>-52</v>
      </c>
      <c r="L207" s="49">
        <f t="shared" si="362"/>
        <v>-52</v>
      </c>
      <c r="M207" s="49">
        <f t="shared" si="362"/>
        <v>-52</v>
      </c>
      <c r="N207" s="49">
        <f t="shared" si="362"/>
        <v>-52</v>
      </c>
    </row>
    <row r="208" spans="1:14">
      <c r="A208" s="9" t="s">
        <v>132</v>
      </c>
      <c r="B208" s="9">
        <v>75</v>
      </c>
      <c r="C208" s="9">
        <v>84</v>
      </c>
      <c r="D208" s="9">
        <v>91</v>
      </c>
      <c r="E208" s="9">
        <v>110</v>
      </c>
      <c r="F208" s="9">
        <v>116</v>
      </c>
      <c r="G208" s="79">
        <v>112</v>
      </c>
      <c r="H208" s="79">
        <v>141</v>
      </c>
      <c r="I208" s="9">
        <v>134</v>
      </c>
      <c r="J208" s="48">
        <f>+J211*J218</f>
        <v>-50.33170731707316</v>
      </c>
      <c r="K208" s="48">
        <f t="shared" ref="K208:N208" si="363">+K211*K218</f>
        <v>18.905080309339667</v>
      </c>
      <c r="L208" s="48">
        <f t="shared" si="363"/>
        <v>-7.1009326039958731</v>
      </c>
      <c r="M208" s="48">
        <f t="shared" si="363"/>
        <v>2.6671795634521076</v>
      </c>
      <c r="N208" s="48">
        <f t="shared" si="363"/>
        <v>-1.001818665296645</v>
      </c>
    </row>
    <row r="209" spans="1:14">
      <c r="A209" s="46" t="s">
        <v>129</v>
      </c>
      <c r="B209" s="47" t="str">
        <f t="shared" ref="B209:I209" si="364">+IFERROR(B208/A208-1,"nm")</f>
        <v>nm</v>
      </c>
      <c r="C209" s="47">
        <f t="shared" si="364"/>
        <v>0.12000000000000011</v>
      </c>
      <c r="D209" s="47">
        <f t="shared" si="364"/>
        <v>8.3333333333333259E-2</v>
      </c>
      <c r="E209" s="47">
        <f t="shared" si="364"/>
        <v>0.20879120879120872</v>
      </c>
      <c r="F209" s="47">
        <f t="shared" si="364"/>
        <v>5.4545454545454453E-2</v>
      </c>
      <c r="G209" s="75">
        <f t="shared" si="364"/>
        <v>-3.4482758620689613E-2</v>
      </c>
      <c r="H209" s="75">
        <f t="shared" si="364"/>
        <v>0.2589285714285714</v>
      </c>
      <c r="I209" s="47">
        <f t="shared" si="364"/>
        <v>-4.9645390070921946E-2</v>
      </c>
      <c r="J209" s="47">
        <v>0</v>
      </c>
      <c r="K209" s="47">
        <v>0</v>
      </c>
      <c r="L209" s="47">
        <v>0</v>
      </c>
      <c r="M209" s="47">
        <v>0</v>
      </c>
      <c r="N209" s="47">
        <v>0</v>
      </c>
    </row>
    <row r="210" spans="1:14">
      <c r="A210" s="46" t="s">
        <v>133</v>
      </c>
      <c r="B210" s="47">
        <f>+IFERROR(B208/B$203,"nm")</f>
        <v>-0.91463414634146345</v>
      </c>
      <c r="C210" s="47">
        <f t="shared" ref="C210:I210" si="365">+IFERROR(C208/C$203,"nm")</f>
        <v>-0.97674418604651159</v>
      </c>
      <c r="D210" s="47">
        <f t="shared" si="365"/>
        <v>1.2133333333333334</v>
      </c>
      <c r="E210" s="47">
        <f t="shared" si="365"/>
        <v>4.2307692307692308</v>
      </c>
      <c r="F210" s="47">
        <f t="shared" si="365"/>
        <v>-16.571428571428573</v>
      </c>
      <c r="G210" s="75">
        <f t="shared" si="365"/>
        <v>-10.181818181818182</v>
      </c>
      <c r="H210" s="75">
        <f t="shared" si="365"/>
        <v>3.5249999999999999</v>
      </c>
      <c r="I210" s="47">
        <f t="shared" si="365"/>
        <v>-1.8611111111111112</v>
      </c>
      <c r="J210" s="47">
        <f t="shared" ref="J210:N210" si="366">+IFERROR(J208/J$21,"nm")</f>
        <v>-2.4868500992173167E-3</v>
      </c>
      <c r="K210" s="47">
        <f t="shared" si="366"/>
        <v>8.4686032111121157E-4</v>
      </c>
      <c r="L210" s="47">
        <f t="shared" si="366"/>
        <v>-2.8832628132105954E-4</v>
      </c>
      <c r="M210" s="47">
        <f t="shared" si="366"/>
        <v>9.8144713435847089E-5</v>
      </c>
      <c r="N210" s="47">
        <f t="shared" si="366"/>
        <v>-3.3401024899303764E-5</v>
      </c>
    </row>
    <row r="211" spans="1:14">
      <c r="A211" s="46" t="s">
        <v>140</v>
      </c>
      <c r="B211" s="47">
        <f t="shared" ref="B211:I211" si="367">+IFERROR(B208/B218,"nm")</f>
        <v>0.10518934081346423</v>
      </c>
      <c r="C211" s="47">
        <f t="shared" si="367"/>
        <v>8.9647812166488788E-2</v>
      </c>
      <c r="D211" s="47">
        <f t="shared" si="367"/>
        <v>7.3505654281098551E-2</v>
      </c>
      <c r="E211" s="47">
        <f t="shared" si="367"/>
        <v>7.586206896551724E-2</v>
      </c>
      <c r="F211" s="47">
        <f t="shared" si="367"/>
        <v>6.9336521219366412E-2</v>
      </c>
      <c r="G211" s="75">
        <f t="shared" si="367"/>
        <v>5.845511482254697E-2</v>
      </c>
      <c r="H211" s="75">
        <f t="shared" si="367"/>
        <v>7.5401069518716571E-2</v>
      </c>
      <c r="I211" s="47">
        <f t="shared" si="367"/>
        <v>7.374793615850303E-2</v>
      </c>
      <c r="J211" s="49">
        <f>+I211</f>
        <v>7.374793615850303E-2</v>
      </c>
      <c r="K211" s="49">
        <f t="shared" ref="K211:N211" si="368">+J211</f>
        <v>7.374793615850303E-2</v>
      </c>
      <c r="L211" s="49">
        <f t="shared" si="368"/>
        <v>7.374793615850303E-2</v>
      </c>
      <c r="M211" s="49">
        <f t="shared" si="368"/>
        <v>7.374793615850303E-2</v>
      </c>
      <c r="N211" s="49">
        <f t="shared" si="368"/>
        <v>7.374793615850303E-2</v>
      </c>
    </row>
    <row r="212" spans="1:14">
      <c r="A212" s="9" t="s">
        <v>134</v>
      </c>
      <c r="B212" s="9">
        <v>-1101</v>
      </c>
      <c r="C212" s="9">
        <v>-1173</v>
      </c>
      <c r="D212" s="9">
        <v>-724</v>
      </c>
      <c r="E212" s="9">
        <v>-1456</v>
      </c>
      <c r="F212" s="9">
        <v>-1810</v>
      </c>
      <c r="G212" s="79">
        <v>-1967</v>
      </c>
      <c r="H212" s="79">
        <v>-2261</v>
      </c>
      <c r="I212" s="9">
        <v>-2219</v>
      </c>
      <c r="J212" s="9">
        <f>+J205-J208</f>
        <v>-1355.9512195121947</v>
      </c>
      <c r="K212" s="9">
        <f t="shared" ref="K212:N212" si="369">+K205-K208</f>
        <v>509.30850684116564</v>
      </c>
      <c r="L212" s="9">
        <f t="shared" si="369"/>
        <v>-191.30124403302312</v>
      </c>
      <c r="M212" s="9">
        <f t="shared" si="369"/>
        <v>71.854613612403782</v>
      </c>
      <c r="N212" s="9">
        <f t="shared" si="369"/>
        <v>-26.989293893439466</v>
      </c>
    </row>
    <row r="213" spans="1:14">
      <c r="A213" s="46" t="s">
        <v>129</v>
      </c>
      <c r="B213" s="89" t="str">
        <f t="shared" ref="B213:I213" si="370">+IFERROR(B212/A212-1,"nm")</f>
        <v>nm</v>
      </c>
      <c r="C213" s="89">
        <f t="shared" si="370"/>
        <v>6.5395095367847489E-2</v>
      </c>
      <c r="D213" s="89">
        <f t="shared" si="370"/>
        <v>-0.38277919863597609</v>
      </c>
      <c r="E213" s="89">
        <f t="shared" si="370"/>
        <v>1.0110497237569063</v>
      </c>
      <c r="F213" s="89">
        <f t="shared" si="370"/>
        <v>0.24313186813186816</v>
      </c>
      <c r="G213" s="90">
        <f t="shared" si="370"/>
        <v>8.6740331491712785E-2</v>
      </c>
      <c r="H213" s="90">
        <f t="shared" si="370"/>
        <v>0.14946619217081847</v>
      </c>
      <c r="I213" s="89">
        <f t="shared" si="370"/>
        <v>-1.8575851393188847E-2</v>
      </c>
      <c r="J213" s="47">
        <v>0</v>
      </c>
      <c r="K213" s="47">
        <v>0</v>
      </c>
      <c r="L213" s="47">
        <v>0</v>
      </c>
      <c r="M213" s="47">
        <v>0</v>
      </c>
      <c r="N213" s="47">
        <v>0</v>
      </c>
    </row>
    <row r="214" spans="1:14">
      <c r="A214" s="46" t="s">
        <v>131</v>
      </c>
      <c r="B214" s="89">
        <f>+IFERROR(B212/B$203,"nm")</f>
        <v>13.426829268292684</v>
      </c>
      <c r="C214" s="89">
        <f t="shared" ref="C214:I214" si="371">+IFERROR(C212/C$203,"nm")</f>
        <v>13.63953488372093</v>
      </c>
      <c r="D214" s="89">
        <f t="shared" si="371"/>
        <v>-9.6533333333333342</v>
      </c>
      <c r="E214" s="89">
        <f t="shared" si="371"/>
        <v>-56</v>
      </c>
      <c r="F214" s="89">
        <f t="shared" si="371"/>
        <v>258.57142857142856</v>
      </c>
      <c r="G214" s="90">
        <f t="shared" si="371"/>
        <v>178.81818181818181</v>
      </c>
      <c r="H214" s="90">
        <f t="shared" si="371"/>
        <v>-56.524999999999999</v>
      </c>
      <c r="I214" s="89">
        <f t="shared" si="371"/>
        <v>30.819444444444443</v>
      </c>
      <c r="J214" s="49">
        <f>+I214</f>
        <v>30.819444444444443</v>
      </c>
      <c r="K214" s="49">
        <f t="shared" ref="K214:N214" si="372">+J214</f>
        <v>30.819444444444443</v>
      </c>
      <c r="L214" s="49">
        <f t="shared" si="372"/>
        <v>30.819444444444443</v>
      </c>
      <c r="M214" s="49">
        <f t="shared" si="372"/>
        <v>30.819444444444443</v>
      </c>
      <c r="N214" s="49">
        <f t="shared" si="372"/>
        <v>30.819444444444443</v>
      </c>
    </row>
    <row r="215" spans="1:14">
      <c r="A215" s="9" t="s">
        <v>135</v>
      </c>
      <c r="B215" s="9">
        <v>254</v>
      </c>
      <c r="C215" s="9">
        <v>264</v>
      </c>
      <c r="D215" s="9">
        <v>291</v>
      </c>
      <c r="E215" s="9">
        <v>159</v>
      </c>
      <c r="F215" s="9">
        <v>377</v>
      </c>
      <c r="G215" s="79">
        <v>318</v>
      </c>
      <c r="H215" s="79">
        <v>11</v>
      </c>
      <c r="I215" s="9">
        <v>50</v>
      </c>
      <c r="J215" s="48">
        <f>+J203*J217</f>
        <v>-18.780487804878042</v>
      </c>
      <c r="K215" s="48">
        <f>+K203*K217</f>
        <v>7.0541344437834574</v>
      </c>
      <c r="L215" s="48">
        <f>+L203*L217</f>
        <v>-2.6496017179089075</v>
      </c>
      <c r="M215" s="48">
        <f>+M203*M217</f>
        <v>0.995216255019443</v>
      </c>
      <c r="N215" s="48">
        <f>+N203*N217</f>
        <v>-0.37381293481218097</v>
      </c>
    </row>
    <row r="216" spans="1:14">
      <c r="A216" s="46" t="s">
        <v>129</v>
      </c>
      <c r="B216" s="47" t="str">
        <f t="shared" ref="B216:K216" si="373">+IFERROR(B215/A215-1,"nm")</f>
        <v>nm</v>
      </c>
      <c r="C216" s="47">
        <f t="shared" si="373"/>
        <v>3.937007874015741E-2</v>
      </c>
      <c r="D216" s="47">
        <f t="shared" si="373"/>
        <v>0.10227272727272729</v>
      </c>
      <c r="E216" s="47">
        <f t="shared" si="373"/>
        <v>-0.45360824742268047</v>
      </c>
      <c r="F216" s="47">
        <f t="shared" si="373"/>
        <v>1.3710691823899372</v>
      </c>
      <c r="G216" s="75">
        <f t="shared" si="373"/>
        <v>-0.156498673740053</v>
      </c>
      <c r="H216" s="75">
        <f t="shared" si="373"/>
        <v>-0.96540880503144655</v>
      </c>
      <c r="I216" s="47">
        <f t="shared" si="373"/>
        <v>3.5454545454545459</v>
      </c>
      <c r="J216" s="47">
        <f t="shared" si="373"/>
        <v>-1.3756097560975609</v>
      </c>
      <c r="K216" s="47">
        <f t="shared" si="373"/>
        <v>-1.3756097560975609</v>
      </c>
      <c r="L216" s="47">
        <v>0</v>
      </c>
      <c r="M216" s="47">
        <v>0</v>
      </c>
      <c r="N216" s="47">
        <v>0</v>
      </c>
    </row>
    <row r="217" spans="1:14">
      <c r="A217" s="46" t="s">
        <v>133</v>
      </c>
      <c r="B217" s="47">
        <f>+IFERROR(B215/B$203,"nm")</f>
        <v>-3.0975609756097562</v>
      </c>
      <c r="C217" s="47">
        <f t="shared" ref="C217:I217" si="374">+IFERROR(C215/C$203,"nm")</f>
        <v>-3.0697674418604652</v>
      </c>
      <c r="D217" s="47">
        <f t="shared" si="374"/>
        <v>3.88</v>
      </c>
      <c r="E217" s="47">
        <f t="shared" si="374"/>
        <v>6.115384615384615</v>
      </c>
      <c r="F217" s="47">
        <f t="shared" si="374"/>
        <v>-53.857142857142854</v>
      </c>
      <c r="G217" s="75">
        <f t="shared" si="374"/>
        <v>-28.90909090909091</v>
      </c>
      <c r="H217" s="75">
        <f t="shared" si="374"/>
        <v>0.27500000000000002</v>
      </c>
      <c r="I217" s="47">
        <f t="shared" si="374"/>
        <v>-0.69444444444444442</v>
      </c>
      <c r="J217" s="49">
        <f>+I217</f>
        <v>-0.69444444444444442</v>
      </c>
      <c r="K217" s="49">
        <f t="shared" ref="K217:N217" si="375">+J217</f>
        <v>-0.69444444444444442</v>
      </c>
      <c r="L217" s="49">
        <f t="shared" si="375"/>
        <v>-0.69444444444444442</v>
      </c>
      <c r="M217" s="49">
        <f t="shared" si="375"/>
        <v>-0.69444444444444442</v>
      </c>
      <c r="N217" s="49">
        <f t="shared" si="375"/>
        <v>-0.69444444444444442</v>
      </c>
    </row>
    <row r="218" spans="1:14">
      <c r="A218" s="9" t="s">
        <v>141</v>
      </c>
      <c r="B218" s="9">
        <v>713</v>
      </c>
      <c r="C218" s="9">
        <v>937</v>
      </c>
      <c r="D218" s="9">
        <v>1238</v>
      </c>
      <c r="E218" s="9">
        <v>1450</v>
      </c>
      <c r="F218" s="9">
        <v>1673</v>
      </c>
      <c r="G218" s="79">
        <v>1916</v>
      </c>
      <c r="H218" s="79">
        <v>1870</v>
      </c>
      <c r="I218" s="9">
        <v>1817</v>
      </c>
      <c r="J218" s="48">
        <f>+J203*J220</f>
        <v>-682.48292682926808</v>
      </c>
      <c r="K218" s="48">
        <f>+K203*K220</f>
        <v>256.34724568709083</v>
      </c>
      <c r="L218" s="48">
        <f>+L203*L220</f>
        <v>-96.286526428809708</v>
      </c>
      <c r="M218" s="48">
        <f>+M203*M220</f>
        <v>36.166158707406559</v>
      </c>
      <c r="N218" s="48">
        <f>+N203*N220</f>
        <v>-13.584362051074656</v>
      </c>
    </row>
    <row r="219" spans="1:14">
      <c r="A219" s="46" t="s">
        <v>129</v>
      </c>
      <c r="B219" s="47" t="str">
        <f t="shared" ref="B219:I219" si="376">+IFERROR(B218/A218-1,"nm")</f>
        <v>nm</v>
      </c>
      <c r="C219" s="47">
        <f t="shared" si="376"/>
        <v>0.31416549789621318</v>
      </c>
      <c r="D219" s="47">
        <f t="shared" si="376"/>
        <v>0.32123799359658478</v>
      </c>
      <c r="E219" s="47">
        <f t="shared" si="376"/>
        <v>0.17124394184168024</v>
      </c>
      <c r="F219" s="47">
        <f t="shared" si="376"/>
        <v>0.15379310344827579</v>
      </c>
      <c r="G219" s="75">
        <f t="shared" si="376"/>
        <v>0.14524805738194857</v>
      </c>
      <c r="H219" s="75">
        <f t="shared" si="376"/>
        <v>-2.4008350730688965E-2</v>
      </c>
      <c r="I219" s="47">
        <f t="shared" si="376"/>
        <v>-2.8342245989304793E-2</v>
      </c>
      <c r="J219" s="47">
        <f>+J220+J221</f>
        <v>-25.236111111111111</v>
      </c>
      <c r="K219" s="47">
        <f t="shared" ref="K219:N219" si="377">+K220+K221</f>
        <v>-25.236111111111111</v>
      </c>
      <c r="L219" s="47">
        <f t="shared" si="377"/>
        <v>-25.236111111111111</v>
      </c>
      <c r="M219" s="47">
        <f t="shared" si="377"/>
        <v>-25.236111111111111</v>
      </c>
      <c r="N219" s="47">
        <f t="shared" si="377"/>
        <v>-25.236111111111111</v>
      </c>
    </row>
    <row r="220" spans="1:14">
      <c r="A220" s="46" t="s">
        <v>133</v>
      </c>
      <c r="B220" s="47">
        <f>+IFERROR(B218/B$203,"nm")</f>
        <v>-8.6951219512195124</v>
      </c>
      <c r="C220" s="47">
        <f t="shared" ref="C220:I220" si="378">+IFERROR(C218/C$203,"nm")</f>
        <v>-10.895348837209303</v>
      </c>
      <c r="D220" s="47">
        <f t="shared" si="378"/>
        <v>16.506666666666668</v>
      </c>
      <c r="E220" s="47">
        <f t="shared" si="378"/>
        <v>55.769230769230766</v>
      </c>
      <c r="F220" s="47">
        <f t="shared" si="378"/>
        <v>-239</v>
      </c>
      <c r="G220" s="75">
        <f t="shared" si="378"/>
        <v>-174.18181818181819</v>
      </c>
      <c r="H220" s="75">
        <f t="shared" si="378"/>
        <v>46.75</v>
      </c>
      <c r="I220" s="47">
        <f t="shared" si="378"/>
        <v>-25.236111111111111</v>
      </c>
      <c r="J220" s="49">
        <f>+I220</f>
        <v>-25.236111111111111</v>
      </c>
      <c r="K220" s="49">
        <f t="shared" ref="K220:N220" si="379">+J220</f>
        <v>-25.236111111111111</v>
      </c>
      <c r="L220" s="49">
        <f t="shared" si="379"/>
        <v>-25.236111111111111</v>
      </c>
      <c r="M220" s="49">
        <f t="shared" si="379"/>
        <v>-25.236111111111111</v>
      </c>
      <c r="N220" s="49">
        <f t="shared" si="379"/>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O77"/>
  <sheetViews>
    <sheetView tabSelected="1" workbookViewId="0">
      <selection activeCell="D6" sqref="D6"/>
    </sheetView>
  </sheetViews>
  <sheetFormatPr defaultColWidth="8.85546875" defaultRowHeight="15"/>
  <cols>
    <col min="1" max="1" width="48.7109375" style="50" customWidth="1"/>
    <col min="2" max="14" width="11.7109375" style="50" customWidth="1"/>
    <col min="15" max="15" width="52.5703125" style="50" customWidth="1"/>
    <col min="16" max="16384" width="8.85546875" style="50"/>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+J1+1</f>
        <v>2024</v>
      </c>
      <c r="L1" s="39">
        <f>+K1+1</f>
        <v>2025</v>
      </c>
      <c r="M1" s="39">
        <f>+L1+1</f>
        <v>2026</v>
      </c>
      <c r="N1" s="39">
        <f>+M1+1</f>
        <v>2027</v>
      </c>
      <c r="O1" s="64" t="s">
        <v>216</v>
      </c>
    </row>
    <row r="2" spans="1:15">
      <c r="A2" s="40" t="s">
        <v>149</v>
      </c>
      <c r="B2" s="40"/>
      <c r="C2" s="40"/>
      <c r="D2" s="40"/>
      <c r="E2" s="40"/>
      <c r="F2" s="40"/>
      <c r="G2" s="40"/>
      <c r="H2" s="40"/>
      <c r="I2" s="40"/>
      <c r="J2" s="40"/>
      <c r="K2" s="40"/>
      <c r="L2" s="40"/>
      <c r="M2" s="40"/>
      <c r="N2" s="40"/>
    </row>
    <row r="3" spans="1:15">
      <c r="A3" s="5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51807.563902439011</v>
      </c>
      <c r="K3" s="9">
        <f>'Segmental forecast'!K3</f>
        <v>57495.084446400957</v>
      </c>
      <c r="L3" s="9">
        <f>'Segmental forecast'!L3</f>
        <v>64098.237078473801</v>
      </c>
      <c r="M3" s="9">
        <f>'Segmental forecast'!M3</f>
        <v>71717.023374917771</v>
      </c>
      <c r="N3" s="9">
        <f>'Segmental forecast'!N3</f>
        <v>80409.884013668212</v>
      </c>
    </row>
    <row r="4" spans="1:15">
      <c r="A4" s="42" t="s">
        <v>129</v>
      </c>
      <c r="B4" s="47" t="str">
        <f t="shared" ref="B4:N4" si="1">+IFERROR(B3/A3-1,"nm")</f>
        <v>nm</v>
      </c>
      <c r="C4" s="47">
        <f t="shared" si="1"/>
        <v>5.8004640371229765E-2</v>
      </c>
      <c r="D4" s="47">
        <f t="shared" si="1"/>
        <v>6.0971089696071123E-2</v>
      </c>
      <c r="E4" s="47">
        <f t="shared" si="1"/>
        <v>5.95924308588065E-2</v>
      </c>
      <c r="F4" s="47">
        <f t="shared" si="1"/>
        <v>7.4731433909388079E-2</v>
      </c>
      <c r="G4" s="75">
        <f t="shared" si="1"/>
        <v>-4.3817266150267153E-2</v>
      </c>
      <c r="H4" s="75">
        <f t="shared" si="1"/>
        <v>0.19076009945726269</v>
      </c>
      <c r="I4" s="47">
        <f t="shared" si="1"/>
        <v>4.8767344739323759E-2</v>
      </c>
      <c r="J4" s="47">
        <f t="shared" si="1"/>
        <v>0.10913217517531604</v>
      </c>
      <c r="K4" s="47">
        <f t="shared" si="1"/>
        <v>0.10978166343957718</v>
      </c>
      <c r="L4" s="47">
        <f t="shared" si="1"/>
        <v>0.11484725512888927</v>
      </c>
      <c r="M4" s="47">
        <f t="shared" si="1"/>
        <v>0.11886108953537189</v>
      </c>
      <c r="N4" s="47">
        <f t="shared" si="1"/>
        <v>0.12121056103104633</v>
      </c>
    </row>
    <row r="5" spans="1:15">
      <c r="A5" s="51" t="s">
        <v>150</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9396.0203131288308</v>
      </c>
      <c r="K5" s="9">
        <f>'Segmental forecast'!K5</f>
        <v>12587.968486338334</v>
      </c>
      <c r="L5" s="9">
        <f>'Segmental forecast'!L5</f>
        <v>13338.257411271905</v>
      </c>
      <c r="M5" s="9">
        <f>'Segmental forecast'!M5</f>
        <v>15356.571803488896</v>
      </c>
      <c r="N5" s="9">
        <f>'Segmental forecast'!N5</f>
        <v>17279.376617680162</v>
      </c>
    </row>
    <row r="6" spans="1:15">
      <c r="A6" s="54" t="s">
        <v>132</v>
      </c>
      <c r="B6" s="55">
        <f>'Segmental forecast'!B8</f>
        <v>606</v>
      </c>
      <c r="C6" s="55">
        <f>'Segmental forecast'!C8</f>
        <v>649</v>
      </c>
      <c r="D6" s="55">
        <f>'Segmental forecast'!D8</f>
        <v>706</v>
      </c>
      <c r="E6" s="55">
        <f>'Segmental forecast'!E8</f>
        <v>747</v>
      </c>
      <c r="F6" s="55">
        <f>'Segmental forecast'!F8</f>
        <v>705</v>
      </c>
      <c r="G6" s="55">
        <f>'Segmental forecast'!G8</f>
        <v>721</v>
      </c>
      <c r="H6" s="55">
        <f>'Segmental forecast'!H8</f>
        <v>744</v>
      </c>
      <c r="I6" s="55">
        <f>'Segmental forecast'!I8</f>
        <v>717</v>
      </c>
      <c r="J6" s="55">
        <f>'Segmental forecast'!J8</f>
        <v>593.92149106718239</v>
      </c>
      <c r="K6" s="55">
        <f>'Segmental forecast'!K8</f>
        <v>732.22106067744471</v>
      </c>
      <c r="L6" s="55">
        <f>'Segmental forecast'!L8</f>
        <v>784.34401080483087</v>
      </c>
      <c r="M6" s="55">
        <f>'Segmental forecast'!M8</f>
        <v>882.82065926286612</v>
      </c>
      <c r="N6" s="55">
        <f>'Segmental forecast'!N8</f>
        <v>978.35119122815479</v>
      </c>
    </row>
    <row r="7" spans="1:15">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8802.0988220616491</v>
      </c>
      <c r="K7" s="5">
        <f>'Segmental forecast'!K11</f>
        <v>11855.747425660889</v>
      </c>
      <c r="L7" s="5">
        <f>'Segmental forecast'!L11</f>
        <v>12553.913400467074</v>
      </c>
      <c r="M7" s="5">
        <f>'Segmental forecast'!M11</f>
        <v>14473.751144226029</v>
      </c>
      <c r="N7" s="5">
        <f>'Segmental forecast'!N11</f>
        <v>16301.025426452006</v>
      </c>
    </row>
    <row r="8" spans="1:15">
      <c r="A8" s="42" t="s">
        <v>129</v>
      </c>
      <c r="B8" s="53" t="str">
        <f>'Segmental forecast'!B12</f>
        <v>nm</v>
      </c>
      <c r="C8" s="53">
        <f>'Segmental forecast'!C12</f>
        <v>9.6621781242617555E-2</v>
      </c>
      <c r="D8" s="53">
        <f>'Segmental forecast'!D12</f>
        <v>6.5273588970271357E-2</v>
      </c>
      <c r="E8" s="53">
        <f>'Segmental forecast'!E12</f>
        <v>-0.11445904954499497</v>
      </c>
      <c r="F8" s="53">
        <f>'Segmental forecast'!F12</f>
        <v>0.10755880337976698</v>
      </c>
      <c r="G8" s="53">
        <f>'Segmental forecast'!G12</f>
        <v>-0.38639175257731961</v>
      </c>
      <c r="H8" s="53">
        <f>'Segmental forecast'!H12</f>
        <v>1.32627688172043</v>
      </c>
      <c r="I8" s="53">
        <f>'Segmental forecast'!I12</f>
        <v>-9.67788530983682E-3</v>
      </c>
      <c r="J8" s="53">
        <f>'Segmental forecast'!J12</f>
        <v>0.28385338711517627</v>
      </c>
      <c r="K8" s="53">
        <f>'Segmental forecast'!K12</f>
        <v>0.34692278118322784</v>
      </c>
      <c r="L8" s="53">
        <f>'Segmental forecast'!L12</f>
        <v>5.8888398153207566E-2</v>
      </c>
      <c r="M8" s="53">
        <f>'Segmental forecast'!M12</f>
        <v>0.15292743246799256</v>
      </c>
      <c r="N8" s="53">
        <f>'Segmental forecast'!N12</f>
        <v>0.12624745748478117</v>
      </c>
    </row>
    <row r="9" spans="1:15">
      <c r="A9" s="42" t="s">
        <v>131</v>
      </c>
      <c r="B9" s="53">
        <f>'Segmental forecast'!B13</f>
        <v>0.13832881278389594</v>
      </c>
      <c r="C9" s="53">
        <f>'Segmental forecast'!C13</f>
        <v>0.14337781072399308</v>
      </c>
      <c r="D9" s="53">
        <f>'Segmental forecast'!D13</f>
        <v>0.14395924308588065</v>
      </c>
      <c r="E9" s="53">
        <f>'Segmental forecast'!E13</f>
        <v>0.12031211363573921</v>
      </c>
      <c r="F9" s="53">
        <f>'Segmental forecast'!F13</f>
        <v>0.12398701331901731</v>
      </c>
      <c r="G9" s="53">
        <f>'Segmental forecast'!G13</f>
        <v>7.9565810229126011E-2</v>
      </c>
      <c r="H9" s="53">
        <f>'Segmental forecast'!H13</f>
        <v>0.1554402981723472</v>
      </c>
      <c r="I9" s="53">
        <f>'Segmental forecast'!I13</f>
        <v>0.14677799186469706</v>
      </c>
      <c r="J9" s="53">
        <f>'Segmental forecast'!J13</f>
        <v>0.16989987868638737</v>
      </c>
      <c r="K9" s="53">
        <f>'Segmental forecast'!K13</f>
        <v>0.20620453974136269</v>
      </c>
      <c r="L9" s="53">
        <f>'Segmental forecast'!L13</f>
        <v>0.19585426951910775</v>
      </c>
      <c r="M9" s="53">
        <f>'Segmental forecast'!M13</f>
        <v>0.20181751086574046</v>
      </c>
      <c r="N9" s="53">
        <f>'Segmental forecast'!N13</f>
        <v>0.20272415047484871</v>
      </c>
    </row>
    <row r="10" spans="1:15" s="94" customFormat="1">
      <c r="A10" s="93" t="s">
        <v>24</v>
      </c>
      <c r="B10" s="67">
        <f>Historicals!B8</f>
        <v>28</v>
      </c>
      <c r="C10" s="67">
        <f>Historicals!C8</f>
        <v>19</v>
      </c>
      <c r="D10" s="67">
        <f>Historicals!D8</f>
        <v>59</v>
      </c>
      <c r="E10" s="67">
        <f>Historicals!E8</f>
        <v>54</v>
      </c>
      <c r="F10" s="67">
        <f>Historicals!F8</f>
        <v>49</v>
      </c>
      <c r="G10" s="67">
        <f>Historicals!G8</f>
        <v>89</v>
      </c>
      <c r="H10" s="67">
        <f>Historicals!H8</f>
        <v>262</v>
      </c>
      <c r="I10" s="67">
        <f>Historicals!I8</f>
        <v>205</v>
      </c>
      <c r="J10" s="67">
        <f>J50</f>
        <v>1877.5291603162682</v>
      </c>
      <c r="K10" s="67">
        <f t="shared" ref="K10:N10" si="2">K50</f>
        <v>2493.7056695287051</v>
      </c>
      <c r="L10" s="67">
        <f t="shared" si="2"/>
        <v>3149.2556396204532</v>
      </c>
      <c r="M10" s="67">
        <f t="shared" si="2"/>
        <v>4067.5960981815783</v>
      </c>
      <c r="N10" s="67">
        <f t="shared" si="2"/>
        <v>5220.0321848905114</v>
      </c>
    </row>
    <row r="11" spans="1:15">
      <c r="A11" s="4" t="s">
        <v>151</v>
      </c>
      <c r="B11" s="5">
        <f>Historicals!B10</f>
        <v>4205</v>
      </c>
      <c r="C11" s="5">
        <f>Historicals!C10</f>
        <v>4623</v>
      </c>
      <c r="D11" s="5">
        <f>Historicals!D10</f>
        <v>4886</v>
      </c>
      <c r="E11" s="5">
        <f>Historicals!E10</f>
        <v>4325</v>
      </c>
      <c r="F11" s="5">
        <f>Historicals!F10</f>
        <v>4801</v>
      </c>
      <c r="G11" s="5">
        <f>Historicals!G10</f>
        <v>2887</v>
      </c>
      <c r="H11" s="5">
        <f>Historicals!H10</f>
        <v>6661</v>
      </c>
      <c r="I11" s="5">
        <f>Historicals!I10</f>
        <v>6651</v>
      </c>
      <c r="J11" s="5">
        <f>J7-J10</f>
        <v>6924.5696617453814</v>
      </c>
      <c r="K11" s="5">
        <f t="shared" ref="K11:N11" si="3">K7-K10</f>
        <v>9362.0417561321847</v>
      </c>
      <c r="L11" s="5">
        <f t="shared" si="3"/>
        <v>9404.6577608466214</v>
      </c>
      <c r="M11" s="5">
        <f t="shared" si="3"/>
        <v>10406.155046044451</v>
      </c>
      <c r="N11" s="5">
        <f t="shared" si="3"/>
        <v>11080.993241561495</v>
      </c>
    </row>
    <row r="12" spans="1:15">
      <c r="A12" s="50"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1246.4225391141686</v>
      </c>
      <c r="K12" s="3">
        <f t="shared" ref="K12:N12" si="4">K11*K13</f>
        <v>1685.1675161037931</v>
      </c>
      <c r="L12" s="3">
        <f t="shared" si="4"/>
        <v>1692.8383969523918</v>
      </c>
      <c r="M12" s="3">
        <f t="shared" si="4"/>
        <v>1873.107908288001</v>
      </c>
      <c r="N12" s="3">
        <f t="shared" si="4"/>
        <v>1994.578783481069</v>
      </c>
    </row>
    <row r="13" spans="1:15">
      <c r="A13" s="56" t="s">
        <v>152</v>
      </c>
      <c r="B13" s="57">
        <v>0.22164090368608799</v>
      </c>
      <c r="C13" s="57">
        <v>0.18667531905688947</v>
      </c>
      <c r="D13" s="57">
        <v>0.13221449038067951</v>
      </c>
      <c r="E13" s="57">
        <v>0.55306358381502885</v>
      </c>
      <c r="F13" s="57">
        <v>0.16079983336804832</v>
      </c>
      <c r="G13" s="57">
        <v>0.12054035330793211</v>
      </c>
      <c r="H13" s="57">
        <v>0.14021918630836211</v>
      </c>
      <c r="I13" s="57">
        <v>9.0963764847391368E-2</v>
      </c>
      <c r="J13" s="58">
        <v>0.18</v>
      </c>
      <c r="K13" s="58">
        <v>0.18</v>
      </c>
      <c r="L13" s="58">
        <v>0.18</v>
      </c>
      <c r="M13" s="58">
        <v>0.18</v>
      </c>
      <c r="N13" s="58">
        <v>0.18</v>
      </c>
      <c r="O13" s="50" t="s">
        <v>223</v>
      </c>
    </row>
    <row r="14" spans="1:15" ht="15.75" thickBot="1">
      <c r="A14" s="6" t="s">
        <v>153</v>
      </c>
      <c r="B14" s="7">
        <f>B11-B12</f>
        <v>3273</v>
      </c>
      <c r="C14" s="7">
        <f t="shared" ref="C14:N14" si="5">C11-C12</f>
        <v>3760</v>
      </c>
      <c r="D14" s="7">
        <f t="shared" si="5"/>
        <v>4240</v>
      </c>
      <c r="E14" s="7">
        <f t="shared" si="5"/>
        <v>1933</v>
      </c>
      <c r="F14" s="7">
        <f t="shared" si="5"/>
        <v>4029</v>
      </c>
      <c r="G14" s="7">
        <f t="shared" si="5"/>
        <v>2539</v>
      </c>
      <c r="H14" s="7">
        <f t="shared" si="5"/>
        <v>5727</v>
      </c>
      <c r="I14" s="7">
        <f t="shared" si="5"/>
        <v>6046</v>
      </c>
      <c r="J14" s="7">
        <f t="shared" si="5"/>
        <v>5678.1471226312133</v>
      </c>
      <c r="K14" s="7">
        <f t="shared" si="5"/>
        <v>7676.8742400283918</v>
      </c>
      <c r="L14" s="7">
        <f t="shared" si="5"/>
        <v>7711.8193638942294</v>
      </c>
      <c r="M14" s="7">
        <f t="shared" si="5"/>
        <v>8533.04713775645</v>
      </c>
      <c r="N14" s="7">
        <f t="shared" si="5"/>
        <v>9086.4144580804259</v>
      </c>
    </row>
    <row r="15" spans="1:15" ht="15.75" thickTop="1">
      <c r="A15" s="50" t="s">
        <v>154</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3">
        <f>+I15</f>
        <v>1610.8</v>
      </c>
      <c r="K15" s="3">
        <f t="shared" ref="K15:N15" si="6">+J15</f>
        <v>1610.8</v>
      </c>
      <c r="L15" s="3">
        <f t="shared" si="6"/>
        <v>1610.8</v>
      </c>
      <c r="M15" s="3">
        <f t="shared" si="6"/>
        <v>1610.8</v>
      </c>
      <c r="N15" s="3">
        <f t="shared" si="6"/>
        <v>1610.8</v>
      </c>
      <c r="O15" s="50" t="s">
        <v>226</v>
      </c>
    </row>
    <row r="16" spans="1:15">
      <c r="A16" s="50" t="s">
        <v>155</v>
      </c>
      <c r="B16" s="59">
        <f>Historicals!B15</f>
        <v>1.85</v>
      </c>
      <c r="C16" s="59">
        <f>Historicals!C15</f>
        <v>2.16</v>
      </c>
      <c r="D16" s="59">
        <f>Historicals!D15</f>
        <v>2.5099999999999998</v>
      </c>
      <c r="E16" s="59">
        <f>Historicals!E15</f>
        <v>1.17</v>
      </c>
      <c r="F16" s="59">
        <f>Historicals!F15</f>
        <v>2.4900000000000002</v>
      </c>
      <c r="G16" s="59">
        <f>Historicals!G15</f>
        <v>1.6</v>
      </c>
      <c r="H16" s="59">
        <f>Historicals!H15</f>
        <v>3.56</v>
      </c>
      <c r="I16" s="59">
        <f>Historicals!I15</f>
        <v>3.75</v>
      </c>
      <c r="J16" s="59">
        <f>J14/J15</f>
        <v>3.5250478784648704</v>
      </c>
      <c r="K16" s="59">
        <f t="shared" ref="K16:N16" si="7">K14/K15</f>
        <v>4.7658767320762303</v>
      </c>
      <c r="L16" s="59">
        <f t="shared" si="7"/>
        <v>4.7875709981960703</v>
      </c>
      <c r="M16" s="59">
        <f t="shared" si="7"/>
        <v>5.2973970311376029</v>
      </c>
      <c r="N16" s="59">
        <f t="shared" si="7"/>
        <v>5.6409327403032199</v>
      </c>
    </row>
    <row r="17" spans="1:14">
      <c r="A17" s="50" t="s">
        <v>156</v>
      </c>
      <c r="B17" s="59">
        <f>B16*B19</f>
        <v>-0.50814237702413689</v>
      </c>
      <c r="C17" s="59">
        <f t="shared" ref="C17:I17" si="8">C16*C19</f>
        <v>-0.58710638297872342</v>
      </c>
      <c r="D17" s="59">
        <f t="shared" si="8"/>
        <v>-0.67071462264150938</v>
      </c>
      <c r="E17" s="59">
        <f t="shared" si="8"/>
        <v>-0.75235902741852034</v>
      </c>
      <c r="F17" s="59">
        <f t="shared" si="8"/>
        <v>-0.82320178704393154</v>
      </c>
      <c r="G17" s="59">
        <f t="shared" si="8"/>
        <v>-0.9150059078377315</v>
      </c>
      <c r="H17" s="59">
        <f t="shared" si="8"/>
        <v>-1.0182084861183867</v>
      </c>
      <c r="I17" s="59">
        <f t="shared" si="8"/>
        <v>-1.1393896791266953</v>
      </c>
      <c r="J17" s="59">
        <f t="shared" ref="J17" si="9">J16*J19</f>
        <v>-1.27897717573655</v>
      </c>
      <c r="K17" s="59">
        <f t="shared" ref="K17" si="10">K16*K19</f>
        <v>-1.4343596287106486</v>
      </c>
      <c r="L17" s="59">
        <f t="shared" ref="L17" si="11">L16*L19</f>
        <v>-1.6086194370826996</v>
      </c>
      <c r="M17" s="59">
        <f t="shared" ref="M17" si="12">M16*M19</f>
        <v>-1.8040500036147247</v>
      </c>
      <c r="N17" s="59">
        <f t="shared" ref="N17" si="13">N16*N19</f>
        <v>-2.0232233557022279</v>
      </c>
    </row>
    <row r="18" spans="1:14">
      <c r="A18" s="56" t="s">
        <v>129</v>
      </c>
      <c r="B18" s="57" t="e">
        <f>B17/NM-1</f>
        <v>#NAME?</v>
      </c>
      <c r="C18" s="57">
        <f>C17/B17-1</f>
        <v>0.15539740341482222</v>
      </c>
      <c r="D18" s="57">
        <f t="shared" ref="D18:I18" si="14">D17/C17-1</f>
        <v>0.14240730826088788</v>
      </c>
      <c r="E18" s="57">
        <f t="shared" si="14"/>
        <v>0.12172748590968041</v>
      </c>
      <c r="F18" s="57">
        <f t="shared" si="14"/>
        <v>9.4160842156018942E-2</v>
      </c>
      <c r="G18" s="57">
        <f t="shared" si="14"/>
        <v>0.11152079871384024</v>
      </c>
      <c r="H18" s="57">
        <f t="shared" si="14"/>
        <v>0.11278897479966576</v>
      </c>
      <c r="I18" s="57">
        <f t="shared" si="14"/>
        <v>0.11901412594809102</v>
      </c>
      <c r="J18" s="57">
        <f t="shared" ref="J18" si="15">J17/I17-1</f>
        <v>0.12251076095128743</v>
      </c>
      <c r="K18" s="57">
        <f t="shared" ref="K18" si="16">K17/J17-1</f>
        <v>0.1214896214896215</v>
      </c>
      <c r="L18" s="57">
        <f t="shared" ref="L18" si="17">L17/K17-1</f>
        <v>0.12148962148962172</v>
      </c>
      <c r="M18" s="57">
        <f t="shared" ref="M18" si="18">M17/L17-1</f>
        <v>0.1214896214896215</v>
      </c>
      <c r="N18" s="57">
        <f t="shared" ref="N18" si="19">N17/M17-1</f>
        <v>0.1214896214896215</v>
      </c>
    </row>
    <row r="19" spans="1:14">
      <c r="A19" s="56" t="s">
        <v>157</v>
      </c>
      <c r="B19" s="57">
        <f>B61/B14</f>
        <v>-0.27467155514818209</v>
      </c>
      <c r="C19" s="57">
        <f t="shared" ref="C19:N19" si="20">C61/C14</f>
        <v>-0.27180851063829786</v>
      </c>
      <c r="D19" s="57">
        <f t="shared" si="20"/>
        <v>-0.26721698113207548</v>
      </c>
      <c r="E19" s="57">
        <f t="shared" si="20"/>
        <v>-0.64304190377651316</v>
      </c>
      <c r="F19" s="57">
        <f t="shared" si="20"/>
        <v>-0.33060312732688013</v>
      </c>
      <c r="G19" s="57">
        <f t="shared" si="20"/>
        <v>-0.57187869239858213</v>
      </c>
      <c r="H19" s="57">
        <f t="shared" si="20"/>
        <v>-0.286013619696176</v>
      </c>
      <c r="I19" s="57">
        <f t="shared" si="20"/>
        <v>-0.30383724776711873</v>
      </c>
      <c r="J19" s="57">
        <f t="shared" si="20"/>
        <v>-0.36282547637155332</v>
      </c>
      <c r="K19" s="57">
        <f t="shared" si="20"/>
        <v>-0.30096448341956528</v>
      </c>
      <c r="L19" s="57">
        <f t="shared" si="20"/>
        <v>-0.3359990771288443</v>
      </c>
      <c r="M19" s="57">
        <f t="shared" si="20"/>
        <v>-0.34055404815057055</v>
      </c>
      <c r="N19" s="57">
        <f t="shared" si="20"/>
        <v>-0.35866822896978429</v>
      </c>
    </row>
    <row r="20" spans="1:14">
      <c r="A20" s="60" t="s">
        <v>158</v>
      </c>
      <c r="B20" s="40"/>
      <c r="C20" s="40"/>
      <c r="D20" s="40"/>
      <c r="E20" s="40"/>
      <c r="F20" s="40"/>
      <c r="G20" s="40"/>
      <c r="H20" s="40"/>
      <c r="I20" s="40"/>
      <c r="J20" s="40"/>
      <c r="K20" s="40"/>
      <c r="L20" s="40"/>
      <c r="M20" s="40"/>
      <c r="N20" s="40"/>
    </row>
    <row r="21" spans="1:14" s="94" customFormat="1">
      <c r="A21" s="94" t="s">
        <v>159</v>
      </c>
      <c r="B21" s="67">
        <f>Historicals!B25</f>
        <v>3852</v>
      </c>
      <c r="C21" s="67">
        <f>Historicals!C25</f>
        <v>3138</v>
      </c>
      <c r="D21" s="67">
        <f>Historicals!D25</f>
        <v>3808</v>
      </c>
      <c r="E21" s="67">
        <f>Historicals!E25</f>
        <v>4249</v>
      </c>
      <c r="F21" s="67">
        <f>Historicals!F25</f>
        <v>4466</v>
      </c>
      <c r="G21" s="67">
        <f>Historicals!G25</f>
        <v>8348</v>
      </c>
      <c r="H21" s="67">
        <f>Historicals!H25</f>
        <v>9889</v>
      </c>
      <c r="I21" s="67">
        <f>Historicals!I25</f>
        <v>8574</v>
      </c>
      <c r="J21" s="67">
        <f>J68</f>
        <v>9986.3120474886382</v>
      </c>
      <c r="K21" s="67">
        <f t="shared" ref="K21:N21" si="21">K68</f>
        <v>13263.667748473399</v>
      </c>
      <c r="L21" s="67">
        <f t="shared" si="21"/>
        <v>16750.445318924172</v>
      </c>
      <c r="M21" s="67">
        <f t="shared" si="21"/>
        <v>21634.968328665542</v>
      </c>
      <c r="N21" s="67">
        <f t="shared" si="21"/>
        <v>27764.612874225342</v>
      </c>
    </row>
    <row r="22" spans="1:14">
      <c r="A22" s="50" t="s">
        <v>160</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f>
        <v>4423</v>
      </c>
      <c r="K22" s="3">
        <f t="shared" ref="K22:N22" si="22">+J22</f>
        <v>4423</v>
      </c>
      <c r="L22" s="3">
        <f t="shared" si="22"/>
        <v>4423</v>
      </c>
      <c r="M22" s="3">
        <f t="shared" si="22"/>
        <v>4423</v>
      </c>
      <c r="N22" s="3">
        <f t="shared" si="22"/>
        <v>4423</v>
      </c>
    </row>
    <row r="23" spans="1:14">
      <c r="A23" s="50" t="s">
        <v>161</v>
      </c>
      <c r="B23" s="3">
        <f>Historicals!B27+Historicals!B28-Historicals!B41</f>
        <v>5564</v>
      </c>
      <c r="C23" s="3">
        <f>Historicals!C27+Historicals!C28-Historicals!C41</f>
        <v>5888</v>
      </c>
      <c r="D23" s="3">
        <f>Historicals!D27+Historicals!D28-Historicals!D41</f>
        <v>6684</v>
      </c>
      <c r="E23" s="3">
        <f>Historicals!E27+Historicals!E28-Historicals!E41</f>
        <v>6480</v>
      </c>
      <c r="F23" s="3">
        <f>Historicals!F27+Historicals!F28-Historicals!F41</f>
        <v>7282</v>
      </c>
      <c r="G23" s="3">
        <f>Historicals!G27+Historicals!G28-Historicals!G41</f>
        <v>7868</v>
      </c>
      <c r="H23" s="3">
        <f>Historicals!H27+Historicals!H28-Historicals!H41</f>
        <v>8481</v>
      </c>
      <c r="I23" s="3">
        <f>Historicals!I27+Historicals!I28-Historicals!I41</f>
        <v>9729</v>
      </c>
      <c r="J23" s="3">
        <f>J24*J3</f>
        <v>9843.4371414634115</v>
      </c>
      <c r="K23" s="3">
        <f t="shared" ref="K23:N23" si="23">K24*K3</f>
        <v>10924.066044816182</v>
      </c>
      <c r="L23" s="3">
        <f t="shared" si="23"/>
        <v>12178.665044910022</v>
      </c>
      <c r="M23" s="3">
        <f t="shared" si="23"/>
        <v>13626.234441234377</v>
      </c>
      <c r="N23" s="3">
        <f t="shared" si="23"/>
        <v>15277.87796259696</v>
      </c>
    </row>
    <row r="24" spans="1:14">
      <c r="A24" s="56" t="s">
        <v>162</v>
      </c>
      <c r="B24" s="57">
        <f>B23/B3</f>
        <v>0.18182412339466031</v>
      </c>
      <c r="C24" s="57">
        <f t="shared" ref="C24:I24" si="24">C23/C3</f>
        <v>0.1818631084754139</v>
      </c>
      <c r="D24" s="57">
        <f t="shared" si="24"/>
        <v>0.19458515283842795</v>
      </c>
      <c r="E24" s="57">
        <f t="shared" si="24"/>
        <v>0.17803665137236585</v>
      </c>
      <c r="F24" s="57">
        <f t="shared" si="24"/>
        <v>0.18615947030702765</v>
      </c>
      <c r="G24" s="57">
        <f t="shared" si="24"/>
        <v>0.21035745795791783</v>
      </c>
      <c r="H24" s="57">
        <f t="shared" si="24"/>
        <v>0.19042166240064665</v>
      </c>
      <c r="I24" s="57">
        <f t="shared" si="24"/>
        <v>0.20828516377649325</v>
      </c>
      <c r="J24" s="58">
        <v>0.19</v>
      </c>
      <c r="K24" s="58">
        <v>0.19</v>
      </c>
      <c r="L24" s="58">
        <v>0.19</v>
      </c>
      <c r="M24" s="58">
        <v>0.19</v>
      </c>
      <c r="N24" s="58">
        <v>0.19</v>
      </c>
    </row>
    <row r="25" spans="1:14">
      <c r="A25" s="50" t="s">
        <v>163</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f>
        <v>2129</v>
      </c>
      <c r="K25" s="3">
        <f t="shared" ref="K25:N25" si="25">+J25</f>
        <v>2129</v>
      </c>
      <c r="L25" s="3">
        <f t="shared" si="25"/>
        <v>2129</v>
      </c>
      <c r="M25" s="3">
        <f t="shared" si="25"/>
        <v>2129</v>
      </c>
      <c r="N25" s="3">
        <f t="shared" si="25"/>
        <v>2129</v>
      </c>
    </row>
    <row r="26" spans="1:14">
      <c r="A26" s="50" t="s">
        <v>164</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+I26</f>
        <v>4791</v>
      </c>
      <c r="K26" s="3">
        <f t="shared" ref="K26:N26" si="26">+J26</f>
        <v>4791</v>
      </c>
      <c r="L26" s="3">
        <f t="shared" si="26"/>
        <v>4791</v>
      </c>
      <c r="M26" s="3">
        <f t="shared" si="26"/>
        <v>4791</v>
      </c>
      <c r="N26" s="3">
        <f t="shared" si="26"/>
        <v>4791</v>
      </c>
    </row>
    <row r="27" spans="1:14">
      <c r="A27" s="50" t="s">
        <v>165</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+I27</f>
        <v>286</v>
      </c>
      <c r="K27" s="3">
        <f t="shared" ref="K27:N27" si="27">+J27</f>
        <v>286</v>
      </c>
      <c r="L27" s="3">
        <f t="shared" si="27"/>
        <v>286</v>
      </c>
      <c r="M27" s="3">
        <f t="shared" si="27"/>
        <v>286</v>
      </c>
      <c r="N27" s="3">
        <f t="shared" si="27"/>
        <v>286</v>
      </c>
    </row>
    <row r="28" spans="1:14">
      <c r="A28" s="50"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+I28</f>
        <v>284</v>
      </c>
      <c r="K28" s="3">
        <f t="shared" ref="K28:N30" si="28">+J28</f>
        <v>284</v>
      </c>
      <c r="L28" s="3">
        <f t="shared" si="28"/>
        <v>284</v>
      </c>
      <c r="M28" s="3">
        <f t="shared" si="28"/>
        <v>284</v>
      </c>
      <c r="N28" s="3">
        <f t="shared" si="28"/>
        <v>284</v>
      </c>
    </row>
    <row r="29" spans="1:14">
      <c r="A29" s="61"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+I29</f>
        <v>2926</v>
      </c>
      <c r="K29" s="3">
        <f t="shared" si="28"/>
        <v>2926</v>
      </c>
      <c r="L29" s="3">
        <f t="shared" si="28"/>
        <v>2926</v>
      </c>
      <c r="M29" s="3">
        <f t="shared" si="28"/>
        <v>2926</v>
      </c>
      <c r="N29" s="3">
        <f t="shared" si="28"/>
        <v>2926</v>
      </c>
    </row>
    <row r="30" spans="1:14">
      <c r="A30" s="50" t="s">
        <v>166</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+I30</f>
        <v>3821</v>
      </c>
      <c r="K30" s="3">
        <f t="shared" si="28"/>
        <v>3821</v>
      </c>
      <c r="L30" s="3">
        <f t="shared" si="28"/>
        <v>3821</v>
      </c>
      <c r="M30" s="3">
        <f t="shared" si="28"/>
        <v>3821</v>
      </c>
      <c r="N30" s="3">
        <f t="shared" si="28"/>
        <v>3821</v>
      </c>
    </row>
    <row r="31" spans="1:14" ht="15.75" thickBot="1">
      <c r="A31" s="6" t="s">
        <v>167</v>
      </c>
      <c r="B31" s="7">
        <f>SUM(B21:B30)</f>
        <v>19466.181824123392</v>
      </c>
      <c r="C31" s="7">
        <f t="shared" ref="C31:I31" si="29">SUM(C21:C30)</f>
        <v>19205.181863108475</v>
      </c>
      <c r="D31" s="7">
        <f t="shared" si="29"/>
        <v>21211.194585152836</v>
      </c>
      <c r="E31" s="7">
        <f t="shared" si="29"/>
        <v>20257.17803665137</v>
      </c>
      <c r="F31" s="7">
        <f t="shared" si="29"/>
        <v>21105.186159470308</v>
      </c>
      <c r="G31" s="7">
        <f t="shared" si="29"/>
        <v>29094.21035745796</v>
      </c>
      <c r="H31" s="7">
        <f t="shared" si="29"/>
        <v>34904.190421662395</v>
      </c>
      <c r="I31" s="7">
        <f t="shared" si="29"/>
        <v>36963.208285163775</v>
      </c>
      <c r="J31" s="7">
        <f t="shared" ref="J31" si="30">SUM(J21:J30)</f>
        <v>38489.939188952048</v>
      </c>
      <c r="K31" s="7">
        <f t="shared" ref="K31" si="31">SUM(K21:K30)</f>
        <v>42847.923793289578</v>
      </c>
      <c r="L31" s="7">
        <f t="shared" ref="L31" si="32">SUM(L21:L30)</f>
        <v>47589.300363834198</v>
      </c>
      <c r="M31" s="7">
        <f t="shared" ref="M31" si="33">SUM(M21:M30)</f>
        <v>53921.392769899918</v>
      </c>
      <c r="N31" s="7">
        <f t="shared" ref="N31" si="34">SUM(N21:N30)</f>
        <v>61702.680836822306</v>
      </c>
    </row>
    <row r="32" spans="1:14" ht="15.75" thickTop="1">
      <c r="A32" s="50" t="s">
        <v>168</v>
      </c>
      <c r="B32" s="3"/>
      <c r="C32" s="3"/>
      <c r="D32" s="3"/>
      <c r="E32" s="3"/>
      <c r="F32" s="3"/>
      <c r="G32" s="3"/>
      <c r="H32" s="3"/>
      <c r="I32" s="3"/>
      <c r="J32" s="3"/>
      <c r="K32" s="3"/>
      <c r="L32" s="3"/>
      <c r="M32" s="3"/>
      <c r="N32" s="3"/>
    </row>
    <row r="33" spans="1:15">
      <c r="A33" s="5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v>500</v>
      </c>
      <c r="K33" s="3">
        <v>0</v>
      </c>
      <c r="L33" s="3">
        <v>1000</v>
      </c>
      <c r="M33" s="3">
        <v>0</v>
      </c>
      <c r="N33" s="3">
        <v>2000</v>
      </c>
      <c r="O33" s="50" t="s">
        <v>231</v>
      </c>
    </row>
    <row r="34" spans="1:15">
      <c r="A34" s="5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+I34</f>
        <v>10</v>
      </c>
      <c r="K34" s="3">
        <f t="shared" ref="K34:N34" si="35">+J34</f>
        <v>10</v>
      </c>
      <c r="L34" s="3">
        <f t="shared" si="35"/>
        <v>10</v>
      </c>
      <c r="M34" s="3">
        <f t="shared" si="35"/>
        <v>10</v>
      </c>
      <c r="N34" s="3">
        <f t="shared" si="35"/>
        <v>10</v>
      </c>
    </row>
    <row r="35" spans="1:15">
      <c r="A35" s="50" t="s">
        <v>169</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3">
        <f>+I35</f>
        <v>6862</v>
      </c>
      <c r="K35" s="3">
        <f t="shared" ref="K35:N35" si="36">+J35</f>
        <v>6862</v>
      </c>
      <c r="L35" s="3">
        <f t="shared" si="36"/>
        <v>6862</v>
      </c>
      <c r="M35" s="3">
        <f t="shared" si="36"/>
        <v>6862</v>
      </c>
      <c r="N35" s="3">
        <f t="shared" si="36"/>
        <v>6862</v>
      </c>
    </row>
    <row r="36" spans="1:15">
      <c r="A36" s="50"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I36-J33</f>
        <v>8420</v>
      </c>
      <c r="K36" s="3">
        <f t="shared" ref="K36:N36" si="37">J36-K33</f>
        <v>8420</v>
      </c>
      <c r="L36" s="3">
        <f t="shared" si="37"/>
        <v>7420</v>
      </c>
      <c r="M36" s="3">
        <f t="shared" si="37"/>
        <v>7420</v>
      </c>
      <c r="N36" s="3">
        <f t="shared" si="37"/>
        <v>5420</v>
      </c>
    </row>
    <row r="37" spans="1:15">
      <c r="A37" s="61"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+I37</f>
        <v>2777</v>
      </c>
      <c r="K37" s="3">
        <f t="shared" ref="K37:N37" si="38">+J37</f>
        <v>2777</v>
      </c>
      <c r="L37" s="3">
        <f t="shared" si="38"/>
        <v>2777</v>
      </c>
      <c r="M37" s="3">
        <f t="shared" si="38"/>
        <v>2777</v>
      </c>
      <c r="N37" s="3">
        <f t="shared" si="38"/>
        <v>2777</v>
      </c>
    </row>
    <row r="38" spans="1:15">
      <c r="A38" s="50" t="s">
        <v>170</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+I38</f>
        <v>2613</v>
      </c>
      <c r="K38" s="3">
        <f t="shared" ref="K38:N38" si="39">+J38</f>
        <v>2613</v>
      </c>
      <c r="L38" s="3">
        <f t="shared" si="39"/>
        <v>2613</v>
      </c>
      <c r="M38" s="3">
        <f t="shared" si="39"/>
        <v>2613</v>
      </c>
      <c r="N38" s="3">
        <f t="shared" si="39"/>
        <v>2613</v>
      </c>
    </row>
    <row r="39" spans="1:15">
      <c r="A39" s="50" t="s">
        <v>171</v>
      </c>
      <c r="B39" s="3"/>
      <c r="C39" s="3"/>
      <c r="D39" s="3"/>
      <c r="E39" s="3"/>
      <c r="F39" s="3"/>
      <c r="G39" s="3"/>
      <c r="H39" s="3"/>
      <c r="I39" s="3"/>
      <c r="J39" s="3"/>
      <c r="K39" s="3"/>
      <c r="L39" s="3"/>
      <c r="M39" s="3"/>
      <c r="N39" s="3"/>
    </row>
    <row r="40" spans="1:15">
      <c r="A40" s="52" t="s">
        <v>172</v>
      </c>
      <c r="B40" s="3">
        <f>Historicals!B54+Historicals!B55</f>
        <v>6776</v>
      </c>
      <c r="C40" s="3">
        <f>Historicals!C54+Historicals!C55</f>
        <v>7789</v>
      </c>
      <c r="D40" s="3">
        <f>Historicals!D54+Historicals!D55</f>
        <v>8641</v>
      </c>
      <c r="E40" s="3">
        <f>Historicals!E54+Historicals!E55</f>
        <v>6387</v>
      </c>
      <c r="F40" s="3">
        <f>Historicals!F54+Historicals!F55</f>
        <v>7166</v>
      </c>
      <c r="G40" s="3">
        <f>Historicals!G54+Historicals!G55</f>
        <v>8302</v>
      </c>
      <c r="H40" s="3">
        <f>Historicals!H54+Historicals!H55</f>
        <v>9968</v>
      </c>
      <c r="I40" s="3">
        <f>Historicals!I54+Historicals!I55</f>
        <v>11487</v>
      </c>
      <c r="J40" s="3">
        <f>+I40</f>
        <v>11487</v>
      </c>
      <c r="K40" s="3">
        <f t="shared" ref="K40:N40" si="40">+J40</f>
        <v>11487</v>
      </c>
      <c r="L40" s="3">
        <f t="shared" si="40"/>
        <v>11487</v>
      </c>
      <c r="M40" s="3">
        <f t="shared" si="40"/>
        <v>11487</v>
      </c>
      <c r="N40" s="3">
        <f t="shared" si="40"/>
        <v>11487</v>
      </c>
    </row>
    <row r="41" spans="1:15">
      <c r="A41" s="52" t="s">
        <v>173</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J14+J61</f>
        <v>3617.9706879547784</v>
      </c>
      <c r="K41" s="3">
        <f>K14-K61</f>
        <v>9987.3407299555038</v>
      </c>
      <c r="L41" s="3">
        <f t="shared" ref="L41:N41" si="41">L14-L61</f>
        <v>10302.983553147042</v>
      </c>
      <c r="M41" s="3">
        <f t="shared" si="41"/>
        <v>11439.010883579049</v>
      </c>
      <c r="N41" s="3">
        <f t="shared" si="41"/>
        <v>12345.422639445575</v>
      </c>
    </row>
    <row r="42" spans="1:15">
      <c r="A42" s="52" t="s">
        <v>174</v>
      </c>
      <c r="B42" s="3">
        <f>Historicals!B56</f>
        <v>1246</v>
      </c>
      <c r="C42" s="3">
        <f>Historicals!C56</f>
        <v>318</v>
      </c>
      <c r="D42" s="3">
        <f>Historicals!D56</f>
        <v>-213</v>
      </c>
      <c r="E42" s="3">
        <f>Historicals!E56</f>
        <v>-92</v>
      </c>
      <c r="F42" s="3">
        <f>Historicals!F56</f>
        <v>231</v>
      </c>
      <c r="G42" s="3">
        <f>Historicals!G56</f>
        <v>-56</v>
      </c>
      <c r="H42" s="3">
        <f>Historicals!H56</f>
        <v>-380</v>
      </c>
      <c r="I42" s="3">
        <f>Historicals!I56</f>
        <v>318</v>
      </c>
      <c r="J42" s="3">
        <f>+I42</f>
        <v>318</v>
      </c>
      <c r="K42" s="3">
        <f t="shared" ref="K42:N42" si="42">+J42</f>
        <v>318</v>
      </c>
      <c r="L42" s="3">
        <f t="shared" si="42"/>
        <v>318</v>
      </c>
      <c r="M42" s="3">
        <f t="shared" si="42"/>
        <v>318</v>
      </c>
      <c r="N42" s="3">
        <f t="shared" si="42"/>
        <v>318</v>
      </c>
    </row>
    <row r="43" spans="1:15" ht="15.75" thickBot="1">
      <c r="A43" s="6" t="s">
        <v>175</v>
      </c>
      <c r="B43" s="7">
        <f>SUM(B33:B42)</f>
        <v>19466</v>
      </c>
      <c r="C43" s="7">
        <f t="shared" ref="C43:I43" si="43">SUM(C33:C42)</f>
        <v>19205</v>
      </c>
      <c r="D43" s="7">
        <f t="shared" si="43"/>
        <v>21211</v>
      </c>
      <c r="E43" s="7">
        <f t="shared" si="43"/>
        <v>20257</v>
      </c>
      <c r="F43" s="7">
        <f t="shared" si="43"/>
        <v>21105</v>
      </c>
      <c r="G43" s="7">
        <f t="shared" si="43"/>
        <v>29094</v>
      </c>
      <c r="H43" s="7">
        <f t="shared" si="43"/>
        <v>34904</v>
      </c>
      <c r="I43" s="7">
        <f t="shared" si="43"/>
        <v>36963</v>
      </c>
      <c r="J43" s="7">
        <f t="shared" ref="J43" si="44">SUM(J33:J42)</f>
        <v>36604.970687954781</v>
      </c>
      <c r="K43" s="7">
        <f t="shared" ref="K43" si="45">SUM(K33:K42)</f>
        <v>42474.340729955504</v>
      </c>
      <c r="L43" s="7">
        <f t="shared" ref="L43" si="46">SUM(L33:L42)</f>
        <v>42789.983553147045</v>
      </c>
      <c r="M43" s="7">
        <f t="shared" ref="M43" si="47">SUM(M33:M42)</f>
        <v>42926.010883579045</v>
      </c>
      <c r="N43" s="7">
        <f t="shared" ref="N43" si="48">SUM(N33:N42)</f>
        <v>43832.422639445576</v>
      </c>
    </row>
    <row r="44" spans="1:15" s="51" customFormat="1" ht="15.75" thickTop="1">
      <c r="A44" s="62" t="s">
        <v>176</v>
      </c>
      <c r="B44" s="62">
        <v>0</v>
      </c>
      <c r="C44" s="62">
        <v>0</v>
      </c>
      <c r="D44" s="62">
        <v>0</v>
      </c>
      <c r="E44" s="62">
        <v>0</v>
      </c>
      <c r="F44" s="62">
        <v>0</v>
      </c>
      <c r="G44" s="62">
        <v>0</v>
      </c>
      <c r="H44" s="62">
        <v>0</v>
      </c>
      <c r="I44" s="62">
        <v>0</v>
      </c>
      <c r="J44" s="62"/>
      <c r="K44" s="62"/>
      <c r="L44" s="62"/>
      <c r="M44" s="62"/>
      <c r="N44" s="62"/>
    </row>
    <row r="45" spans="1:15">
      <c r="A45" s="60" t="s">
        <v>177</v>
      </c>
      <c r="B45" s="40"/>
      <c r="C45" s="40"/>
      <c r="D45" s="40"/>
      <c r="E45" s="40"/>
      <c r="F45" s="40"/>
      <c r="G45" s="40"/>
      <c r="H45" s="40"/>
      <c r="I45" s="40"/>
      <c r="J45" s="40"/>
      <c r="K45" s="40"/>
      <c r="L45" s="40"/>
      <c r="M45" s="40"/>
      <c r="N45" s="40"/>
    </row>
    <row r="46" spans="1:15">
      <c r="A46" s="5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8802.0988220616491</v>
      </c>
      <c r="K46" s="9">
        <f>'Segmental forecast'!K11</f>
        <v>11855.747425660889</v>
      </c>
      <c r="L46" s="9">
        <f>'Segmental forecast'!L11</f>
        <v>12553.913400467074</v>
      </c>
      <c r="M46" s="9">
        <f>'Segmental forecast'!M11</f>
        <v>14473.751144226029</v>
      </c>
      <c r="N46" s="9">
        <f>'Segmental forecast'!N11</f>
        <v>16301.025426452006</v>
      </c>
    </row>
    <row r="47" spans="1:15">
      <c r="A47" s="50" t="s">
        <v>132</v>
      </c>
      <c r="B47" s="9">
        <f>'Segmental forecast'!B8</f>
        <v>606</v>
      </c>
      <c r="C47" s="9">
        <f>'Segmental forecast'!C8</f>
        <v>649</v>
      </c>
      <c r="D47" s="9">
        <f>'Segmental forecast'!D8</f>
        <v>706</v>
      </c>
      <c r="E47" s="9">
        <f>'Segmental forecast'!E8</f>
        <v>747</v>
      </c>
      <c r="F47" s="9">
        <f>'Segmental forecast'!F8</f>
        <v>705</v>
      </c>
      <c r="G47" s="9">
        <f>'Segmental forecast'!G8</f>
        <v>721</v>
      </c>
      <c r="H47" s="9">
        <f>'Segmental forecast'!H8</f>
        <v>744</v>
      </c>
      <c r="I47" s="9">
        <f>'Segmental forecast'!I8</f>
        <v>717</v>
      </c>
      <c r="J47" s="9">
        <f>'Segmental forecast'!J8</f>
        <v>593.92149106718239</v>
      </c>
      <c r="K47" s="9">
        <f>'Segmental forecast'!K8</f>
        <v>732.22106067744471</v>
      </c>
      <c r="L47" s="9">
        <f>'Segmental forecast'!L8</f>
        <v>784.34401080483087</v>
      </c>
      <c r="M47" s="9">
        <f>'Segmental forecast'!M8</f>
        <v>882.82065926286612</v>
      </c>
      <c r="N47" s="9">
        <f>'Segmental forecast'!N8</f>
        <v>978.35119122815479</v>
      </c>
    </row>
    <row r="48" spans="1:15">
      <c r="A48" s="50" t="s">
        <v>178</v>
      </c>
      <c r="B48" s="3">
        <f>Historicals!B101</f>
        <v>1262</v>
      </c>
      <c r="C48" s="3">
        <f>Historicals!C101</f>
        <v>748</v>
      </c>
      <c r="D48" s="3">
        <f>Historicals!D101</f>
        <v>703</v>
      </c>
      <c r="E48" s="3">
        <f>Historicals!E101</f>
        <v>529</v>
      </c>
      <c r="F48" s="3">
        <f>Historicals!F101</f>
        <v>757</v>
      </c>
      <c r="G48" s="3">
        <f>Historicals!G101</f>
        <v>1028</v>
      </c>
      <c r="H48" s="3">
        <f>Historicals!H101</f>
        <v>1177</v>
      </c>
      <c r="I48" s="3">
        <f>Historicals!I101</f>
        <v>1231</v>
      </c>
      <c r="J48" s="3">
        <f>+I48</f>
        <v>1231</v>
      </c>
      <c r="K48" s="3">
        <f t="shared" ref="K48:N48" si="49">+J48</f>
        <v>1231</v>
      </c>
      <c r="L48" s="3">
        <f t="shared" si="49"/>
        <v>1231</v>
      </c>
      <c r="M48" s="3">
        <f t="shared" si="49"/>
        <v>1231</v>
      </c>
      <c r="N48" s="3">
        <f t="shared" si="49"/>
        <v>1231</v>
      </c>
      <c r="O48" s="50" t="s">
        <v>227</v>
      </c>
    </row>
    <row r="49" spans="1:15">
      <c r="A49" s="51" t="s">
        <v>179</v>
      </c>
      <c r="B49" s="9">
        <f>B46-B48</f>
        <v>2971</v>
      </c>
      <c r="C49" s="9">
        <f t="shared" ref="C49:I49" si="50">C46-C48</f>
        <v>3894</v>
      </c>
      <c r="D49" s="9">
        <f t="shared" si="50"/>
        <v>4242</v>
      </c>
      <c r="E49" s="9">
        <f t="shared" si="50"/>
        <v>3850</v>
      </c>
      <c r="F49" s="9">
        <f t="shared" si="50"/>
        <v>4093</v>
      </c>
      <c r="G49" s="9">
        <f t="shared" si="50"/>
        <v>1948</v>
      </c>
      <c r="H49" s="9">
        <f t="shared" si="50"/>
        <v>5746</v>
      </c>
      <c r="I49" s="9">
        <f t="shared" si="50"/>
        <v>5625</v>
      </c>
      <c r="J49" s="9">
        <f t="shared" ref="J49" si="51">J46-J48</f>
        <v>7571.0988220616491</v>
      </c>
      <c r="K49" s="9">
        <f t="shared" ref="K49" si="52">K46-K48</f>
        <v>10624.747425660889</v>
      </c>
      <c r="L49" s="9">
        <f t="shared" ref="L49" si="53">L46-L48</f>
        <v>11322.913400467074</v>
      </c>
      <c r="M49" s="9">
        <f t="shared" ref="M49" si="54">M46-M48</f>
        <v>13242.751144226029</v>
      </c>
      <c r="N49" s="9">
        <f t="shared" ref="N49" si="55">N46-N48</f>
        <v>15070.025426452006</v>
      </c>
    </row>
    <row r="50" spans="1:15">
      <c r="A50" s="50" t="s">
        <v>180</v>
      </c>
      <c r="B50" s="3">
        <f>Historicals!B100</f>
        <v>53</v>
      </c>
      <c r="C50" s="3">
        <f>Historicals!C100</f>
        <v>70</v>
      </c>
      <c r="D50" s="3">
        <f>Historicals!D100</f>
        <v>98</v>
      </c>
      <c r="E50" s="3">
        <f>Historicals!E100</f>
        <v>125</v>
      </c>
      <c r="F50" s="3">
        <f>Historicals!F100</f>
        <v>153</v>
      </c>
      <c r="G50" s="3">
        <f>Historicals!G100</f>
        <v>140</v>
      </c>
      <c r="H50" s="3">
        <f>Historicals!H100</f>
        <v>293</v>
      </c>
      <c r="I50" s="3">
        <f>Historicals!I100</f>
        <v>290</v>
      </c>
      <c r="J50" s="3">
        <f>J21*I76</f>
        <v>1877.5291603162682</v>
      </c>
      <c r="K50" s="3">
        <f>K21*I76</f>
        <v>2493.7056695287051</v>
      </c>
      <c r="L50" s="3">
        <f>L21*I76</f>
        <v>3149.2556396204532</v>
      </c>
      <c r="M50" s="3">
        <f>M21*I76</f>
        <v>4067.5960981815783</v>
      </c>
      <c r="N50" s="3">
        <f>N21*I76</f>
        <v>5220.0321848905114</v>
      </c>
    </row>
    <row r="51" spans="1:15">
      <c r="A51" s="50" t="s">
        <v>181</v>
      </c>
      <c r="B51" s="3">
        <f>5451-B23</f>
        <v>-113</v>
      </c>
      <c r="C51" s="3">
        <f>B23-C23</f>
        <v>-324</v>
      </c>
      <c r="D51" s="3">
        <f t="shared" ref="D51:N51" si="56">C23-D23</f>
        <v>-796</v>
      </c>
      <c r="E51" s="3">
        <f t="shared" si="56"/>
        <v>204</v>
      </c>
      <c r="F51" s="3">
        <f t="shared" si="56"/>
        <v>-802</v>
      </c>
      <c r="G51" s="3">
        <f t="shared" si="56"/>
        <v>-586</v>
      </c>
      <c r="H51" s="3">
        <f t="shared" si="56"/>
        <v>-613</v>
      </c>
      <c r="I51" s="3">
        <f t="shared" si="56"/>
        <v>-1248</v>
      </c>
      <c r="J51" s="3">
        <f t="shared" si="56"/>
        <v>-114.43714146341154</v>
      </c>
      <c r="K51" s="3">
        <f t="shared" si="56"/>
        <v>-1080.6289033527701</v>
      </c>
      <c r="L51" s="3">
        <f t="shared" si="56"/>
        <v>-1254.59900009384</v>
      </c>
      <c r="M51" s="3">
        <f t="shared" si="56"/>
        <v>-1447.5693963243557</v>
      </c>
      <c r="N51" s="3">
        <f t="shared" si="56"/>
        <v>-1651.6435213625828</v>
      </c>
    </row>
    <row r="52" spans="1:15">
      <c r="A52" s="50" t="s">
        <v>135</v>
      </c>
      <c r="B52" s="3">
        <f>-'Segmental forecast'!B14</f>
        <v>-1113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-764.09468950034784</v>
      </c>
      <c r="K52" s="3">
        <f>-'Segmental forecast'!K14</f>
        <v>-874.51739207369133</v>
      </c>
      <c r="L52" s="3">
        <f>-'Segmental forecast'!L14</f>
        <v>-960.71665147447845</v>
      </c>
      <c r="M52" s="3">
        <f>-'Segmental forecast'!M14</f>
        <v>-1073.5156516005736</v>
      </c>
      <c r="N52" s="3">
        <f>-'Segmental forecast'!N14</f>
        <v>-1194.0803693926321</v>
      </c>
    </row>
    <row r="53" spans="1:15">
      <c r="A53" s="51" t="s">
        <v>182</v>
      </c>
      <c r="B53" s="9">
        <f>B47+B49+B51+B52-B50</f>
        <v>2298</v>
      </c>
      <c r="C53" s="9">
        <f t="shared" ref="C53:I53" si="57">C47+C49+C51+C52-C50</f>
        <v>3006</v>
      </c>
      <c r="D53" s="9">
        <f t="shared" si="57"/>
        <v>2949</v>
      </c>
      <c r="E53" s="9">
        <f t="shared" si="57"/>
        <v>3648</v>
      </c>
      <c r="F53" s="9">
        <f t="shared" si="57"/>
        <v>2724</v>
      </c>
      <c r="G53" s="9">
        <f t="shared" si="57"/>
        <v>857</v>
      </c>
      <c r="H53" s="9">
        <f t="shared" si="57"/>
        <v>4889</v>
      </c>
      <c r="I53" s="9">
        <f t="shared" si="57"/>
        <v>4046</v>
      </c>
      <c r="J53" s="9">
        <f t="shared" ref="J53" si="58">J47+J49+J51+J52-J50</f>
        <v>5408.9593218488044</v>
      </c>
      <c r="K53" s="9">
        <f t="shared" ref="K53" si="59">K47+K49+K51+K52-K50</f>
        <v>6908.1165213831682</v>
      </c>
      <c r="L53" s="9">
        <f t="shared" ref="L53" si="60">L47+L49+L51+L52-L50</f>
        <v>6742.6861200831336</v>
      </c>
      <c r="M53" s="9">
        <f t="shared" ref="M53" si="61">M47+M49+M51+M52-M50</f>
        <v>7536.8906573823879</v>
      </c>
      <c r="N53" s="9">
        <f t="shared" ref="N53" si="62">N47+N49+N51+N52-N50</f>
        <v>7982.6205420344359</v>
      </c>
    </row>
    <row r="54" spans="1:15">
      <c r="A54" s="50" t="s">
        <v>183</v>
      </c>
      <c r="B54" s="3">
        <f>Historicals!B76-B49-B47-B51</f>
        <v>1216</v>
      </c>
      <c r="C54" s="3">
        <f>Historicals!C76-C49-C47-C51</f>
        <v>-1123</v>
      </c>
      <c r="D54" s="3">
        <f>Historicals!D76-D49-D47-D51</f>
        <v>-306</v>
      </c>
      <c r="E54" s="3">
        <f>Historicals!E76-E49-E47-E51</f>
        <v>154</v>
      </c>
      <c r="F54" s="3">
        <f>Historicals!F76-F49-F47-F51</f>
        <v>1907</v>
      </c>
      <c r="G54" s="3">
        <f>Historicals!G76-G49-G47-G51</f>
        <v>402</v>
      </c>
      <c r="H54" s="3">
        <f>Historicals!H76-H49-H47-H51</f>
        <v>780</v>
      </c>
      <c r="I54" s="3">
        <f>Historicals!I76-I49-I47-I51</f>
        <v>94</v>
      </c>
      <c r="J54" s="3">
        <f>+I54</f>
        <v>94</v>
      </c>
      <c r="K54" s="3">
        <f t="shared" ref="K54:N54" si="63">+J54</f>
        <v>94</v>
      </c>
      <c r="L54" s="3">
        <f t="shared" si="63"/>
        <v>94</v>
      </c>
      <c r="M54" s="3">
        <f t="shared" si="63"/>
        <v>94</v>
      </c>
      <c r="N54" s="3">
        <f t="shared" si="63"/>
        <v>94</v>
      </c>
      <c r="O54" s="50" t="s">
        <v>228</v>
      </c>
    </row>
    <row r="55" spans="1:15">
      <c r="A55" s="28" t="s">
        <v>184</v>
      </c>
      <c r="B55" s="27">
        <f>B49+B47+B51+B54</f>
        <v>4680</v>
      </c>
      <c r="C55" s="27">
        <f t="shared" ref="C55:I55" si="64">C49+C47+C51+C54</f>
        <v>3096</v>
      </c>
      <c r="D55" s="27">
        <f t="shared" si="64"/>
        <v>3846</v>
      </c>
      <c r="E55" s="27">
        <f t="shared" si="64"/>
        <v>4955</v>
      </c>
      <c r="F55" s="27">
        <f t="shared" si="64"/>
        <v>5903</v>
      </c>
      <c r="G55" s="27">
        <f t="shared" si="64"/>
        <v>2485</v>
      </c>
      <c r="H55" s="27">
        <f t="shared" si="64"/>
        <v>6657</v>
      </c>
      <c r="I55" s="27">
        <f t="shared" si="64"/>
        <v>5188</v>
      </c>
      <c r="J55" s="27">
        <f t="shared" ref="J55" si="65">J49+J47+J51+J54</f>
        <v>8144.5831716654202</v>
      </c>
      <c r="K55" s="27">
        <f t="shared" ref="K55" si="66">K49+K47+K51+K54</f>
        <v>10370.339582985564</v>
      </c>
      <c r="L55" s="27">
        <f t="shared" ref="L55" si="67">L49+L47+L51+L54</f>
        <v>10946.658411178065</v>
      </c>
      <c r="M55" s="27">
        <f t="shared" ref="M55" si="68">M49+M47+M51+M54</f>
        <v>12772.00240716454</v>
      </c>
      <c r="N55" s="27">
        <f t="shared" ref="N55" si="69">N49+N47+N51+N54</f>
        <v>14490.733096317579</v>
      </c>
    </row>
    <row r="56" spans="1:15">
      <c r="A56" s="50" t="s">
        <v>185</v>
      </c>
      <c r="B56" s="3"/>
      <c r="C56" s="3"/>
      <c r="D56" s="3"/>
      <c r="E56" s="3"/>
      <c r="F56" s="3"/>
      <c r="G56" s="3"/>
      <c r="H56" s="3"/>
      <c r="I56" s="3"/>
      <c r="J56" s="3"/>
      <c r="K56" s="3"/>
      <c r="L56" s="3"/>
      <c r="M56" s="3"/>
      <c r="N56" s="3"/>
    </row>
    <row r="57" spans="1:15">
      <c r="A57" s="50" t="s">
        <v>186</v>
      </c>
      <c r="B57" s="3">
        <f>Historicals!B78+Historicals!B79+Historicals!B80+Historicals!B82</f>
        <v>938</v>
      </c>
      <c r="C57" s="3">
        <f>Historicals!C78+Historicals!C79+Historicals!C80+Historicals!C82</f>
        <v>109</v>
      </c>
      <c r="D57" s="3">
        <f>Historicals!D78+Historicals!D79+Historicals!D80+Historicals!D82</f>
        <v>97</v>
      </c>
      <c r="E57" s="3">
        <f>Historicals!E78+Historicals!E79+Historicals!E80+Historicals!E82</f>
        <v>1304</v>
      </c>
      <c r="F57" s="3">
        <f>Historicals!F78+Historicals!F79+Historicals!F80+Historicals!F82</f>
        <v>855</v>
      </c>
      <c r="G57" s="3">
        <f>Historicals!G78+Historicals!G79+Historicals!G80+Historicals!G82</f>
        <v>58</v>
      </c>
      <c r="H57" s="3">
        <f>Historicals!H78+Historicals!H79+Historicals!H80+Historicals!H82</f>
        <v>-3105</v>
      </c>
      <c r="I57" s="3">
        <f>Historicals!I78+Historicals!I79+Historicals!I80+Historicals!I82</f>
        <v>-766</v>
      </c>
      <c r="J57" s="3">
        <f>+I57</f>
        <v>-766</v>
      </c>
      <c r="K57" s="3">
        <f t="shared" ref="K57:N57" si="70">+J57</f>
        <v>-766</v>
      </c>
      <c r="L57" s="3">
        <f t="shared" si="70"/>
        <v>-766</v>
      </c>
      <c r="M57" s="3">
        <f t="shared" si="70"/>
        <v>-766</v>
      </c>
      <c r="N57" s="3">
        <f t="shared" si="70"/>
        <v>-766</v>
      </c>
    </row>
    <row r="58" spans="1:15">
      <c r="A58" s="28" t="s">
        <v>187</v>
      </c>
      <c r="B58" s="27">
        <f>B52+B57</f>
        <v>-175</v>
      </c>
      <c r="C58" s="27">
        <f t="shared" ref="C58:I58" si="71">C52+C57</f>
        <v>-1034</v>
      </c>
      <c r="D58" s="27">
        <f t="shared" si="71"/>
        <v>-1008</v>
      </c>
      <c r="E58" s="27">
        <f t="shared" si="71"/>
        <v>276</v>
      </c>
      <c r="F58" s="27">
        <f t="shared" si="71"/>
        <v>-264</v>
      </c>
      <c r="G58" s="27">
        <f t="shared" si="71"/>
        <v>-1028</v>
      </c>
      <c r="H58" s="27">
        <f t="shared" si="71"/>
        <v>-3800</v>
      </c>
      <c r="I58" s="27">
        <f t="shared" si="71"/>
        <v>-1524</v>
      </c>
      <c r="J58" s="27">
        <f t="shared" ref="J58" si="72">J52+J57</f>
        <v>-1530.0946895003478</v>
      </c>
      <c r="K58" s="27">
        <f t="shared" ref="K58" si="73">K52+K57</f>
        <v>-1640.5173920736913</v>
      </c>
      <c r="L58" s="27">
        <f t="shared" ref="L58" si="74">L52+L57</f>
        <v>-1726.7166514744786</v>
      </c>
      <c r="M58" s="27">
        <f t="shared" ref="M58" si="75">M52+M57</f>
        <v>-1839.5156516005736</v>
      </c>
      <c r="N58" s="27">
        <f t="shared" ref="N58" si="76">N52+N57</f>
        <v>-1960.0803693926321</v>
      </c>
    </row>
    <row r="59" spans="1:15">
      <c r="A59" s="50" t="s">
        <v>188</v>
      </c>
      <c r="B59" s="3">
        <f>Historicals!B88+Historicals!B89</f>
        <v>-1802</v>
      </c>
      <c r="C59" s="3">
        <f>Historicals!C88+Historicals!C89</f>
        <v>-2450</v>
      </c>
      <c r="D59" s="3">
        <f>Historicals!D88+Historicals!D89</f>
        <v>-2734</v>
      </c>
      <c r="E59" s="3">
        <f>Historicals!E88+Historicals!E89</f>
        <v>-3521</v>
      </c>
      <c r="F59" s="3">
        <f>Historicals!F88+Historicals!F89</f>
        <v>-3586</v>
      </c>
      <c r="G59" s="3">
        <f>Historicals!G88+Historicals!G89</f>
        <v>-2182</v>
      </c>
      <c r="H59" s="3">
        <f>Historicals!H88+Historicals!H89</f>
        <v>564</v>
      </c>
      <c r="I59" s="3">
        <f>Historicals!I88+Historicals!I89</f>
        <v>-2863</v>
      </c>
      <c r="J59" s="3">
        <f>+I59</f>
        <v>-2863</v>
      </c>
      <c r="K59" s="3">
        <f t="shared" ref="K59:N59" si="77">+J59</f>
        <v>-2863</v>
      </c>
      <c r="L59" s="3">
        <f t="shared" si="77"/>
        <v>-2863</v>
      </c>
      <c r="M59" s="3">
        <f t="shared" si="77"/>
        <v>-2863</v>
      </c>
      <c r="N59" s="3">
        <f t="shared" si="77"/>
        <v>-2863</v>
      </c>
    </row>
    <row r="60" spans="1:15">
      <c r="A60" s="56" t="s">
        <v>129</v>
      </c>
      <c r="B60" s="57"/>
      <c r="C60" s="57">
        <f>C59/B59-1</f>
        <v>0.35960044395116531</v>
      </c>
      <c r="D60" s="57">
        <f t="shared" ref="D60:N60" si="78">D59/C59-1</f>
        <v>0.11591836734693883</v>
      </c>
      <c r="E60" s="57">
        <f t="shared" si="78"/>
        <v>0.28785662033650339</v>
      </c>
      <c r="F60" s="57">
        <f t="shared" si="78"/>
        <v>1.8460664583924924E-2</v>
      </c>
      <c r="G60" s="57">
        <f t="shared" si="78"/>
        <v>-0.39152258784160621</v>
      </c>
      <c r="H60" s="57">
        <f t="shared" si="78"/>
        <v>-1.2584784601283228</v>
      </c>
      <c r="I60" s="57">
        <f t="shared" si="78"/>
        <v>-6.0762411347517729</v>
      </c>
      <c r="J60" s="57">
        <f t="shared" si="78"/>
        <v>0</v>
      </c>
      <c r="K60" s="57">
        <f t="shared" si="78"/>
        <v>0</v>
      </c>
      <c r="L60" s="57">
        <f t="shared" si="78"/>
        <v>0</v>
      </c>
      <c r="M60" s="57">
        <f t="shared" si="78"/>
        <v>0</v>
      </c>
      <c r="N60" s="57">
        <f t="shared" si="78"/>
        <v>0</v>
      </c>
    </row>
    <row r="61" spans="1:15">
      <c r="A61" s="50" t="s">
        <v>189</v>
      </c>
      <c r="B61" s="3">
        <f>Historicals!B90</f>
        <v>-899</v>
      </c>
      <c r="C61" s="3">
        <f>Historicals!C90</f>
        <v>-1022</v>
      </c>
      <c r="D61" s="3">
        <f>Historicals!D90</f>
        <v>-1133</v>
      </c>
      <c r="E61" s="3">
        <f>Historicals!E90</f>
        <v>-1243</v>
      </c>
      <c r="F61" s="3">
        <f>Historicals!F90</f>
        <v>-1332</v>
      </c>
      <c r="G61" s="3">
        <f>Historicals!G90</f>
        <v>-1452</v>
      </c>
      <c r="H61" s="3">
        <f>Historicals!H90</f>
        <v>-1638</v>
      </c>
      <c r="I61" s="3">
        <f>Historicals!I90</f>
        <v>-1837</v>
      </c>
      <c r="J61" s="3">
        <f>I61*(1+$I$77)</f>
        <v>-2060.1764346764348</v>
      </c>
      <c r="K61" s="3">
        <f t="shared" ref="K61:N61" si="79">J61*(1+$I$77)</f>
        <v>-2310.4664899271129</v>
      </c>
      <c r="L61" s="3">
        <f t="shared" si="79"/>
        <v>-2591.1641892528123</v>
      </c>
      <c r="M61" s="3">
        <f t="shared" si="79"/>
        <v>-2905.9637458225984</v>
      </c>
      <c r="N61" s="3">
        <f t="shared" si="79"/>
        <v>-3259.0081813651486</v>
      </c>
      <c r="O61" s="50" t="s">
        <v>230</v>
      </c>
    </row>
    <row r="62" spans="1:15">
      <c r="A62" s="50" t="s">
        <v>190</v>
      </c>
      <c r="B62" s="3">
        <f>Historicals!B85+Historicals!B86+Historicals!B87</f>
        <v>-89</v>
      </c>
      <c r="C62" s="3">
        <f>Historicals!C85+Historicals!C86+Historicals!C87</f>
        <v>801</v>
      </c>
      <c r="D62" s="3">
        <f>Historicals!D85+Historicals!D86+Historicals!D87</f>
        <v>1809</v>
      </c>
      <c r="E62" s="3">
        <f>Historicals!E85+Historicals!E86+Historicals!E87</f>
        <v>13</v>
      </c>
      <c r="F62" s="3">
        <f>Historicals!F85+Historicals!F86+Historicals!F87</f>
        <v>-325</v>
      </c>
      <c r="G62" s="3">
        <f>Historicals!G85+Historicals!G86+Historicals!G87</f>
        <v>6183</v>
      </c>
      <c r="H62" s="3">
        <f>Historicals!H85+Historicals!H86+Historicals!H87</f>
        <v>-249</v>
      </c>
      <c r="I62" s="3">
        <f>Historicals!I85+Historicals!I86+Historicals!I87</f>
        <v>15</v>
      </c>
      <c r="J62" s="3">
        <f>+I62</f>
        <v>15</v>
      </c>
      <c r="K62" s="3">
        <f t="shared" ref="K62:N62" si="80">+J62</f>
        <v>15</v>
      </c>
      <c r="L62" s="3">
        <f t="shared" si="80"/>
        <v>15</v>
      </c>
      <c r="M62" s="3">
        <f t="shared" si="80"/>
        <v>15</v>
      </c>
      <c r="N62" s="3">
        <f t="shared" si="80"/>
        <v>15</v>
      </c>
    </row>
    <row r="63" spans="1:15">
      <c r="A63" s="50" t="s">
        <v>191</v>
      </c>
      <c r="B63" s="3">
        <f>Historicals!B91</f>
        <v>0</v>
      </c>
      <c r="C63" s="3">
        <f>Historicals!C91</f>
        <v>0</v>
      </c>
      <c r="D63" s="3">
        <f>Historicals!D91</f>
        <v>-90</v>
      </c>
      <c r="E63" s="3">
        <f>Historicals!E91</f>
        <v>-84</v>
      </c>
      <c r="F63" s="3">
        <f>Historicals!F91</f>
        <v>-50</v>
      </c>
      <c r="G63" s="3">
        <f>Historicals!G91</f>
        <v>-58</v>
      </c>
      <c r="H63" s="3">
        <f>Historicals!H91</f>
        <v>-136</v>
      </c>
      <c r="I63" s="3">
        <f>Historicals!I91</f>
        <v>-151</v>
      </c>
      <c r="J63" s="3">
        <f>+I63</f>
        <v>-151</v>
      </c>
      <c r="K63" s="3">
        <f t="shared" ref="K63:N63" si="81">+J63</f>
        <v>-151</v>
      </c>
      <c r="L63" s="3">
        <f t="shared" si="81"/>
        <v>-151</v>
      </c>
      <c r="M63" s="3">
        <f t="shared" si="81"/>
        <v>-151</v>
      </c>
      <c r="N63" s="3">
        <f t="shared" si="81"/>
        <v>-151</v>
      </c>
    </row>
    <row r="64" spans="1:15">
      <c r="A64" s="28" t="s">
        <v>192</v>
      </c>
      <c r="B64" s="27">
        <f>B59+B61+B62+B63</f>
        <v>-2790</v>
      </c>
      <c r="C64" s="27">
        <f t="shared" ref="C64:I64" si="82">C59+C61+C62+C63</f>
        <v>-2671</v>
      </c>
      <c r="D64" s="27">
        <f t="shared" si="82"/>
        <v>-2148</v>
      </c>
      <c r="E64" s="27">
        <f t="shared" si="82"/>
        <v>-4835</v>
      </c>
      <c r="F64" s="27">
        <f t="shared" si="82"/>
        <v>-5293</v>
      </c>
      <c r="G64" s="27">
        <f t="shared" si="82"/>
        <v>2491</v>
      </c>
      <c r="H64" s="27">
        <f t="shared" si="82"/>
        <v>-1459</v>
      </c>
      <c r="I64" s="27">
        <f t="shared" si="82"/>
        <v>-4836</v>
      </c>
      <c r="J64" s="27">
        <f t="shared" ref="J64" si="83">J59+J61+J62+J63</f>
        <v>-5059.1764346764348</v>
      </c>
      <c r="K64" s="27">
        <f t="shared" ref="K64" si="84">K59+K61+K62+K63</f>
        <v>-5309.4664899271129</v>
      </c>
      <c r="L64" s="27">
        <f t="shared" ref="L64" si="85">L59+L61+L62+L63</f>
        <v>-5590.1641892528123</v>
      </c>
      <c r="M64" s="27">
        <f t="shared" ref="M64" si="86">M59+M61+M62+M63</f>
        <v>-5904.9637458225989</v>
      </c>
      <c r="N64" s="27">
        <f t="shared" ref="N64" si="87">N59+N61+N62+N63</f>
        <v>-6258.0081813651486</v>
      </c>
    </row>
    <row r="65" spans="1:14">
      <c r="A65" s="50" t="s">
        <v>193</v>
      </c>
      <c r="B65" s="3">
        <f>Historicals!B93</f>
        <v>-83</v>
      </c>
      <c r="C65" s="3">
        <f>Historicals!C93</f>
        <v>-105</v>
      </c>
      <c r="D65" s="3">
        <f>Historicals!D93</f>
        <v>-20</v>
      </c>
      <c r="E65" s="3">
        <f>Historicals!E93</f>
        <v>45</v>
      </c>
      <c r="F65" s="3">
        <f>Historicals!F93</f>
        <v>-129</v>
      </c>
      <c r="G65" s="3">
        <f>Historicals!G93</f>
        <v>-66</v>
      </c>
      <c r="H65" s="3">
        <f>Historicals!H93</f>
        <v>143</v>
      </c>
      <c r="I65" s="3">
        <f>Historicals!I93</f>
        <v>-143</v>
      </c>
      <c r="J65" s="3">
        <f>+I65</f>
        <v>-143</v>
      </c>
      <c r="K65" s="3">
        <f t="shared" ref="K65:N65" si="88">+J65</f>
        <v>-143</v>
      </c>
      <c r="L65" s="3">
        <f t="shared" si="88"/>
        <v>-143</v>
      </c>
      <c r="M65" s="3">
        <f t="shared" si="88"/>
        <v>-143</v>
      </c>
      <c r="N65" s="3">
        <f t="shared" si="88"/>
        <v>-143</v>
      </c>
    </row>
    <row r="66" spans="1:14">
      <c r="A66" s="28" t="s">
        <v>194</v>
      </c>
      <c r="B66" s="27">
        <f>B55+B58+B64+B65</f>
        <v>1632</v>
      </c>
      <c r="C66" s="27">
        <f t="shared" ref="C66:I66" si="89">C55+C58+C64+C65</f>
        <v>-714</v>
      </c>
      <c r="D66" s="27">
        <f t="shared" si="89"/>
        <v>670</v>
      </c>
      <c r="E66" s="27">
        <f t="shared" si="89"/>
        <v>441</v>
      </c>
      <c r="F66" s="27">
        <f t="shared" si="89"/>
        <v>217</v>
      </c>
      <c r="G66" s="27">
        <f t="shared" si="89"/>
        <v>3882</v>
      </c>
      <c r="H66" s="27">
        <f t="shared" si="89"/>
        <v>1541</v>
      </c>
      <c r="I66" s="27">
        <f t="shared" si="89"/>
        <v>-1315</v>
      </c>
      <c r="J66" s="27">
        <f t="shared" ref="J66" si="90">J55+J58+J64+J65</f>
        <v>1412.3120474886373</v>
      </c>
      <c r="K66" s="27">
        <f t="shared" ref="K66" si="91">K55+K58+K64+K65</f>
        <v>3277.35570098476</v>
      </c>
      <c r="L66" s="27">
        <f t="shared" ref="L66" si="92">L55+L58+L64+L65</f>
        <v>3486.777570450774</v>
      </c>
      <c r="M66" s="27">
        <f t="shared" ref="M66" si="93">M55+M58+M64+M65</f>
        <v>4884.5230097413678</v>
      </c>
      <c r="N66" s="27">
        <f t="shared" ref="N66" si="94">N55+N58+N64+N65</f>
        <v>6129.6445455597986</v>
      </c>
    </row>
    <row r="67" spans="1:14">
      <c r="A67" s="50" t="s">
        <v>195</v>
      </c>
      <c r="B67" s="3">
        <v>2220</v>
      </c>
      <c r="C67" s="3">
        <f>+B68</f>
        <v>3852</v>
      </c>
      <c r="D67" s="3">
        <f t="shared" ref="D67:N67" si="95">+C68</f>
        <v>3138</v>
      </c>
      <c r="E67" s="3">
        <f t="shared" si="95"/>
        <v>3808</v>
      </c>
      <c r="F67" s="3">
        <f t="shared" si="95"/>
        <v>4249</v>
      </c>
      <c r="G67" s="3">
        <f t="shared" si="95"/>
        <v>4466</v>
      </c>
      <c r="H67" s="3">
        <f t="shared" si="95"/>
        <v>8348</v>
      </c>
      <c r="I67" s="3">
        <f t="shared" si="95"/>
        <v>9889</v>
      </c>
      <c r="J67" s="3">
        <f t="shared" si="95"/>
        <v>8574</v>
      </c>
      <c r="K67" s="3">
        <f t="shared" si="95"/>
        <v>9986.3120474886382</v>
      </c>
      <c r="L67" s="3">
        <f t="shared" si="95"/>
        <v>13263.667748473399</v>
      </c>
      <c r="M67" s="3">
        <f t="shared" si="95"/>
        <v>16750.445318924172</v>
      </c>
      <c r="N67" s="3">
        <f t="shared" si="95"/>
        <v>21634.968328665542</v>
      </c>
    </row>
    <row r="68" spans="1:14" ht="15.75" thickBot="1">
      <c r="A68" s="6" t="s">
        <v>196</v>
      </c>
      <c r="B68" s="7">
        <f>B66+B67</f>
        <v>3852</v>
      </c>
      <c r="C68" s="7">
        <f>SUM(C66:C67)</f>
        <v>3138</v>
      </c>
      <c r="D68" s="7">
        <f>SUM(D66:D67)</f>
        <v>3808</v>
      </c>
      <c r="E68" s="7">
        <f>SUM(E66:E67)</f>
        <v>4249</v>
      </c>
      <c r="F68" s="7">
        <f>SUM(F66:F67)</f>
        <v>4466</v>
      </c>
      <c r="G68" s="7">
        <f>SUM(G66:G67)</f>
        <v>8348</v>
      </c>
      <c r="H68" s="7">
        <f>SUM(H66:H67)</f>
        <v>9889</v>
      </c>
      <c r="I68" s="7">
        <f>SUM(I66:I67)</f>
        <v>8574</v>
      </c>
      <c r="J68" s="7">
        <f t="shared" ref="J68:N68" si="96">SUM(J66:J67)</f>
        <v>9986.3120474886382</v>
      </c>
      <c r="K68" s="7">
        <f t="shared" si="96"/>
        <v>13263.667748473399</v>
      </c>
      <c r="L68" s="7">
        <f t="shared" si="96"/>
        <v>16750.445318924172</v>
      </c>
      <c r="M68" s="7">
        <f t="shared" si="96"/>
        <v>21634.968328665542</v>
      </c>
      <c r="N68" s="7">
        <f t="shared" si="96"/>
        <v>27764.612874225342</v>
      </c>
    </row>
    <row r="69" spans="1:14" ht="15.75" thickTop="1">
      <c r="A69" s="62" t="s">
        <v>176</v>
      </c>
      <c r="B69" s="41">
        <f>+B68-B21</f>
        <v>0</v>
      </c>
      <c r="C69" s="41">
        <f t="shared" ref="C69:I69" si="97">+C68-C21</f>
        <v>0</v>
      </c>
      <c r="D69" s="41">
        <f t="shared" si="97"/>
        <v>0</v>
      </c>
      <c r="E69" s="41">
        <f t="shared" si="97"/>
        <v>0</v>
      </c>
      <c r="F69" s="41">
        <f t="shared" si="97"/>
        <v>0</v>
      </c>
      <c r="G69" s="41">
        <f t="shared" si="97"/>
        <v>0</v>
      </c>
      <c r="H69" s="41">
        <f t="shared" si="97"/>
        <v>0</v>
      </c>
      <c r="I69" s="41">
        <f t="shared" si="97"/>
        <v>0</v>
      </c>
      <c r="J69" s="41">
        <f t="shared" ref="J69" si="98">+J68-J21</f>
        <v>0</v>
      </c>
      <c r="K69" s="41">
        <f t="shared" ref="K69" si="99">+K68-K21</f>
        <v>0</v>
      </c>
      <c r="L69" s="41">
        <f t="shared" ref="L69" si="100">+L68-L21</f>
        <v>0</v>
      </c>
      <c r="M69" s="41">
        <f t="shared" ref="M69" si="101">+M68-M21</f>
        <v>0</v>
      </c>
      <c r="N69" s="41">
        <f t="shared" ref="N69" si="102">+N68-N21</f>
        <v>0</v>
      </c>
    </row>
    <row r="70" spans="1:14">
      <c r="A70" s="51" t="s">
        <v>197</v>
      </c>
      <c r="B70" s="48">
        <f>B33+B36-(B21+B57)</f>
        <v>-3604</v>
      </c>
      <c r="C70" s="48">
        <f t="shared" ref="C70:I70" si="103">C33+C36-(C21+C57)</f>
        <v>-1193</v>
      </c>
      <c r="D70" s="48">
        <f t="shared" si="103"/>
        <v>-428</v>
      </c>
      <c r="E70" s="48">
        <f t="shared" si="103"/>
        <v>-2079</v>
      </c>
      <c r="F70" s="48">
        <f t="shared" si="103"/>
        <v>-1851</v>
      </c>
      <c r="G70" s="48">
        <f t="shared" si="103"/>
        <v>1003</v>
      </c>
      <c r="H70" s="48">
        <f t="shared" si="103"/>
        <v>2629</v>
      </c>
      <c r="I70" s="48">
        <f t="shared" si="103"/>
        <v>1612</v>
      </c>
      <c r="J70" s="48">
        <f t="shared" ref="J70:N70" si="104">J33+J36-(J21+J57)</f>
        <v>-300.3120474886382</v>
      </c>
      <c r="K70" s="48">
        <f t="shared" si="104"/>
        <v>-4077.6677484733991</v>
      </c>
      <c r="L70" s="48">
        <f t="shared" si="104"/>
        <v>-7564.4453189241722</v>
      </c>
      <c r="M70" s="48">
        <f t="shared" si="104"/>
        <v>-13448.968328665542</v>
      </c>
      <c r="N70" s="48">
        <f t="shared" si="104"/>
        <v>-19578.612874225342</v>
      </c>
    </row>
    <row r="74" spans="1:14">
      <c r="A74" s="50" t="s">
        <v>224</v>
      </c>
    </row>
    <row r="76" spans="1:14">
      <c r="A76" s="50" t="s">
        <v>225</v>
      </c>
      <c r="B76" s="95">
        <f>B70/B21</f>
        <v>-0.93561786085150567</v>
      </c>
      <c r="C76" s="95">
        <f t="shared" ref="C76:I76" si="105">C70/C21</f>
        <v>-0.38017845761631613</v>
      </c>
      <c r="D76" s="95">
        <f t="shared" si="105"/>
        <v>-0.11239495798319328</v>
      </c>
      <c r="E76" s="95">
        <f t="shared" si="105"/>
        <v>-0.48929159802306427</v>
      </c>
      <c r="F76" s="95">
        <f t="shared" si="105"/>
        <v>-0.41446484549932827</v>
      </c>
      <c r="G76" s="95">
        <f t="shared" si="105"/>
        <v>0.12014853857211308</v>
      </c>
      <c r="H76" s="95">
        <f t="shared" si="105"/>
        <v>0.26585094549499444</v>
      </c>
      <c r="I76" s="95">
        <f t="shared" si="105"/>
        <v>0.18801026358759038</v>
      </c>
      <c r="K76" s="95"/>
    </row>
    <row r="77" spans="1:14">
      <c r="A77" s="50" t="s">
        <v>229</v>
      </c>
      <c r="C77" s="50">
        <f>C61/B61-1</f>
        <v>0.1368186874304782</v>
      </c>
      <c r="D77" s="50">
        <f t="shared" ref="D77:I77" si="106">D61/C61-1</f>
        <v>0.10861056751467713</v>
      </c>
      <c r="E77" s="50">
        <f t="shared" si="106"/>
        <v>9.7087378640776656E-2</v>
      </c>
      <c r="F77" s="50">
        <f t="shared" si="106"/>
        <v>7.160096540627503E-2</v>
      </c>
      <c r="G77" s="50">
        <f t="shared" si="106"/>
        <v>9.0090090090090058E-2</v>
      </c>
      <c r="H77" s="50">
        <f t="shared" si="106"/>
        <v>0.12809917355371891</v>
      </c>
      <c r="I77" s="50">
        <f t="shared" si="106"/>
        <v>0.1214896214896215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HP</cp:lastModifiedBy>
  <dcterms:created xsi:type="dcterms:W3CDTF">2020-05-20T17:26:08Z</dcterms:created>
  <dcterms:modified xsi:type="dcterms:W3CDTF">2023-11-30T23:16:33Z</dcterms:modified>
</cp:coreProperties>
</file>