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syoos\Downloads\"/>
    </mc:Choice>
  </mc:AlternateContent>
  <xr:revisionPtr revIDLastSave="0" documentId="8_{1F3C554D-DD4F-4E96-B896-2AB94361D66E}" xr6:coauthVersionLast="47" xr6:coauthVersionMax="47" xr10:uidLastSave="{00000000-0000-0000-0000-000000000000}"/>
  <bookViews>
    <workbookView xWindow="-108" yWindow="-108" windowWidth="23256" windowHeight="13896" tabRatio="513"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5" i="3" l="1"/>
  <c r="K205" i="3"/>
  <c r="L205" i="3"/>
  <c r="M205" i="3"/>
  <c r="N205" i="3"/>
  <c r="K14" i="3"/>
  <c r="L14" i="3"/>
  <c r="M14" i="3"/>
  <c r="N14" i="3"/>
  <c r="J14" i="3"/>
  <c r="K39" i="4"/>
  <c r="L39" i="4"/>
  <c r="M39" i="4"/>
  <c r="N39" i="4"/>
  <c r="J39" i="4"/>
  <c r="J15" i="4"/>
  <c r="K15" i="4" s="1"/>
  <c r="L15" i="4" s="1"/>
  <c r="M15" i="4" s="1"/>
  <c r="N15" i="4" s="1"/>
  <c r="M93" i="3"/>
  <c r="N93" i="3" s="1"/>
  <c r="L119" i="3"/>
  <c r="L115" i="3"/>
  <c r="M89" i="3"/>
  <c r="M85" i="3"/>
  <c r="M29" i="3"/>
  <c r="N29" i="3" s="1"/>
  <c r="M25" i="3"/>
  <c r="C143" i="3"/>
  <c r="D143" i="3"/>
  <c r="E143" i="3"/>
  <c r="F143" i="3"/>
  <c r="G143" i="3"/>
  <c r="H143" i="3"/>
  <c r="I143" i="3"/>
  <c r="I12" i="4"/>
  <c r="I15" i="4"/>
  <c r="I16" i="4"/>
  <c r="I17" i="4"/>
  <c r="I19" i="4" s="1"/>
  <c r="J1" i="4"/>
  <c r="K1" i="4" s="1"/>
  <c r="L1" i="4" s="1"/>
  <c r="M1" i="4" s="1"/>
  <c r="N1" i="4" s="1"/>
  <c r="J17" i="4" l="1"/>
  <c r="N85" i="3"/>
  <c r="N119" i="3" s="1"/>
  <c r="M119" i="3"/>
  <c r="N89" i="3"/>
  <c r="N115" i="3" s="1"/>
  <c r="M115" i="3"/>
  <c r="N25" i="3"/>
  <c r="C62" i="4"/>
  <c r="D62" i="4"/>
  <c r="E62" i="4"/>
  <c r="F62" i="4"/>
  <c r="G62" i="4"/>
  <c r="H62" i="4"/>
  <c r="I62" i="4"/>
  <c r="J62" i="4" s="1"/>
  <c r="K62" i="4" s="1"/>
  <c r="L62" i="4" s="1"/>
  <c r="M62" i="4" s="1"/>
  <c r="N62" i="4" s="1"/>
  <c r="B62" i="4"/>
  <c r="C59" i="4"/>
  <c r="D59" i="4"/>
  <c r="E59" i="4"/>
  <c r="F59" i="4"/>
  <c r="G59" i="4"/>
  <c r="H59" i="4"/>
  <c r="I59" i="4"/>
  <c r="J59" i="4" s="1"/>
  <c r="K59" i="4" s="1"/>
  <c r="L59" i="4" s="1"/>
  <c r="M59" i="4" s="1"/>
  <c r="N59" i="4" s="1"/>
  <c r="B59" i="4"/>
  <c r="C57" i="4"/>
  <c r="D57" i="4"/>
  <c r="E57" i="4"/>
  <c r="F57" i="4"/>
  <c r="G57" i="4"/>
  <c r="H57" i="4"/>
  <c r="I57" i="4"/>
  <c r="J57" i="4" s="1"/>
  <c r="K57" i="4" s="1"/>
  <c r="L57" i="4" s="1"/>
  <c r="M57" i="4" s="1"/>
  <c r="N57" i="4" s="1"/>
  <c r="B57" i="4"/>
  <c r="B77" i="4"/>
  <c r="K17" i="4" l="1"/>
  <c r="L17" i="4" s="1"/>
  <c r="J61" i="4"/>
  <c r="K61" i="4" s="1"/>
  <c r="C25" i="4"/>
  <c r="D25" i="4"/>
  <c r="E25" i="4"/>
  <c r="F25" i="4"/>
  <c r="G25" i="4"/>
  <c r="H25" i="4"/>
  <c r="I25" i="4"/>
  <c r="J25" i="4" s="1"/>
  <c r="K25" i="4" s="1"/>
  <c r="L25" i="4" s="1"/>
  <c r="M25" i="4" s="1"/>
  <c r="N25" i="4" s="1"/>
  <c r="C23" i="4"/>
  <c r="D23" i="4"/>
  <c r="E23" i="4"/>
  <c r="F23" i="4"/>
  <c r="G23" i="4"/>
  <c r="H23" i="4"/>
  <c r="I23" i="4"/>
  <c r="B23" i="4"/>
  <c r="B51" i="4" s="1"/>
  <c r="C22" i="4"/>
  <c r="D22" i="4"/>
  <c r="E22" i="4"/>
  <c r="F22" i="4"/>
  <c r="G22" i="4"/>
  <c r="H22" i="4"/>
  <c r="I22" i="4"/>
  <c r="J22" i="4" s="1"/>
  <c r="K22" i="4" s="1"/>
  <c r="L22" i="4" s="1"/>
  <c r="M22" i="4" s="1"/>
  <c r="N22" i="4" s="1"/>
  <c r="B22" i="4"/>
  <c r="C35" i="4"/>
  <c r="D35" i="4"/>
  <c r="E35" i="4"/>
  <c r="F35" i="4"/>
  <c r="G35" i="4"/>
  <c r="H35" i="4"/>
  <c r="I35" i="4"/>
  <c r="J35" i="4" s="1"/>
  <c r="K35" i="4" s="1"/>
  <c r="L35" i="4" s="1"/>
  <c r="M35" i="4" s="1"/>
  <c r="N35" i="4" s="1"/>
  <c r="B35" i="4"/>
  <c r="B67" i="4"/>
  <c r="C65" i="4"/>
  <c r="D65" i="4"/>
  <c r="E65" i="4"/>
  <c r="F65" i="4"/>
  <c r="G65" i="4"/>
  <c r="H65" i="4"/>
  <c r="I65" i="4"/>
  <c r="J65" i="4" s="1"/>
  <c r="K65" i="4" s="1"/>
  <c r="L65" i="4" s="1"/>
  <c r="M65" i="4" s="1"/>
  <c r="N65" i="4" s="1"/>
  <c r="B65" i="4"/>
  <c r="C63" i="4"/>
  <c r="D63" i="4"/>
  <c r="E63" i="4"/>
  <c r="F63" i="4"/>
  <c r="G63" i="4"/>
  <c r="H63" i="4"/>
  <c r="I63" i="4"/>
  <c r="J63" i="4" s="1"/>
  <c r="K63" i="4" s="1"/>
  <c r="L63" i="4" s="1"/>
  <c r="M63" i="4" s="1"/>
  <c r="N63" i="4" s="1"/>
  <c r="B63" i="4"/>
  <c r="D60" i="4"/>
  <c r="E60" i="4"/>
  <c r="F60" i="4"/>
  <c r="G60" i="4"/>
  <c r="H60" i="4"/>
  <c r="I60" i="4"/>
  <c r="B60" i="4"/>
  <c r="C61" i="4"/>
  <c r="D61" i="4"/>
  <c r="E61" i="4"/>
  <c r="F61" i="4"/>
  <c r="G61" i="4"/>
  <c r="H61" i="4"/>
  <c r="I61" i="4"/>
  <c r="B61" i="4"/>
  <c r="C50" i="4"/>
  <c r="D50" i="4"/>
  <c r="E50" i="4"/>
  <c r="F50" i="4"/>
  <c r="G50" i="4"/>
  <c r="H50" i="4"/>
  <c r="I50" i="4"/>
  <c r="C48" i="4"/>
  <c r="D48" i="4"/>
  <c r="E48" i="4"/>
  <c r="F48" i="4"/>
  <c r="G48" i="4"/>
  <c r="H48" i="4"/>
  <c r="I48" i="4"/>
  <c r="J48" i="4" s="1"/>
  <c r="K48" i="4" s="1"/>
  <c r="L48" i="4" s="1"/>
  <c r="M48" i="4" s="1"/>
  <c r="N48" i="4" s="1"/>
  <c r="B48" i="4"/>
  <c r="B50" i="4"/>
  <c r="C42" i="4"/>
  <c r="D42" i="4"/>
  <c r="E42" i="4"/>
  <c r="F42" i="4"/>
  <c r="G42" i="4"/>
  <c r="H42" i="4"/>
  <c r="I42" i="4"/>
  <c r="J42" i="4" s="1"/>
  <c r="K42" i="4" s="1"/>
  <c r="L42" i="4" s="1"/>
  <c r="M42" i="4" s="1"/>
  <c r="N42" i="4" s="1"/>
  <c r="C41" i="4"/>
  <c r="D41" i="4"/>
  <c r="E41" i="4"/>
  <c r="F41" i="4"/>
  <c r="G41" i="4"/>
  <c r="H41" i="4"/>
  <c r="I41" i="4"/>
  <c r="C40" i="4"/>
  <c r="D40" i="4"/>
  <c r="E40" i="4"/>
  <c r="F40" i="4"/>
  <c r="G40" i="4"/>
  <c r="H40" i="4"/>
  <c r="I40" i="4"/>
  <c r="J40" i="4" s="1"/>
  <c r="K40" i="4" s="1"/>
  <c r="L40" i="4" s="1"/>
  <c r="M40" i="4" s="1"/>
  <c r="N40" i="4" s="1"/>
  <c r="B42" i="4"/>
  <c r="B41" i="4"/>
  <c r="B40" i="4"/>
  <c r="C36" i="4"/>
  <c r="D36" i="4"/>
  <c r="E36" i="4"/>
  <c r="F36" i="4"/>
  <c r="G36" i="4"/>
  <c r="H36" i="4"/>
  <c r="I36" i="4"/>
  <c r="C37" i="4"/>
  <c r="D37" i="4"/>
  <c r="E37" i="4"/>
  <c r="F37" i="4"/>
  <c r="G37" i="4"/>
  <c r="H37" i="4"/>
  <c r="I37" i="4"/>
  <c r="J37" i="4" s="1"/>
  <c r="K37" i="4" s="1"/>
  <c r="L37" i="4" s="1"/>
  <c r="M37" i="4" s="1"/>
  <c r="N37" i="4" s="1"/>
  <c r="C38" i="4"/>
  <c r="D38" i="4"/>
  <c r="E38" i="4"/>
  <c r="F38" i="4"/>
  <c r="G38" i="4"/>
  <c r="H38" i="4"/>
  <c r="I38" i="4"/>
  <c r="J38" i="4" s="1"/>
  <c r="K38" i="4" s="1"/>
  <c r="L38" i="4" s="1"/>
  <c r="M38" i="4" s="1"/>
  <c r="N38" i="4" s="1"/>
  <c r="B38" i="4"/>
  <c r="B36" i="4"/>
  <c r="B37" i="4"/>
  <c r="C34" i="4"/>
  <c r="D34" i="4"/>
  <c r="E34" i="4"/>
  <c r="F34" i="4"/>
  <c r="G34" i="4"/>
  <c r="H34" i="4"/>
  <c r="I34" i="4"/>
  <c r="J34" i="4" s="1"/>
  <c r="K34" i="4" s="1"/>
  <c r="L34" i="4" s="1"/>
  <c r="M34" i="4" s="1"/>
  <c r="N34" i="4" s="1"/>
  <c r="C33" i="4"/>
  <c r="D33" i="4"/>
  <c r="E33" i="4"/>
  <c r="F33" i="4"/>
  <c r="G33" i="4"/>
  <c r="H33" i="4"/>
  <c r="I33" i="4"/>
  <c r="J33" i="4" s="1"/>
  <c r="K33" i="4" s="1"/>
  <c r="L33" i="4" s="1"/>
  <c r="M33" i="4" s="1"/>
  <c r="N33" i="4" s="1"/>
  <c r="B34" i="4"/>
  <c r="B33" i="4"/>
  <c r="C30" i="4"/>
  <c r="D30" i="4"/>
  <c r="E30" i="4"/>
  <c r="F30" i="4"/>
  <c r="G30" i="4"/>
  <c r="H30" i="4"/>
  <c r="I30" i="4"/>
  <c r="J30" i="4" s="1"/>
  <c r="K30" i="4" s="1"/>
  <c r="L30" i="4" s="1"/>
  <c r="M30" i="4" s="1"/>
  <c r="N30" i="4" s="1"/>
  <c r="C29" i="4"/>
  <c r="D29" i="4"/>
  <c r="E29" i="4"/>
  <c r="F29" i="4"/>
  <c r="G29" i="4"/>
  <c r="H29" i="4"/>
  <c r="I29" i="4"/>
  <c r="J29" i="4" s="1"/>
  <c r="K29" i="4" s="1"/>
  <c r="L29" i="4" s="1"/>
  <c r="M29" i="4" s="1"/>
  <c r="N29" i="4" s="1"/>
  <c r="C28" i="4"/>
  <c r="D28" i="4"/>
  <c r="E28" i="4"/>
  <c r="F28" i="4"/>
  <c r="G28" i="4"/>
  <c r="H28" i="4"/>
  <c r="I28" i="4"/>
  <c r="J28" i="4" s="1"/>
  <c r="K28" i="4" s="1"/>
  <c r="L28" i="4" s="1"/>
  <c r="M28" i="4" s="1"/>
  <c r="N28" i="4" s="1"/>
  <c r="C27" i="4"/>
  <c r="D27" i="4"/>
  <c r="E27" i="4"/>
  <c r="F27" i="4"/>
  <c r="G27" i="4"/>
  <c r="H27" i="4"/>
  <c r="I27" i="4"/>
  <c r="J27" i="4" s="1"/>
  <c r="K27" i="4" s="1"/>
  <c r="L27" i="4" s="1"/>
  <c r="M27" i="4" s="1"/>
  <c r="N27" i="4" s="1"/>
  <c r="C26" i="4"/>
  <c r="D26" i="4"/>
  <c r="E26" i="4"/>
  <c r="F26" i="4"/>
  <c r="G26" i="4"/>
  <c r="H26" i="4"/>
  <c r="I26" i="4"/>
  <c r="J26" i="4" s="1"/>
  <c r="K26" i="4" s="1"/>
  <c r="L26" i="4" s="1"/>
  <c r="M26" i="4" s="1"/>
  <c r="N26" i="4" s="1"/>
  <c r="B30" i="4"/>
  <c r="B29" i="4"/>
  <c r="B28" i="4"/>
  <c r="B27" i="4"/>
  <c r="B26" i="4"/>
  <c r="M17" i="4" l="1"/>
  <c r="L61" i="4"/>
  <c r="E32" i="4"/>
  <c r="C32" i="4"/>
  <c r="I51" i="4"/>
  <c r="G32" i="4"/>
  <c r="H51" i="4"/>
  <c r="F51" i="4"/>
  <c r="D51" i="4"/>
  <c r="D32" i="4"/>
  <c r="C51" i="4"/>
  <c r="I32" i="4"/>
  <c r="J32" i="4" s="1"/>
  <c r="K32" i="4" s="1"/>
  <c r="L32" i="4" s="1"/>
  <c r="M32" i="4" s="1"/>
  <c r="N32" i="4" s="1"/>
  <c r="H32" i="4"/>
  <c r="G51" i="4"/>
  <c r="F32" i="4"/>
  <c r="E51" i="4"/>
  <c r="B43" i="4"/>
  <c r="B32" i="4"/>
  <c r="I43" i="4"/>
  <c r="H43" i="4"/>
  <c r="G43" i="4"/>
  <c r="F43" i="4"/>
  <c r="E43" i="4"/>
  <c r="D43" i="4"/>
  <c r="C43" i="4"/>
  <c r="C60" i="4"/>
  <c r="B64" i="4"/>
  <c r="I64" i="4"/>
  <c r="H64" i="4"/>
  <c r="G64" i="4"/>
  <c r="F64" i="4"/>
  <c r="E64" i="4"/>
  <c r="D64" i="4"/>
  <c r="C64" i="4"/>
  <c r="B25" i="4"/>
  <c r="C21" i="4"/>
  <c r="D21" i="4"/>
  <c r="E21" i="4"/>
  <c r="F21" i="4"/>
  <c r="G21" i="4"/>
  <c r="H21" i="4"/>
  <c r="I21" i="4"/>
  <c r="J21" i="4" s="1"/>
  <c r="K21" i="4" s="1"/>
  <c r="L21" i="4" s="1"/>
  <c r="M21" i="4" s="1"/>
  <c r="N21" i="4" s="1"/>
  <c r="B21" i="4"/>
  <c r="C16" i="4"/>
  <c r="D16" i="4"/>
  <c r="E16" i="4"/>
  <c r="F16" i="4"/>
  <c r="G16" i="4"/>
  <c r="H16" i="4"/>
  <c r="B16" i="4"/>
  <c r="M61" i="4" l="1"/>
  <c r="N17" i="4"/>
  <c r="N61" i="4" s="1"/>
  <c r="B31" i="4"/>
  <c r="B44" i="4" s="1"/>
  <c r="I31" i="4"/>
  <c r="I44" i="4" s="1"/>
  <c r="H31" i="4"/>
  <c r="H44" i="4" s="1"/>
  <c r="G31" i="4"/>
  <c r="G44" i="4" s="1"/>
  <c r="F31" i="4"/>
  <c r="F44" i="4" s="1"/>
  <c r="E31" i="4"/>
  <c r="E44" i="4" s="1"/>
  <c r="D31" i="4"/>
  <c r="D44" i="4" s="1"/>
  <c r="C31" i="4"/>
  <c r="C44" i="4" s="1"/>
  <c r="C15" i="4"/>
  <c r="D15" i="4"/>
  <c r="E15" i="4"/>
  <c r="F15" i="4"/>
  <c r="G15" i="4"/>
  <c r="G17" i="4" s="1"/>
  <c r="G19" i="4" s="1"/>
  <c r="H15" i="4"/>
  <c r="H17" i="4" s="1"/>
  <c r="B15" i="4"/>
  <c r="C12" i="4"/>
  <c r="D12" i="4"/>
  <c r="E12" i="4"/>
  <c r="F12" i="4"/>
  <c r="G12" i="4"/>
  <c r="H12" i="4"/>
  <c r="B12" i="4"/>
  <c r="C10" i="4"/>
  <c r="D10" i="4"/>
  <c r="E10" i="4"/>
  <c r="F10" i="4"/>
  <c r="G10" i="4"/>
  <c r="H10" i="4"/>
  <c r="I10" i="4"/>
  <c r="B10" i="4"/>
  <c r="B17" i="4" l="1"/>
  <c r="H19" i="4"/>
  <c r="I18" i="4"/>
  <c r="F17" i="4"/>
  <c r="F18" i="4" s="1"/>
  <c r="E17" i="4"/>
  <c r="E18" i="4" s="1"/>
  <c r="D17" i="4"/>
  <c r="D18" i="4" s="1"/>
  <c r="C17" i="4"/>
  <c r="H18" i="4"/>
  <c r="C18" i="4"/>
  <c r="B18" i="4"/>
  <c r="H1" i="4"/>
  <c r="G1" i="4" s="1"/>
  <c r="F1" i="4" s="1"/>
  <c r="E1" i="4" s="1"/>
  <c r="D1" i="4" s="1"/>
  <c r="C1" i="4" s="1"/>
  <c r="B1" i="4" s="1"/>
  <c r="G18" i="4" l="1"/>
  <c r="C19" i="4"/>
  <c r="D19" i="4"/>
  <c r="E19" i="4"/>
  <c r="F19" i="4"/>
  <c r="B19" i="4"/>
  <c r="B159" i="3"/>
  <c r="C188" i="3"/>
  <c r="D188" i="3"/>
  <c r="E188" i="3"/>
  <c r="E189" i="3" s="1"/>
  <c r="F188" i="3"/>
  <c r="F189" i="3" s="1"/>
  <c r="G188" i="3"/>
  <c r="G189" i="3" s="1"/>
  <c r="H188" i="3"/>
  <c r="H189" i="3" s="1"/>
  <c r="I188" i="3"/>
  <c r="B188" i="3"/>
  <c r="B189" i="3" s="1"/>
  <c r="J18" i="4" l="1"/>
  <c r="D189" i="3"/>
  <c r="I189" i="3"/>
  <c r="J189" i="3" s="1"/>
  <c r="K189" i="3" s="1"/>
  <c r="L189" i="3" s="1"/>
  <c r="M189" i="3" s="1"/>
  <c r="N189" i="3" s="1"/>
  <c r="C189" i="3"/>
  <c r="C185" i="3"/>
  <c r="D185" i="3"/>
  <c r="D186" i="3" s="1"/>
  <c r="E185" i="3"/>
  <c r="E186" i="3" s="1"/>
  <c r="F185" i="3"/>
  <c r="F186" i="3" s="1"/>
  <c r="G185" i="3"/>
  <c r="G186" i="3" s="1"/>
  <c r="H185" i="3"/>
  <c r="H186" i="3" s="1"/>
  <c r="I185" i="3"/>
  <c r="I186" i="3" s="1"/>
  <c r="B185" i="3"/>
  <c r="B186" i="3" s="1"/>
  <c r="C186" i="3"/>
  <c r="C155" i="3"/>
  <c r="D155" i="3"/>
  <c r="D156" i="3" s="1"/>
  <c r="E155" i="3"/>
  <c r="E156" i="3" s="1"/>
  <c r="F155" i="3"/>
  <c r="F156" i="3" s="1"/>
  <c r="G155" i="3"/>
  <c r="G156" i="3" s="1"/>
  <c r="H155" i="3"/>
  <c r="I155" i="3"/>
  <c r="B155" i="3"/>
  <c r="I156" i="3"/>
  <c r="B156" i="3"/>
  <c r="C137" i="3"/>
  <c r="D137" i="3"/>
  <c r="E137" i="3"/>
  <c r="E138" i="3" s="1"/>
  <c r="F137" i="3"/>
  <c r="F138" i="3" s="1"/>
  <c r="G137" i="3"/>
  <c r="G138" i="3" s="1"/>
  <c r="H137" i="3"/>
  <c r="H138" i="3" s="1"/>
  <c r="I137" i="3"/>
  <c r="I138" i="3" s="1"/>
  <c r="B137" i="3"/>
  <c r="B138" i="3" s="1"/>
  <c r="C107" i="3"/>
  <c r="D107" i="3"/>
  <c r="E107" i="3"/>
  <c r="F107" i="3"/>
  <c r="G107" i="3"/>
  <c r="H107" i="3"/>
  <c r="I107" i="3"/>
  <c r="B107" i="3"/>
  <c r="D77" i="3"/>
  <c r="E77" i="3"/>
  <c r="F77" i="3"/>
  <c r="G77" i="3"/>
  <c r="H77" i="3"/>
  <c r="I77" i="3"/>
  <c r="C47" i="3"/>
  <c r="D47" i="3"/>
  <c r="D48" i="3" s="1"/>
  <c r="E47" i="3"/>
  <c r="E48" i="3" s="1"/>
  <c r="F47" i="3"/>
  <c r="G47" i="3"/>
  <c r="H47" i="3"/>
  <c r="I47" i="3"/>
  <c r="B47" i="3"/>
  <c r="B48" i="3" s="1"/>
  <c r="G48" i="3"/>
  <c r="H48" i="3"/>
  <c r="I48" i="3"/>
  <c r="C194" i="3"/>
  <c r="D194" i="3"/>
  <c r="E194" i="3"/>
  <c r="F194" i="3"/>
  <c r="G194" i="3"/>
  <c r="H194" i="3"/>
  <c r="I194" i="3"/>
  <c r="J194" i="3" s="1"/>
  <c r="K194" i="3" s="1"/>
  <c r="L194" i="3" s="1"/>
  <c r="M194" i="3" s="1"/>
  <c r="N194" i="3" s="1"/>
  <c r="B194" i="3"/>
  <c r="C152" i="3"/>
  <c r="D152" i="3"/>
  <c r="E152" i="3"/>
  <c r="F152" i="3"/>
  <c r="G152" i="3"/>
  <c r="H152" i="3"/>
  <c r="I152" i="3"/>
  <c r="B152" i="3"/>
  <c r="C146" i="3"/>
  <c r="D146" i="3"/>
  <c r="E146" i="3"/>
  <c r="F146" i="3"/>
  <c r="G146" i="3"/>
  <c r="H146" i="3"/>
  <c r="I146" i="3"/>
  <c r="B146" i="3"/>
  <c r="B143" i="3"/>
  <c r="C173" i="3"/>
  <c r="D173" i="3"/>
  <c r="E173" i="3"/>
  <c r="F173" i="3"/>
  <c r="G173" i="3"/>
  <c r="H173" i="3"/>
  <c r="I173" i="3"/>
  <c r="B173" i="3"/>
  <c r="C125" i="3"/>
  <c r="D125" i="3"/>
  <c r="E125" i="3"/>
  <c r="F125" i="3"/>
  <c r="G125" i="3"/>
  <c r="H125" i="3"/>
  <c r="I125" i="3"/>
  <c r="B125" i="3"/>
  <c r="C98" i="3"/>
  <c r="D98" i="3"/>
  <c r="E98" i="3"/>
  <c r="F98" i="3"/>
  <c r="G98" i="3"/>
  <c r="H98" i="3"/>
  <c r="I98" i="3"/>
  <c r="B98" i="3"/>
  <c r="D95" i="3"/>
  <c r="E95" i="3"/>
  <c r="F95" i="3"/>
  <c r="G95" i="3"/>
  <c r="H95" i="3"/>
  <c r="I95" i="3"/>
  <c r="C95" i="3"/>
  <c r="B95" i="3"/>
  <c r="D65" i="3"/>
  <c r="E65" i="3"/>
  <c r="F65" i="3"/>
  <c r="G65" i="3"/>
  <c r="H65" i="3"/>
  <c r="I65" i="3"/>
  <c r="D35" i="3"/>
  <c r="E35" i="3"/>
  <c r="F35" i="3"/>
  <c r="G35" i="3"/>
  <c r="H35" i="3"/>
  <c r="I35" i="3"/>
  <c r="C35" i="3"/>
  <c r="B35" i="3"/>
  <c r="A191" i="3"/>
  <c r="N18" i="4" l="1"/>
  <c r="M18" i="4"/>
  <c r="L18" i="4"/>
  <c r="K18" i="4"/>
  <c r="C48" i="3"/>
  <c r="C156" i="3"/>
  <c r="F48" i="3"/>
  <c r="H156" i="3"/>
  <c r="D138" i="3"/>
  <c r="J188" i="3"/>
  <c r="K188" i="3" s="1"/>
  <c r="L188" i="3" s="1"/>
  <c r="M188" i="3" s="1"/>
  <c r="N188" i="3" s="1"/>
  <c r="B101" i="3"/>
  <c r="C101" i="3"/>
  <c r="I101" i="3"/>
  <c r="H101" i="3"/>
  <c r="G101" i="3"/>
  <c r="F101" i="3"/>
  <c r="E101" i="3"/>
  <c r="D101" i="3"/>
  <c r="B108" i="3"/>
  <c r="I108" i="3"/>
  <c r="H108" i="3"/>
  <c r="G108" i="3"/>
  <c r="F108" i="3"/>
  <c r="E108" i="3"/>
  <c r="D108" i="3"/>
  <c r="C108" i="3"/>
  <c r="C138" i="3"/>
  <c r="I78" i="3"/>
  <c r="H78" i="3"/>
  <c r="G78" i="3"/>
  <c r="F78" i="3"/>
  <c r="E78" i="3"/>
  <c r="B36" i="3"/>
  <c r="C36" i="3"/>
  <c r="I36" i="3"/>
  <c r="H36" i="3"/>
  <c r="G36" i="3"/>
  <c r="F36" i="3"/>
  <c r="E36" i="3"/>
  <c r="D36" i="3"/>
  <c r="B149" i="3"/>
  <c r="I149" i="3"/>
  <c r="H149" i="3"/>
  <c r="G149" i="3"/>
  <c r="F149" i="3"/>
  <c r="E149" i="3"/>
  <c r="D149" i="3"/>
  <c r="C149" i="3"/>
  <c r="B144" i="3"/>
  <c r="C144" i="3"/>
  <c r="D144" i="3"/>
  <c r="E144" i="3"/>
  <c r="F144" i="3"/>
  <c r="G144" i="3"/>
  <c r="H144" i="3"/>
  <c r="I144" i="3"/>
  <c r="B147" i="3"/>
  <c r="C147" i="3"/>
  <c r="D147" i="3"/>
  <c r="E147" i="3"/>
  <c r="F147" i="3"/>
  <c r="G147" i="3"/>
  <c r="H147" i="3"/>
  <c r="I147" i="3"/>
  <c r="B153" i="3"/>
  <c r="C153" i="3"/>
  <c r="D153" i="3"/>
  <c r="E153" i="3"/>
  <c r="F153" i="3"/>
  <c r="G153" i="3"/>
  <c r="H153" i="3"/>
  <c r="I153" i="3"/>
  <c r="J36" i="3" l="1"/>
  <c r="I150" i="3"/>
  <c r="H150" i="3"/>
  <c r="G150" i="3"/>
  <c r="F150" i="3"/>
  <c r="E150" i="3"/>
  <c r="D150" i="3"/>
  <c r="C150" i="3"/>
  <c r="B150" i="3"/>
  <c r="K36" i="3" l="1"/>
  <c r="L36" i="3"/>
  <c r="M36" i="3"/>
  <c r="N36" i="3"/>
  <c r="C171" i="3"/>
  <c r="D171" i="3"/>
  <c r="E171" i="3"/>
  <c r="F171" i="3"/>
  <c r="G171" i="3"/>
  <c r="H171" i="3"/>
  <c r="I171" i="3"/>
  <c r="B171" i="3"/>
  <c r="C167" i="3"/>
  <c r="D167" i="3"/>
  <c r="E167" i="3"/>
  <c r="F167" i="3"/>
  <c r="G167" i="3"/>
  <c r="H167" i="3"/>
  <c r="I167" i="3"/>
  <c r="B167" i="3"/>
  <c r="C163" i="3"/>
  <c r="D163" i="3"/>
  <c r="E163" i="3"/>
  <c r="F163" i="3"/>
  <c r="G163" i="3"/>
  <c r="H163" i="3"/>
  <c r="I163" i="3"/>
  <c r="B163" i="3"/>
  <c r="C176" i="3"/>
  <c r="D176" i="3"/>
  <c r="E176" i="3"/>
  <c r="F176" i="3"/>
  <c r="G176" i="3"/>
  <c r="H176" i="3"/>
  <c r="I176" i="3"/>
  <c r="B176" i="3"/>
  <c r="C182" i="3"/>
  <c r="D182" i="3"/>
  <c r="E182" i="3"/>
  <c r="F182" i="3"/>
  <c r="G182" i="3"/>
  <c r="H182" i="3"/>
  <c r="I182" i="3"/>
  <c r="B182" i="3"/>
  <c r="C169" i="3"/>
  <c r="D169" i="3"/>
  <c r="E169" i="3"/>
  <c r="F169" i="3"/>
  <c r="G169" i="3"/>
  <c r="H169" i="3"/>
  <c r="I169" i="3"/>
  <c r="B169" i="3"/>
  <c r="B170" i="3" s="1"/>
  <c r="B172" i="3" s="1"/>
  <c r="C165" i="3"/>
  <c r="D165" i="3"/>
  <c r="E165" i="3"/>
  <c r="F165" i="3"/>
  <c r="G165" i="3"/>
  <c r="H165" i="3"/>
  <c r="I165" i="3"/>
  <c r="B165" i="3"/>
  <c r="C161" i="3"/>
  <c r="D161" i="3"/>
  <c r="E161" i="3"/>
  <c r="F161" i="3"/>
  <c r="G161" i="3"/>
  <c r="H161" i="3"/>
  <c r="I161" i="3"/>
  <c r="B161" i="3"/>
  <c r="B162" i="3" s="1"/>
  <c r="B164" i="3" s="1"/>
  <c r="C159" i="3"/>
  <c r="D159" i="3"/>
  <c r="E159" i="3"/>
  <c r="F159" i="3"/>
  <c r="G159" i="3"/>
  <c r="A158" i="3"/>
  <c r="B166" i="3"/>
  <c r="B168" i="3" s="1"/>
  <c r="B160" i="3"/>
  <c r="C141" i="3"/>
  <c r="D141" i="3"/>
  <c r="E141" i="3"/>
  <c r="F141" i="3"/>
  <c r="G141" i="3"/>
  <c r="H141" i="3"/>
  <c r="I141" i="3"/>
  <c r="B141" i="3"/>
  <c r="A140" i="3"/>
  <c r="B142" i="3"/>
  <c r="C123" i="3"/>
  <c r="D123" i="3"/>
  <c r="E123" i="3"/>
  <c r="F123" i="3"/>
  <c r="G123" i="3"/>
  <c r="H123" i="3"/>
  <c r="I123" i="3"/>
  <c r="K123" i="3" s="1"/>
  <c r="L123" i="3" s="1"/>
  <c r="M123" i="3" s="1"/>
  <c r="N123" i="3" s="1"/>
  <c r="B123" i="3"/>
  <c r="J122" i="3" s="1"/>
  <c r="C119" i="3"/>
  <c r="D119" i="3"/>
  <c r="E119" i="3"/>
  <c r="F119" i="3"/>
  <c r="G119" i="3"/>
  <c r="H119" i="3"/>
  <c r="I119" i="3"/>
  <c r="J119" i="3" s="1"/>
  <c r="K119" i="3" s="1"/>
  <c r="B119" i="3"/>
  <c r="J118" i="3" s="1"/>
  <c r="C115" i="3"/>
  <c r="D115" i="3"/>
  <c r="E115" i="3"/>
  <c r="F115" i="3"/>
  <c r="G115" i="3"/>
  <c r="H115" i="3"/>
  <c r="I115" i="3"/>
  <c r="B115" i="3"/>
  <c r="C128" i="3"/>
  <c r="D128" i="3"/>
  <c r="E128" i="3"/>
  <c r="F128" i="3"/>
  <c r="G128" i="3"/>
  <c r="H128" i="3"/>
  <c r="I128" i="3"/>
  <c r="B128" i="3"/>
  <c r="C134" i="3"/>
  <c r="D134" i="3"/>
  <c r="E134" i="3"/>
  <c r="F134" i="3"/>
  <c r="G134" i="3"/>
  <c r="H134" i="3"/>
  <c r="I134" i="3"/>
  <c r="B134" i="3"/>
  <c r="C121" i="3"/>
  <c r="D121" i="3"/>
  <c r="E121" i="3"/>
  <c r="F121" i="3"/>
  <c r="G121" i="3"/>
  <c r="H121" i="3"/>
  <c r="I121" i="3"/>
  <c r="J121" i="3" s="1"/>
  <c r="B121" i="3"/>
  <c r="B122" i="3" s="1"/>
  <c r="B124" i="3" s="1"/>
  <c r="C117" i="3"/>
  <c r="D117" i="3"/>
  <c r="E117" i="3"/>
  <c r="F117" i="3"/>
  <c r="G117" i="3"/>
  <c r="H117" i="3"/>
  <c r="I117" i="3"/>
  <c r="J117" i="3" s="1"/>
  <c r="B117" i="3"/>
  <c r="B118" i="3" s="1"/>
  <c r="B120" i="3" s="1"/>
  <c r="C113" i="3"/>
  <c r="C111" i="3" s="1"/>
  <c r="D113" i="3"/>
  <c r="D111" i="3" s="1"/>
  <c r="E113" i="3"/>
  <c r="E111" i="3" s="1"/>
  <c r="F113" i="3"/>
  <c r="F111" i="3" s="1"/>
  <c r="G113" i="3"/>
  <c r="H113" i="3"/>
  <c r="I113" i="3"/>
  <c r="B113" i="3"/>
  <c r="A110" i="3"/>
  <c r="B114" i="3"/>
  <c r="C74" i="3"/>
  <c r="D74" i="3"/>
  <c r="D75" i="3" s="1"/>
  <c r="E74" i="3"/>
  <c r="E75" i="3" s="1"/>
  <c r="F74" i="3"/>
  <c r="G74" i="3"/>
  <c r="H74" i="3"/>
  <c r="I74" i="3"/>
  <c r="C104" i="3"/>
  <c r="D104" i="3"/>
  <c r="E104" i="3"/>
  <c r="F104" i="3"/>
  <c r="G104" i="3"/>
  <c r="H104" i="3"/>
  <c r="I104" i="3"/>
  <c r="B104" i="3"/>
  <c r="C93" i="3"/>
  <c r="D93" i="3"/>
  <c r="E93" i="3"/>
  <c r="F93" i="3"/>
  <c r="G93" i="3"/>
  <c r="H93" i="3"/>
  <c r="I93" i="3"/>
  <c r="B93" i="3"/>
  <c r="C89" i="3"/>
  <c r="D89" i="3"/>
  <c r="E89" i="3"/>
  <c r="F89" i="3"/>
  <c r="G89" i="3"/>
  <c r="H89" i="3"/>
  <c r="I89" i="3"/>
  <c r="B89" i="3"/>
  <c r="C85" i="3"/>
  <c r="D85" i="3"/>
  <c r="E85" i="3"/>
  <c r="F85" i="3"/>
  <c r="G85" i="3"/>
  <c r="H85" i="3"/>
  <c r="I85" i="3"/>
  <c r="B85" i="3"/>
  <c r="C83" i="3"/>
  <c r="D83" i="3"/>
  <c r="E83" i="3"/>
  <c r="F83" i="3"/>
  <c r="G83" i="3"/>
  <c r="H83" i="3"/>
  <c r="I83" i="3"/>
  <c r="C87" i="3"/>
  <c r="D87" i="3"/>
  <c r="E87" i="3"/>
  <c r="F87" i="3"/>
  <c r="G87" i="3"/>
  <c r="H87" i="3"/>
  <c r="I87" i="3"/>
  <c r="C91" i="3"/>
  <c r="D91" i="3"/>
  <c r="E91" i="3"/>
  <c r="F91" i="3"/>
  <c r="G91" i="3"/>
  <c r="H91" i="3"/>
  <c r="I91" i="3"/>
  <c r="B91" i="3"/>
  <c r="B92" i="3" s="1"/>
  <c r="B94" i="3" s="1"/>
  <c r="B87" i="3"/>
  <c r="B88" i="3" s="1"/>
  <c r="B90" i="3" s="1"/>
  <c r="B83" i="3"/>
  <c r="B81" i="3" s="1"/>
  <c r="B82" i="3" s="1"/>
  <c r="A80" i="3"/>
  <c r="G75" i="3"/>
  <c r="H75" i="3"/>
  <c r="I75" i="3"/>
  <c r="E66" i="3"/>
  <c r="F66" i="3"/>
  <c r="G66" i="3"/>
  <c r="H66" i="3"/>
  <c r="I66" i="3"/>
  <c r="D68" i="3"/>
  <c r="E68" i="3"/>
  <c r="F68" i="3"/>
  <c r="G68" i="3"/>
  <c r="H68" i="3"/>
  <c r="I68" i="3"/>
  <c r="E63" i="3"/>
  <c r="F63" i="3"/>
  <c r="G63" i="3"/>
  <c r="H63" i="3"/>
  <c r="I63" i="3"/>
  <c r="J63" i="3" s="1"/>
  <c r="K63" i="3" s="1"/>
  <c r="D63" i="3"/>
  <c r="E59" i="3"/>
  <c r="F59" i="3"/>
  <c r="G59" i="3"/>
  <c r="H59" i="3"/>
  <c r="I59" i="3"/>
  <c r="D59" i="3"/>
  <c r="D57" i="3"/>
  <c r="D55" i="3"/>
  <c r="E55" i="3"/>
  <c r="F55" i="3"/>
  <c r="G55" i="3"/>
  <c r="H55" i="3"/>
  <c r="I55" i="3"/>
  <c r="C61" i="3"/>
  <c r="D61" i="3"/>
  <c r="D62" i="3" s="1"/>
  <c r="D64" i="3" s="1"/>
  <c r="E61" i="3"/>
  <c r="E62" i="3" s="1"/>
  <c r="F61" i="3"/>
  <c r="F62" i="3" s="1"/>
  <c r="G61" i="3"/>
  <c r="G62" i="3" s="1"/>
  <c r="G64" i="3" s="1"/>
  <c r="H61" i="3"/>
  <c r="H62" i="3" s="1"/>
  <c r="H64" i="3" s="1"/>
  <c r="I61" i="3"/>
  <c r="C57" i="3"/>
  <c r="E57" i="3"/>
  <c r="F57" i="3"/>
  <c r="F58" i="3" s="1"/>
  <c r="G57" i="3"/>
  <c r="G58" i="3" s="1"/>
  <c r="H57" i="3"/>
  <c r="H58" i="3" s="1"/>
  <c r="I57" i="3"/>
  <c r="B61" i="3"/>
  <c r="B62" i="3" s="1"/>
  <c r="B57" i="3"/>
  <c r="B58" i="3" s="1"/>
  <c r="C53" i="3"/>
  <c r="D53" i="3"/>
  <c r="E53" i="3"/>
  <c r="F53" i="3"/>
  <c r="G53" i="3"/>
  <c r="H53" i="3"/>
  <c r="I53" i="3"/>
  <c r="B53" i="3"/>
  <c r="J55" i="3" l="1"/>
  <c r="K55" i="3" s="1"/>
  <c r="J59" i="3"/>
  <c r="K59" i="3" s="1"/>
  <c r="B116" i="3"/>
  <c r="E64" i="3"/>
  <c r="F75" i="3"/>
  <c r="B84" i="3"/>
  <c r="B86" i="3" s="1"/>
  <c r="E58" i="3"/>
  <c r="E60" i="3" s="1"/>
  <c r="H111" i="3"/>
  <c r="H159" i="3"/>
  <c r="H160" i="3" s="1"/>
  <c r="F64" i="3"/>
  <c r="H60" i="3"/>
  <c r="G60" i="3"/>
  <c r="B111" i="3"/>
  <c r="B112" i="3" s="1"/>
  <c r="F60" i="3"/>
  <c r="G111" i="3"/>
  <c r="J85" i="3"/>
  <c r="J89" i="3"/>
  <c r="J93" i="3"/>
  <c r="J115" i="3"/>
  <c r="J114" i="3" s="1"/>
  <c r="J113" i="3" s="1"/>
  <c r="K115" i="3"/>
  <c r="J163" i="3"/>
  <c r="J167" i="3"/>
  <c r="J171" i="3"/>
  <c r="I159" i="3"/>
  <c r="I160" i="3" s="1"/>
  <c r="B97" i="3"/>
  <c r="B100" i="3"/>
  <c r="B109" i="3"/>
  <c r="B103" i="3"/>
  <c r="B106" i="3"/>
  <c r="J111" i="3"/>
  <c r="H139" i="3"/>
  <c r="H127" i="3"/>
  <c r="G139" i="3"/>
  <c r="G127" i="3"/>
  <c r="F139" i="3"/>
  <c r="F127" i="3"/>
  <c r="E139" i="3"/>
  <c r="E127" i="3"/>
  <c r="D139" i="3"/>
  <c r="D127" i="3"/>
  <c r="C139" i="3"/>
  <c r="C127" i="3"/>
  <c r="H136" i="3"/>
  <c r="G136" i="3"/>
  <c r="F136" i="3"/>
  <c r="E136" i="3"/>
  <c r="D136" i="3"/>
  <c r="C136" i="3"/>
  <c r="B131" i="3"/>
  <c r="H131" i="3"/>
  <c r="G131" i="3"/>
  <c r="G133" i="3" s="1"/>
  <c r="G130" i="3"/>
  <c r="F131" i="3"/>
  <c r="F133" i="3" s="1"/>
  <c r="F130" i="3"/>
  <c r="E131" i="3"/>
  <c r="E133" i="3" s="1"/>
  <c r="E130" i="3"/>
  <c r="D131" i="3"/>
  <c r="D133" i="3" s="1"/>
  <c r="D130" i="3"/>
  <c r="C131" i="3"/>
  <c r="C133" i="3" s="1"/>
  <c r="C130" i="3"/>
  <c r="B157" i="3"/>
  <c r="B145" i="3"/>
  <c r="B148" i="3"/>
  <c r="B154" i="3"/>
  <c r="B151" i="3"/>
  <c r="I157" i="3"/>
  <c r="J157" i="3" s="1"/>
  <c r="K157" i="3" s="1"/>
  <c r="L157" i="3" s="1"/>
  <c r="M157" i="3" s="1"/>
  <c r="N157" i="3" s="1"/>
  <c r="I145" i="3"/>
  <c r="J145" i="3" s="1"/>
  <c r="K145" i="3" s="1"/>
  <c r="L145" i="3" s="1"/>
  <c r="M145" i="3" s="1"/>
  <c r="N145" i="3" s="1"/>
  <c r="I148" i="3"/>
  <c r="J148" i="3" s="1"/>
  <c r="K148" i="3" s="1"/>
  <c r="L148" i="3" s="1"/>
  <c r="M148" i="3" s="1"/>
  <c r="N148" i="3" s="1"/>
  <c r="I154" i="3"/>
  <c r="J154" i="3" s="1"/>
  <c r="K154" i="3" s="1"/>
  <c r="L154" i="3" s="1"/>
  <c r="M154" i="3" s="1"/>
  <c r="N154" i="3" s="1"/>
  <c r="I151" i="3"/>
  <c r="J151" i="3" s="1"/>
  <c r="K151" i="3" s="1"/>
  <c r="L151" i="3" s="1"/>
  <c r="M151" i="3" s="1"/>
  <c r="N151" i="3" s="1"/>
  <c r="H157" i="3"/>
  <c r="H145" i="3"/>
  <c r="H148" i="3"/>
  <c r="H154" i="3"/>
  <c r="H151" i="3"/>
  <c r="G157" i="3"/>
  <c r="G145" i="3"/>
  <c r="G148" i="3"/>
  <c r="G154" i="3"/>
  <c r="G151" i="3"/>
  <c r="F157" i="3"/>
  <c r="F145" i="3"/>
  <c r="F148" i="3"/>
  <c r="F154" i="3"/>
  <c r="F151" i="3"/>
  <c r="E157" i="3"/>
  <c r="E145" i="3"/>
  <c r="E148" i="3"/>
  <c r="E154" i="3"/>
  <c r="E151" i="3"/>
  <c r="D157" i="3"/>
  <c r="D145" i="3"/>
  <c r="D148" i="3"/>
  <c r="D154" i="3"/>
  <c r="D151" i="3"/>
  <c r="C157" i="3"/>
  <c r="C145" i="3"/>
  <c r="C148" i="3"/>
  <c r="C154" i="3"/>
  <c r="C151" i="3"/>
  <c r="B187" i="3"/>
  <c r="B175" i="3"/>
  <c r="G187" i="3"/>
  <c r="G175" i="3"/>
  <c r="F187" i="3"/>
  <c r="F175" i="3"/>
  <c r="E187" i="3"/>
  <c r="E175" i="3"/>
  <c r="D187" i="3"/>
  <c r="D175" i="3"/>
  <c r="C187" i="3"/>
  <c r="C175" i="3"/>
  <c r="H187" i="3"/>
  <c r="H175" i="3"/>
  <c r="B184" i="3"/>
  <c r="H184" i="3"/>
  <c r="G184" i="3"/>
  <c r="F184" i="3"/>
  <c r="E184" i="3"/>
  <c r="D184" i="3"/>
  <c r="C184" i="3"/>
  <c r="B179" i="3"/>
  <c r="B181" i="3" s="1"/>
  <c r="B178" i="3"/>
  <c r="I179" i="3"/>
  <c r="H179" i="3"/>
  <c r="H181" i="3" s="1"/>
  <c r="H178" i="3"/>
  <c r="G179" i="3"/>
  <c r="G181" i="3" s="1"/>
  <c r="G178" i="3"/>
  <c r="F179" i="3"/>
  <c r="F181" i="3" s="1"/>
  <c r="F178" i="3"/>
  <c r="E179" i="3"/>
  <c r="E181" i="3" s="1"/>
  <c r="E178" i="3"/>
  <c r="D179" i="3"/>
  <c r="D181" i="3" s="1"/>
  <c r="D178" i="3"/>
  <c r="C179" i="3"/>
  <c r="C181" i="3" s="1"/>
  <c r="C178" i="3"/>
  <c r="B51" i="3"/>
  <c r="B54" i="3"/>
  <c r="I51" i="3"/>
  <c r="I54" i="3"/>
  <c r="I56" i="3" s="1"/>
  <c r="H51" i="3"/>
  <c r="H54" i="3"/>
  <c r="H56" i="3" s="1"/>
  <c r="G51" i="3"/>
  <c r="G54" i="3"/>
  <c r="G56" i="3" s="1"/>
  <c r="F51" i="3"/>
  <c r="F54" i="3"/>
  <c r="F56" i="3" s="1"/>
  <c r="E51" i="3"/>
  <c r="E54" i="3"/>
  <c r="E56" i="3" s="1"/>
  <c r="D51" i="3"/>
  <c r="D54" i="3"/>
  <c r="D56" i="3" s="1"/>
  <c r="C51" i="3"/>
  <c r="C54" i="3"/>
  <c r="I58" i="3"/>
  <c r="I60" i="3" s="1"/>
  <c r="C58" i="3"/>
  <c r="I62" i="3"/>
  <c r="I64" i="3" s="1"/>
  <c r="C62" i="3"/>
  <c r="D58" i="3"/>
  <c r="D60" i="3" s="1"/>
  <c r="I71" i="3"/>
  <c r="I69" i="3"/>
  <c r="H71" i="3"/>
  <c r="H69" i="3"/>
  <c r="G71" i="3"/>
  <c r="G73" i="3" s="1"/>
  <c r="G69" i="3"/>
  <c r="F71" i="3"/>
  <c r="F73" i="3" s="1"/>
  <c r="F69" i="3"/>
  <c r="E71" i="3"/>
  <c r="E69" i="3"/>
  <c r="D71" i="3"/>
  <c r="I81" i="3"/>
  <c r="H81" i="3"/>
  <c r="G81" i="3"/>
  <c r="F81" i="3"/>
  <c r="E81" i="3"/>
  <c r="D81" i="3"/>
  <c r="C81" i="3"/>
  <c r="C82" i="3" s="1"/>
  <c r="I111" i="3"/>
  <c r="I112" i="3" s="1"/>
  <c r="I131" i="3"/>
  <c r="I133" i="3" s="1"/>
  <c r="C160" i="3"/>
  <c r="D160" i="3"/>
  <c r="E160" i="3"/>
  <c r="F160" i="3"/>
  <c r="G160" i="3"/>
  <c r="C162" i="3"/>
  <c r="D162" i="3"/>
  <c r="D164" i="3" s="1"/>
  <c r="E162" i="3"/>
  <c r="E164" i="3" s="1"/>
  <c r="F162" i="3"/>
  <c r="F164" i="3" s="1"/>
  <c r="G162" i="3"/>
  <c r="G164" i="3" s="1"/>
  <c r="H162" i="3"/>
  <c r="H164" i="3" s="1"/>
  <c r="I162" i="3"/>
  <c r="I164" i="3" s="1"/>
  <c r="C166" i="3"/>
  <c r="D166" i="3"/>
  <c r="D168" i="3" s="1"/>
  <c r="E166" i="3"/>
  <c r="E168" i="3" s="1"/>
  <c r="F166" i="3"/>
  <c r="F168" i="3" s="1"/>
  <c r="G166" i="3"/>
  <c r="G168" i="3" s="1"/>
  <c r="H166" i="3"/>
  <c r="H168" i="3" s="1"/>
  <c r="I166" i="3"/>
  <c r="I168" i="3" s="1"/>
  <c r="C170" i="3"/>
  <c r="D170" i="3"/>
  <c r="D172" i="3" s="1"/>
  <c r="E170" i="3"/>
  <c r="E172" i="3" s="1"/>
  <c r="F170" i="3"/>
  <c r="F172" i="3" s="1"/>
  <c r="G170" i="3"/>
  <c r="G172" i="3" s="1"/>
  <c r="H170" i="3"/>
  <c r="H172" i="3" s="1"/>
  <c r="I170" i="3"/>
  <c r="I172" i="3" s="1"/>
  <c r="B174" i="3"/>
  <c r="C174" i="3"/>
  <c r="D174" i="3"/>
  <c r="E174" i="3"/>
  <c r="F174" i="3"/>
  <c r="G174" i="3"/>
  <c r="H174" i="3"/>
  <c r="I174" i="3"/>
  <c r="B177" i="3"/>
  <c r="C177" i="3"/>
  <c r="D177" i="3"/>
  <c r="E177" i="3"/>
  <c r="F177" i="3"/>
  <c r="G177" i="3"/>
  <c r="H177" i="3"/>
  <c r="I177" i="3"/>
  <c r="B180" i="3"/>
  <c r="C180" i="3"/>
  <c r="D180" i="3"/>
  <c r="E180" i="3"/>
  <c r="B183" i="3"/>
  <c r="C183" i="3"/>
  <c r="D183" i="3"/>
  <c r="E183" i="3"/>
  <c r="F183" i="3"/>
  <c r="G183" i="3"/>
  <c r="H183" i="3"/>
  <c r="I183" i="3"/>
  <c r="C142" i="3"/>
  <c r="D142" i="3"/>
  <c r="E142" i="3"/>
  <c r="F142" i="3"/>
  <c r="G142" i="3"/>
  <c r="H142" i="3"/>
  <c r="I142" i="3"/>
  <c r="D112" i="3"/>
  <c r="E112" i="3"/>
  <c r="F112" i="3"/>
  <c r="G112" i="3"/>
  <c r="C114" i="3"/>
  <c r="D114" i="3"/>
  <c r="D116" i="3" s="1"/>
  <c r="E114" i="3"/>
  <c r="E116" i="3" s="1"/>
  <c r="F114" i="3"/>
  <c r="F116" i="3" s="1"/>
  <c r="G114" i="3"/>
  <c r="G116" i="3" s="1"/>
  <c r="H114" i="3"/>
  <c r="H116" i="3" s="1"/>
  <c r="I114" i="3"/>
  <c r="I116" i="3" s="1"/>
  <c r="C118" i="3"/>
  <c r="D118" i="3"/>
  <c r="D120" i="3" s="1"/>
  <c r="E118" i="3"/>
  <c r="E120" i="3" s="1"/>
  <c r="F118" i="3"/>
  <c r="F120" i="3" s="1"/>
  <c r="G118" i="3"/>
  <c r="G120" i="3" s="1"/>
  <c r="H118" i="3"/>
  <c r="H120" i="3" s="1"/>
  <c r="I118" i="3"/>
  <c r="I120" i="3" s="1"/>
  <c r="C122" i="3"/>
  <c r="D122" i="3"/>
  <c r="D124" i="3" s="1"/>
  <c r="E122" i="3"/>
  <c r="E124" i="3" s="1"/>
  <c r="F122" i="3"/>
  <c r="F124" i="3" s="1"/>
  <c r="G122" i="3"/>
  <c r="G124" i="3" s="1"/>
  <c r="H122" i="3"/>
  <c r="H124" i="3" s="1"/>
  <c r="I122" i="3"/>
  <c r="I124" i="3" s="1"/>
  <c r="B126" i="3"/>
  <c r="C126" i="3"/>
  <c r="D126" i="3"/>
  <c r="E126" i="3"/>
  <c r="F126" i="3"/>
  <c r="G126" i="3"/>
  <c r="H126" i="3"/>
  <c r="I126" i="3"/>
  <c r="B129" i="3"/>
  <c r="C129" i="3"/>
  <c r="D129" i="3"/>
  <c r="E129" i="3"/>
  <c r="F129" i="3"/>
  <c r="G129" i="3"/>
  <c r="H129" i="3"/>
  <c r="I129" i="3"/>
  <c r="B132" i="3"/>
  <c r="C132" i="3"/>
  <c r="G132" i="3"/>
  <c r="H132" i="3"/>
  <c r="B135" i="3"/>
  <c r="C135" i="3"/>
  <c r="D135" i="3"/>
  <c r="E135" i="3"/>
  <c r="F135" i="3"/>
  <c r="G135" i="3"/>
  <c r="H135" i="3"/>
  <c r="I135" i="3"/>
  <c r="E82" i="3"/>
  <c r="F82" i="3"/>
  <c r="G82" i="3"/>
  <c r="C84" i="3"/>
  <c r="D84" i="3"/>
  <c r="D86" i="3" s="1"/>
  <c r="E84" i="3"/>
  <c r="E86" i="3" s="1"/>
  <c r="F84" i="3"/>
  <c r="F86" i="3" s="1"/>
  <c r="G84" i="3"/>
  <c r="G86" i="3" s="1"/>
  <c r="H84" i="3"/>
  <c r="H86" i="3" s="1"/>
  <c r="I84" i="3"/>
  <c r="I86" i="3" s="1"/>
  <c r="C88" i="3"/>
  <c r="D88" i="3"/>
  <c r="D90" i="3" s="1"/>
  <c r="E88" i="3"/>
  <c r="E90" i="3" s="1"/>
  <c r="F88" i="3"/>
  <c r="F90" i="3" s="1"/>
  <c r="G88" i="3"/>
  <c r="G90" i="3" s="1"/>
  <c r="H88" i="3"/>
  <c r="H90" i="3" s="1"/>
  <c r="I88" i="3"/>
  <c r="I90" i="3" s="1"/>
  <c r="C92" i="3"/>
  <c r="D92" i="3"/>
  <c r="D94" i="3" s="1"/>
  <c r="E92" i="3"/>
  <c r="E94" i="3" s="1"/>
  <c r="F92" i="3"/>
  <c r="F94" i="3" s="1"/>
  <c r="G92" i="3"/>
  <c r="G94" i="3" s="1"/>
  <c r="H92" i="3"/>
  <c r="H94" i="3" s="1"/>
  <c r="I92" i="3"/>
  <c r="I94" i="3" s="1"/>
  <c r="B96" i="3"/>
  <c r="C96" i="3"/>
  <c r="D96" i="3"/>
  <c r="E96" i="3"/>
  <c r="F96" i="3"/>
  <c r="G96" i="3"/>
  <c r="H96" i="3"/>
  <c r="I96" i="3"/>
  <c r="B99" i="3"/>
  <c r="C99" i="3"/>
  <c r="D99" i="3"/>
  <c r="E99" i="3"/>
  <c r="F99" i="3"/>
  <c r="G99" i="3"/>
  <c r="H99" i="3"/>
  <c r="I99" i="3"/>
  <c r="B102" i="3"/>
  <c r="C102" i="3"/>
  <c r="D102" i="3"/>
  <c r="E102" i="3"/>
  <c r="F102" i="3"/>
  <c r="G102" i="3"/>
  <c r="H102" i="3"/>
  <c r="I102" i="3"/>
  <c r="B105" i="3"/>
  <c r="C105" i="3"/>
  <c r="D105" i="3"/>
  <c r="E105" i="3"/>
  <c r="F105" i="3"/>
  <c r="G105" i="3"/>
  <c r="H105" i="3"/>
  <c r="I105" i="3"/>
  <c r="C170" i="1"/>
  <c r="B170" i="1"/>
  <c r="B159" i="1"/>
  <c r="B74" i="3" s="1"/>
  <c r="C148" i="1"/>
  <c r="C77" i="3" s="1"/>
  <c r="B148" i="1"/>
  <c r="B77" i="3" s="1"/>
  <c r="H82" i="3" l="1"/>
  <c r="I82" i="3"/>
  <c r="I180" i="3"/>
  <c r="H112" i="3"/>
  <c r="I132" i="3"/>
  <c r="D82" i="3"/>
  <c r="C112" i="3"/>
  <c r="E132" i="3"/>
  <c r="D132" i="3"/>
  <c r="I73" i="3"/>
  <c r="H130" i="3"/>
  <c r="B127" i="3"/>
  <c r="H133" i="3"/>
  <c r="B139" i="3"/>
  <c r="H180" i="3"/>
  <c r="D73" i="3"/>
  <c r="B130" i="3"/>
  <c r="G180" i="3"/>
  <c r="B133" i="3"/>
  <c r="F132" i="3"/>
  <c r="H73" i="3"/>
  <c r="B136" i="3"/>
  <c r="F180" i="3"/>
  <c r="E73" i="3"/>
  <c r="J142" i="3"/>
  <c r="J133" i="3"/>
  <c r="K133" i="3"/>
  <c r="L133" i="3"/>
  <c r="M133" i="3"/>
  <c r="N133" i="3"/>
  <c r="J170" i="3"/>
  <c r="J169" i="3" s="1"/>
  <c r="K171" i="3"/>
  <c r="K170" i="3" s="1"/>
  <c r="K169" i="3" s="1"/>
  <c r="J166" i="3"/>
  <c r="J165" i="3" s="1"/>
  <c r="K167" i="3"/>
  <c r="K166" i="3" s="1"/>
  <c r="K165" i="3" s="1"/>
  <c r="J162" i="3"/>
  <c r="J161" i="3" s="1"/>
  <c r="K163" i="3"/>
  <c r="J92" i="3"/>
  <c r="J91" i="3" s="1"/>
  <c r="K93" i="3"/>
  <c r="K92" i="3" s="1"/>
  <c r="K91" i="3" s="1"/>
  <c r="J88" i="3"/>
  <c r="J87" i="3" s="1"/>
  <c r="K89" i="3"/>
  <c r="K88" i="3" s="1"/>
  <c r="K87" i="3" s="1"/>
  <c r="J84" i="3"/>
  <c r="J83" i="3" s="1"/>
  <c r="J81" i="3" s="1"/>
  <c r="K85" i="3"/>
  <c r="K84" i="3" s="1"/>
  <c r="K83" i="3" s="1"/>
  <c r="K162" i="3"/>
  <c r="K161" i="3" s="1"/>
  <c r="K122" i="3"/>
  <c r="K121" i="3" s="1"/>
  <c r="K118" i="3"/>
  <c r="K117" i="3" s="1"/>
  <c r="K114" i="3"/>
  <c r="K113" i="3" s="1"/>
  <c r="J62" i="3"/>
  <c r="J61" i="3" s="1"/>
  <c r="L62" i="3"/>
  <c r="J58" i="3"/>
  <c r="J57" i="3" s="1"/>
  <c r="L58" i="3"/>
  <c r="J54" i="3"/>
  <c r="J53" i="3" s="1"/>
  <c r="L54" i="3"/>
  <c r="B78" i="3"/>
  <c r="D78" i="3"/>
  <c r="C78" i="3"/>
  <c r="C75" i="3"/>
  <c r="B75" i="3"/>
  <c r="B65" i="3"/>
  <c r="B68" i="3"/>
  <c r="B69" i="3" s="1"/>
  <c r="C65" i="3"/>
  <c r="C67" i="3" s="1"/>
  <c r="C68" i="3"/>
  <c r="C70" i="3" s="1"/>
  <c r="I187" i="3"/>
  <c r="J187" i="3" s="1"/>
  <c r="K187" i="3" s="1"/>
  <c r="L187" i="3" s="1"/>
  <c r="M187" i="3" s="1"/>
  <c r="N187" i="3" s="1"/>
  <c r="I175" i="3"/>
  <c r="I184" i="3"/>
  <c r="J184" i="3" s="1"/>
  <c r="K184" i="3" s="1"/>
  <c r="L184" i="3" s="1"/>
  <c r="M184" i="3" s="1"/>
  <c r="N184" i="3" s="1"/>
  <c r="I178" i="3"/>
  <c r="J178" i="3" s="1"/>
  <c r="I139" i="3"/>
  <c r="J139" i="3" s="1"/>
  <c r="K139" i="3" s="1"/>
  <c r="L139" i="3" s="1"/>
  <c r="M139" i="3" s="1"/>
  <c r="N139" i="3" s="1"/>
  <c r="I127" i="3"/>
  <c r="J127" i="3" s="1"/>
  <c r="K127" i="3" s="1"/>
  <c r="L127" i="3" s="1"/>
  <c r="M127" i="3" s="1"/>
  <c r="N127" i="3" s="1"/>
  <c r="I136" i="3"/>
  <c r="J136" i="3" s="1"/>
  <c r="K136" i="3" s="1"/>
  <c r="L136" i="3" s="1"/>
  <c r="M136" i="3" s="1"/>
  <c r="N136" i="3" s="1"/>
  <c r="I130" i="3"/>
  <c r="J130" i="3" s="1"/>
  <c r="K130" i="3" s="1"/>
  <c r="L130" i="3" s="1"/>
  <c r="M130" i="3" s="1"/>
  <c r="N130" i="3" s="1"/>
  <c r="C97" i="3"/>
  <c r="C100" i="3"/>
  <c r="C109" i="3"/>
  <c r="C103" i="3"/>
  <c r="C106" i="3"/>
  <c r="D97" i="3"/>
  <c r="D100" i="3"/>
  <c r="D109" i="3"/>
  <c r="D103" i="3"/>
  <c r="D106" i="3"/>
  <c r="E97" i="3"/>
  <c r="E100" i="3"/>
  <c r="E109" i="3"/>
  <c r="E103" i="3"/>
  <c r="E106" i="3"/>
  <c r="F97" i="3"/>
  <c r="F100" i="3"/>
  <c r="F109" i="3"/>
  <c r="F103" i="3"/>
  <c r="F106" i="3"/>
  <c r="G97" i="3"/>
  <c r="G100" i="3"/>
  <c r="G109" i="3"/>
  <c r="G103" i="3"/>
  <c r="G106" i="3"/>
  <c r="H97" i="3"/>
  <c r="H100" i="3"/>
  <c r="H109" i="3"/>
  <c r="H103" i="3"/>
  <c r="H106" i="3"/>
  <c r="I97" i="3"/>
  <c r="J97" i="3" s="1"/>
  <c r="K97" i="3" s="1"/>
  <c r="L97" i="3" s="1"/>
  <c r="M97" i="3" s="1"/>
  <c r="N97" i="3" s="1"/>
  <c r="I100" i="3"/>
  <c r="J100" i="3" s="1"/>
  <c r="K100" i="3" s="1"/>
  <c r="L100" i="3" s="1"/>
  <c r="M100" i="3" s="1"/>
  <c r="N100" i="3" s="1"/>
  <c r="I109" i="3"/>
  <c r="J109" i="3" s="1"/>
  <c r="K109" i="3" s="1"/>
  <c r="L109" i="3" s="1"/>
  <c r="M109" i="3" s="1"/>
  <c r="N109" i="3" s="1"/>
  <c r="I103" i="3"/>
  <c r="J103" i="3" s="1"/>
  <c r="K103" i="3" s="1"/>
  <c r="L103" i="3" s="1"/>
  <c r="M103" i="3" s="1"/>
  <c r="N103" i="3" s="1"/>
  <c r="I106" i="3"/>
  <c r="J106" i="3" s="1"/>
  <c r="K106" i="3" s="1"/>
  <c r="L106" i="3" s="1"/>
  <c r="M106" i="3" s="1"/>
  <c r="N106" i="3" s="1"/>
  <c r="I181" i="3"/>
  <c r="J181" i="3" s="1"/>
  <c r="J137" i="3"/>
  <c r="J138" i="3" s="1"/>
  <c r="J125" i="3"/>
  <c r="J112" i="3"/>
  <c r="K111" i="3"/>
  <c r="C79" i="3"/>
  <c r="C76" i="3"/>
  <c r="D67" i="3"/>
  <c r="D79" i="3"/>
  <c r="D70" i="3"/>
  <c r="D76" i="3"/>
  <c r="E67" i="3"/>
  <c r="E79" i="3"/>
  <c r="E70" i="3"/>
  <c r="E76" i="3"/>
  <c r="F67" i="3"/>
  <c r="F79" i="3"/>
  <c r="F70" i="3"/>
  <c r="F76" i="3"/>
  <c r="G67" i="3"/>
  <c r="G79" i="3"/>
  <c r="G70" i="3"/>
  <c r="G76" i="3"/>
  <c r="H67" i="3"/>
  <c r="H79" i="3"/>
  <c r="H70" i="3"/>
  <c r="H76" i="3"/>
  <c r="I67" i="3"/>
  <c r="I79" i="3"/>
  <c r="J79" i="3" s="1"/>
  <c r="K79" i="3" s="1"/>
  <c r="L79" i="3" s="1"/>
  <c r="M79" i="3" s="1"/>
  <c r="N79" i="3" s="1"/>
  <c r="I70" i="3"/>
  <c r="J70" i="3" s="1"/>
  <c r="K70" i="3" s="1"/>
  <c r="L70" i="3" s="1"/>
  <c r="M70" i="3" s="1"/>
  <c r="N70" i="3" s="1"/>
  <c r="I76" i="3"/>
  <c r="J76" i="3" s="1"/>
  <c r="K76" i="3" s="1"/>
  <c r="L76" i="3" s="1"/>
  <c r="M76" i="3" s="1"/>
  <c r="N76" i="3" s="1"/>
  <c r="B67" i="3"/>
  <c r="B79" i="3"/>
  <c r="B70" i="3"/>
  <c r="B76" i="3"/>
  <c r="C94" i="3"/>
  <c r="C90" i="3"/>
  <c r="C86" i="3"/>
  <c r="C124" i="3"/>
  <c r="C120" i="3"/>
  <c r="C116" i="3"/>
  <c r="C172" i="3"/>
  <c r="C168" i="3"/>
  <c r="C164" i="3"/>
  <c r="E72" i="3"/>
  <c r="F72" i="3"/>
  <c r="G72" i="3"/>
  <c r="H72" i="3"/>
  <c r="I72" i="3"/>
  <c r="C52" i="3"/>
  <c r="D52" i="3"/>
  <c r="E52" i="3"/>
  <c r="F52" i="3"/>
  <c r="G52" i="3"/>
  <c r="H52" i="3"/>
  <c r="I52" i="3"/>
  <c r="B52" i="3"/>
  <c r="J107" i="3" l="1"/>
  <c r="J108" i="3" s="1"/>
  <c r="K181" i="3"/>
  <c r="K81" i="3"/>
  <c r="K107" i="3" s="1"/>
  <c r="K108" i="3" s="1"/>
  <c r="K178" i="3"/>
  <c r="K159" i="3"/>
  <c r="J95" i="3"/>
  <c r="J96" i="3" s="1"/>
  <c r="J98" i="3"/>
  <c r="J99" i="3" s="1"/>
  <c r="J175" i="3"/>
  <c r="J104" i="3"/>
  <c r="J105" i="3" s="1"/>
  <c r="J128" i="3"/>
  <c r="J129" i="3" s="1"/>
  <c r="L181" i="3"/>
  <c r="J82" i="3"/>
  <c r="J134" i="3"/>
  <c r="J135" i="3" s="1"/>
  <c r="L178" i="3"/>
  <c r="J159" i="3"/>
  <c r="J67" i="3"/>
  <c r="L88" i="3"/>
  <c r="L87" i="3" s="1"/>
  <c r="L92" i="3"/>
  <c r="L91" i="3" s="1"/>
  <c r="L163" i="3"/>
  <c r="L162" i="3" s="1"/>
  <c r="L161" i="3" s="1"/>
  <c r="L167" i="3"/>
  <c r="L171" i="3"/>
  <c r="L170" i="3" s="1"/>
  <c r="L169" i="3" s="1"/>
  <c r="J141" i="3"/>
  <c r="K142" i="3"/>
  <c r="K54" i="3"/>
  <c r="K58" i="3"/>
  <c r="K57" i="3"/>
  <c r="L57" i="3" s="1"/>
  <c r="K62" i="3"/>
  <c r="K61" i="3"/>
  <c r="L61" i="3" s="1"/>
  <c r="L84" i="3"/>
  <c r="L83" i="3" s="1"/>
  <c r="L81" i="3" s="1"/>
  <c r="L107" i="3" s="1"/>
  <c r="L108" i="3" s="1"/>
  <c r="L114" i="3"/>
  <c r="L113" i="3" s="1"/>
  <c r="L118" i="3"/>
  <c r="L117" i="3"/>
  <c r="L122" i="3"/>
  <c r="L121" i="3"/>
  <c r="L166" i="3"/>
  <c r="L165" i="3"/>
  <c r="J126" i="3"/>
  <c r="J131" i="3"/>
  <c r="J132" i="3" s="1"/>
  <c r="D69" i="3"/>
  <c r="C69" i="3"/>
  <c r="C66" i="3"/>
  <c r="D66" i="3"/>
  <c r="C71" i="3"/>
  <c r="B66" i="3"/>
  <c r="B71" i="3"/>
  <c r="K137" i="3"/>
  <c r="K138" i="3" s="1"/>
  <c r="K134" i="3"/>
  <c r="K135" i="3" s="1"/>
  <c r="K128" i="3"/>
  <c r="K129" i="3" s="1"/>
  <c r="K125" i="3"/>
  <c r="K112" i="3"/>
  <c r="L111" i="3"/>
  <c r="K185" i="3"/>
  <c r="K182" i="3"/>
  <c r="K176" i="3"/>
  <c r="K104" i="3"/>
  <c r="K98" i="3"/>
  <c r="K95" i="3"/>
  <c r="K82" i="3"/>
  <c r="A20" i="3"/>
  <c r="A50" i="3"/>
  <c r="H44" i="3"/>
  <c r="G44" i="3"/>
  <c r="F44" i="3"/>
  <c r="E44" i="3"/>
  <c r="D44" i="3"/>
  <c r="C44" i="3"/>
  <c r="B44" i="3"/>
  <c r="I44" i="3"/>
  <c r="I38" i="3"/>
  <c r="H38" i="3"/>
  <c r="G38" i="3"/>
  <c r="F38" i="3"/>
  <c r="E38" i="3"/>
  <c r="D38" i="3"/>
  <c r="C38" i="3"/>
  <c r="B38" i="3"/>
  <c r="B33" i="3"/>
  <c r="C33" i="3"/>
  <c r="D33" i="3"/>
  <c r="E33" i="3"/>
  <c r="F33" i="3"/>
  <c r="G33" i="3"/>
  <c r="H33" i="3"/>
  <c r="I33" i="3"/>
  <c r="I29" i="3"/>
  <c r="J29" i="3" s="1"/>
  <c r="K29" i="3" s="1"/>
  <c r="H29" i="3"/>
  <c r="G29" i="3"/>
  <c r="F29" i="3"/>
  <c r="E29" i="3"/>
  <c r="D29" i="3"/>
  <c r="C29" i="3"/>
  <c r="B29" i="3"/>
  <c r="H25" i="3"/>
  <c r="G25" i="3"/>
  <c r="F25" i="3"/>
  <c r="E25" i="3"/>
  <c r="D25" i="3"/>
  <c r="C25" i="3"/>
  <c r="B25" i="3"/>
  <c r="I25" i="3"/>
  <c r="J25" i="3" s="1"/>
  <c r="K25" i="3" s="1"/>
  <c r="I31" i="3"/>
  <c r="H31" i="3"/>
  <c r="G31" i="3"/>
  <c r="F31" i="3"/>
  <c r="E31" i="3"/>
  <c r="D31" i="3"/>
  <c r="C31" i="3"/>
  <c r="B31" i="3"/>
  <c r="I27" i="3"/>
  <c r="H27" i="3"/>
  <c r="G27" i="3"/>
  <c r="F27" i="3"/>
  <c r="E27" i="3"/>
  <c r="D27" i="3"/>
  <c r="C27" i="3"/>
  <c r="B27" i="3"/>
  <c r="B23" i="3"/>
  <c r="B24" i="3" s="1"/>
  <c r="C23" i="3"/>
  <c r="C24" i="3" s="1"/>
  <c r="D23" i="3"/>
  <c r="D24" i="3" s="1"/>
  <c r="E23" i="3"/>
  <c r="E24" i="3" s="1"/>
  <c r="F23" i="3"/>
  <c r="F24" i="3" s="1"/>
  <c r="G23" i="3"/>
  <c r="H23" i="3"/>
  <c r="H24" i="3" s="1"/>
  <c r="I23" i="3"/>
  <c r="I24" i="3" s="1"/>
  <c r="J1" i="3"/>
  <c r="K1" i="3" s="1"/>
  <c r="L1" i="3" s="1"/>
  <c r="M1" i="3" s="1"/>
  <c r="N1" i="3" s="1"/>
  <c r="H1" i="3"/>
  <c r="G1" i="3" s="1"/>
  <c r="F1" i="3" s="1"/>
  <c r="E1" i="3" s="1"/>
  <c r="D1" i="3" s="1"/>
  <c r="C1" i="3" s="1"/>
  <c r="B1" i="3" s="1"/>
  <c r="M178" i="3" l="1"/>
  <c r="J28" i="3"/>
  <c r="J27" i="3" s="1"/>
  <c r="J185" i="3"/>
  <c r="J186" i="3" s="1"/>
  <c r="J182" i="3"/>
  <c r="J183" i="3" s="1"/>
  <c r="J176" i="3"/>
  <c r="J177" i="3" s="1"/>
  <c r="J173" i="3"/>
  <c r="J160" i="3"/>
  <c r="K177" i="3"/>
  <c r="K175" i="3"/>
  <c r="L175" i="3"/>
  <c r="N178" i="3"/>
  <c r="K99" i="3"/>
  <c r="J101" i="3"/>
  <c r="J102" i="3" s="1"/>
  <c r="K105" i="3"/>
  <c r="K160" i="3"/>
  <c r="G24" i="3"/>
  <c r="G26" i="3" s="1"/>
  <c r="M181" i="3"/>
  <c r="N181" i="3" s="1"/>
  <c r="J33" i="3"/>
  <c r="L142" i="3"/>
  <c r="J155" i="3"/>
  <c r="J156" i="3" s="1"/>
  <c r="J152" i="3"/>
  <c r="J153" i="3" s="1"/>
  <c r="J146" i="3"/>
  <c r="J147" i="3" s="1"/>
  <c r="K141" i="3"/>
  <c r="J143" i="3"/>
  <c r="J149" i="3" s="1"/>
  <c r="J150" i="3" s="1"/>
  <c r="M171" i="3"/>
  <c r="N171" i="3" s="1"/>
  <c r="M167" i="3"/>
  <c r="N167" i="3" s="1"/>
  <c r="N166" i="3" s="1"/>
  <c r="M163" i="3"/>
  <c r="N163" i="3" s="1"/>
  <c r="N162" i="3" s="1"/>
  <c r="N88" i="3"/>
  <c r="N84" i="3"/>
  <c r="K67" i="3"/>
  <c r="J24" i="3"/>
  <c r="K24" i="3"/>
  <c r="L24" i="3"/>
  <c r="M24" i="3"/>
  <c r="N24" i="3"/>
  <c r="K28" i="3"/>
  <c r="L28" i="3"/>
  <c r="M28" i="3"/>
  <c r="N28" i="3"/>
  <c r="M170" i="3"/>
  <c r="M169" i="3" s="1"/>
  <c r="N170" i="3"/>
  <c r="M166" i="3"/>
  <c r="M165" i="3" s="1"/>
  <c r="L159" i="3"/>
  <c r="M122" i="3"/>
  <c r="M121" i="3" s="1"/>
  <c r="N122" i="3"/>
  <c r="M118" i="3"/>
  <c r="M117" i="3" s="1"/>
  <c r="N118" i="3"/>
  <c r="M114" i="3"/>
  <c r="M113" i="3" s="1"/>
  <c r="M111" i="3" s="1"/>
  <c r="N114" i="3"/>
  <c r="M92" i="3"/>
  <c r="M91" i="3" s="1"/>
  <c r="N92" i="3"/>
  <c r="M62" i="3"/>
  <c r="M61" i="3" s="1"/>
  <c r="N62" i="3"/>
  <c r="M58" i="3"/>
  <c r="M57" i="3" s="1"/>
  <c r="N58" i="3"/>
  <c r="M54" i="3"/>
  <c r="N54" i="3"/>
  <c r="K96" i="3"/>
  <c r="K101" i="3"/>
  <c r="K102" i="3" s="1"/>
  <c r="K126" i="3"/>
  <c r="K131" i="3"/>
  <c r="K132" i="3" s="1"/>
  <c r="B73" i="3"/>
  <c r="B72" i="3"/>
  <c r="C73" i="3"/>
  <c r="J73" i="3" s="1"/>
  <c r="C72" i="3"/>
  <c r="D72" i="3"/>
  <c r="L160" i="3"/>
  <c r="L185" i="3"/>
  <c r="L186" i="3" s="1"/>
  <c r="L182" i="3"/>
  <c r="L183" i="3" s="1"/>
  <c r="L176" i="3"/>
  <c r="L177" i="3" s="1"/>
  <c r="L173" i="3"/>
  <c r="L112" i="3"/>
  <c r="L137" i="3"/>
  <c r="L138" i="3" s="1"/>
  <c r="L134" i="3"/>
  <c r="L135" i="3" s="1"/>
  <c r="L128" i="3"/>
  <c r="L129" i="3" s="1"/>
  <c r="L125" i="3"/>
  <c r="L104" i="3"/>
  <c r="L105" i="3" s="1"/>
  <c r="L98" i="3"/>
  <c r="L99" i="3" s="1"/>
  <c r="L95" i="3"/>
  <c r="L82" i="3"/>
  <c r="B28" i="3"/>
  <c r="B30" i="3" s="1"/>
  <c r="C28" i="3"/>
  <c r="D28" i="3"/>
  <c r="E28" i="3"/>
  <c r="F28" i="3"/>
  <c r="G28" i="3"/>
  <c r="H28" i="3"/>
  <c r="I28" i="3"/>
  <c r="B32" i="3"/>
  <c r="B34" i="3" s="1"/>
  <c r="C32" i="3"/>
  <c r="D32" i="3"/>
  <c r="E32" i="3"/>
  <c r="E34" i="3" s="1"/>
  <c r="F32" i="3"/>
  <c r="F34" i="3" s="1"/>
  <c r="G32" i="3"/>
  <c r="G34" i="3" s="1"/>
  <c r="H32" i="3"/>
  <c r="I32" i="3"/>
  <c r="B41" i="3"/>
  <c r="B39" i="3"/>
  <c r="C41" i="3"/>
  <c r="C39" i="3"/>
  <c r="D41" i="3"/>
  <c r="D39" i="3"/>
  <c r="E41" i="3"/>
  <c r="E39" i="3"/>
  <c r="F41" i="3"/>
  <c r="F39" i="3"/>
  <c r="G41" i="3"/>
  <c r="G39" i="3"/>
  <c r="H41" i="3"/>
  <c r="H39" i="3"/>
  <c r="I39" i="3"/>
  <c r="I45" i="3"/>
  <c r="B45" i="3"/>
  <c r="C45" i="3"/>
  <c r="D45" i="3"/>
  <c r="E45" i="3"/>
  <c r="F45" i="3"/>
  <c r="G45" i="3"/>
  <c r="H45" i="3"/>
  <c r="I26" i="3"/>
  <c r="I21" i="3"/>
  <c r="H26" i="3"/>
  <c r="H21" i="3"/>
  <c r="G21" i="3"/>
  <c r="F26" i="3"/>
  <c r="F21" i="3"/>
  <c r="E26" i="3"/>
  <c r="E21" i="3"/>
  <c r="D26" i="3"/>
  <c r="D21" i="3"/>
  <c r="C21" i="3"/>
  <c r="B26" i="3"/>
  <c r="B21" i="3"/>
  <c r="I41" i="3"/>
  <c r="D30" i="3"/>
  <c r="E30" i="3"/>
  <c r="F30" i="3"/>
  <c r="G30" i="3"/>
  <c r="H30" i="3"/>
  <c r="I30" i="3"/>
  <c r="D34" i="3"/>
  <c r="H34" i="3"/>
  <c r="I34" i="3"/>
  <c r="I42" i="3"/>
  <c r="I174" i="1"/>
  <c r="I177" i="1" s="1"/>
  <c r="H174" i="1"/>
  <c r="H177" i="1" s="1"/>
  <c r="G174" i="1"/>
  <c r="G177" i="1" s="1"/>
  <c r="F174" i="1"/>
  <c r="F177" i="1" s="1"/>
  <c r="E174" i="1"/>
  <c r="E177" i="1" s="1"/>
  <c r="D174" i="1"/>
  <c r="D177" i="1" s="1"/>
  <c r="C174" i="1"/>
  <c r="C177" i="1" s="1"/>
  <c r="B174" i="1"/>
  <c r="B177" i="1" s="1"/>
  <c r="I163" i="1"/>
  <c r="H163" i="1"/>
  <c r="H165" i="1" s="1"/>
  <c r="H166" i="1" s="1"/>
  <c r="G163" i="1"/>
  <c r="G165" i="1" s="1"/>
  <c r="F163" i="1"/>
  <c r="F165" i="1" s="1"/>
  <c r="E163" i="1"/>
  <c r="E165" i="1" s="1"/>
  <c r="D163" i="1"/>
  <c r="D165" i="1" s="1"/>
  <c r="C163" i="1"/>
  <c r="C165" i="1" s="1"/>
  <c r="B163" i="1"/>
  <c r="B165" i="1" s="1"/>
  <c r="H127" i="1"/>
  <c r="I127" i="1"/>
  <c r="I152" i="1"/>
  <c r="I155" i="1" s="1"/>
  <c r="H152" i="1"/>
  <c r="H155" i="1" s="1"/>
  <c r="G152" i="1"/>
  <c r="G155" i="1" s="1"/>
  <c r="F152" i="1"/>
  <c r="F155" i="1" s="1"/>
  <c r="E152" i="1"/>
  <c r="E155" i="1" s="1"/>
  <c r="D152" i="1"/>
  <c r="D155" i="1" s="1"/>
  <c r="C152" i="1"/>
  <c r="C155" i="1" s="1"/>
  <c r="B152" i="1"/>
  <c r="B155" i="1" s="1"/>
  <c r="J39" i="3" l="1"/>
  <c r="K39" i="3" s="1"/>
  <c r="L39" i="3" s="1"/>
  <c r="M39" i="3" s="1"/>
  <c r="N39" i="3" s="1"/>
  <c r="J179" i="3"/>
  <c r="J180" i="3" s="1"/>
  <c r="J174" i="3"/>
  <c r="K27" i="3"/>
  <c r="K186" i="3"/>
  <c r="N113" i="3"/>
  <c r="K183" i="3"/>
  <c r="M84" i="3"/>
  <c r="M83" i="3" s="1"/>
  <c r="M162" i="3"/>
  <c r="M161" i="3" s="1"/>
  <c r="M88" i="3"/>
  <c r="M87" i="3" s="1"/>
  <c r="N87" i="3" s="1"/>
  <c r="M175" i="3"/>
  <c r="N175" i="3" s="1"/>
  <c r="K173" i="3"/>
  <c r="K73" i="3"/>
  <c r="L73" i="3"/>
  <c r="M73" i="3"/>
  <c r="N73" i="3"/>
  <c r="L67" i="3"/>
  <c r="K155" i="3"/>
  <c r="K156" i="3" s="1"/>
  <c r="K152" i="3"/>
  <c r="K153" i="3" s="1"/>
  <c r="K146" i="3"/>
  <c r="K147" i="3" s="1"/>
  <c r="L141" i="3"/>
  <c r="M142" i="3"/>
  <c r="N142" i="3" s="1"/>
  <c r="K33" i="3"/>
  <c r="N57" i="3"/>
  <c r="N61" i="3"/>
  <c r="N91" i="3"/>
  <c r="N117" i="3"/>
  <c r="N121" i="3"/>
  <c r="N165" i="3"/>
  <c r="N169" i="3"/>
  <c r="J32" i="3"/>
  <c r="J31" i="3" s="1"/>
  <c r="L27" i="3"/>
  <c r="M27" i="3" s="1"/>
  <c r="N27" i="3" s="1"/>
  <c r="B156" i="1"/>
  <c r="B17" i="3"/>
  <c r="C156" i="1"/>
  <c r="C17" i="3"/>
  <c r="D156" i="1"/>
  <c r="D17" i="3"/>
  <c r="E156" i="1"/>
  <c r="E17" i="3"/>
  <c r="F156" i="1"/>
  <c r="F17" i="3"/>
  <c r="G156" i="1"/>
  <c r="G17" i="3"/>
  <c r="H156" i="1"/>
  <c r="H17" i="3"/>
  <c r="I156" i="1"/>
  <c r="I17" i="3"/>
  <c r="H167" i="1"/>
  <c r="H14" i="3"/>
  <c r="H52" i="4" s="1"/>
  <c r="B178" i="1"/>
  <c r="B8" i="3"/>
  <c r="B47" i="4" s="1"/>
  <c r="C178" i="1"/>
  <c r="C8" i="3"/>
  <c r="C9" i="3" s="1"/>
  <c r="D178" i="1"/>
  <c r="D8" i="3"/>
  <c r="E178" i="1"/>
  <c r="E8" i="3"/>
  <c r="F178" i="1"/>
  <c r="F8" i="3"/>
  <c r="F9" i="3" s="1"/>
  <c r="G178" i="1"/>
  <c r="G8" i="3"/>
  <c r="G9" i="3" s="1"/>
  <c r="H178" i="1"/>
  <c r="H8" i="3"/>
  <c r="H9" i="3" s="1"/>
  <c r="I178" i="1"/>
  <c r="I8" i="3"/>
  <c r="L96" i="3"/>
  <c r="L101" i="3"/>
  <c r="L102" i="3" s="1"/>
  <c r="L126" i="3"/>
  <c r="L131" i="3"/>
  <c r="L132" i="3" s="1"/>
  <c r="L174" i="3"/>
  <c r="L179" i="3"/>
  <c r="B49" i="3"/>
  <c r="C49" i="3"/>
  <c r="D49" i="3"/>
  <c r="E49" i="3"/>
  <c r="F49" i="3"/>
  <c r="G49" i="3"/>
  <c r="H49" i="3"/>
  <c r="I49" i="3"/>
  <c r="J49" i="3" s="1"/>
  <c r="K49" i="3" s="1"/>
  <c r="L49" i="3" s="1"/>
  <c r="M49" i="3" s="1"/>
  <c r="N49" i="3" s="1"/>
  <c r="M112" i="3"/>
  <c r="M137" i="3"/>
  <c r="M138" i="3" s="1"/>
  <c r="M134" i="3"/>
  <c r="M135" i="3" s="1"/>
  <c r="M128" i="3"/>
  <c r="M129" i="3" s="1"/>
  <c r="M125" i="3"/>
  <c r="B22" i="3"/>
  <c r="C22" i="3"/>
  <c r="D22" i="3"/>
  <c r="E22" i="3"/>
  <c r="F22" i="3"/>
  <c r="G22" i="3"/>
  <c r="H22" i="3"/>
  <c r="I22" i="3"/>
  <c r="H42" i="3"/>
  <c r="G42" i="3"/>
  <c r="F42" i="3"/>
  <c r="E9" i="3"/>
  <c r="E42" i="3"/>
  <c r="D9" i="3"/>
  <c r="D42" i="3"/>
  <c r="C42" i="3"/>
  <c r="B42" i="3"/>
  <c r="C34" i="3"/>
  <c r="C30" i="3"/>
  <c r="C26" i="3"/>
  <c r="B166" i="1"/>
  <c r="B14" i="3" s="1"/>
  <c r="I165" i="1"/>
  <c r="I166" i="1"/>
  <c r="C166" i="1"/>
  <c r="D166" i="1"/>
  <c r="G166" i="1"/>
  <c r="E166" i="1"/>
  <c r="F166" i="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B9" i="3" l="1"/>
  <c r="M159" i="3"/>
  <c r="N161" i="3"/>
  <c r="N83" i="3"/>
  <c r="M81" i="3"/>
  <c r="K174" i="3"/>
  <c r="K179" i="3"/>
  <c r="K180" i="3" s="1"/>
  <c r="L33" i="3"/>
  <c r="L155" i="3"/>
  <c r="L156" i="3" s="1"/>
  <c r="L152" i="3"/>
  <c r="L153" i="3" s="1"/>
  <c r="L146" i="3"/>
  <c r="L147" i="3" s="1"/>
  <c r="M141" i="3"/>
  <c r="M67" i="3"/>
  <c r="N67" i="3" s="1"/>
  <c r="B52" i="4"/>
  <c r="B205" i="3"/>
  <c r="K32" i="3"/>
  <c r="K31" i="3"/>
  <c r="N159" i="3"/>
  <c r="N111" i="3"/>
  <c r="N81" i="3"/>
  <c r="B11" i="3"/>
  <c r="B5" i="3"/>
  <c r="C11" i="3"/>
  <c r="C5" i="3"/>
  <c r="D11" i="3"/>
  <c r="D5" i="3"/>
  <c r="E11" i="3"/>
  <c r="E5" i="3"/>
  <c r="F11" i="3"/>
  <c r="F5" i="3"/>
  <c r="G11" i="3"/>
  <c r="G12" i="3" s="1"/>
  <c r="G8" i="4" s="1"/>
  <c r="G5" i="3"/>
  <c r="H11" i="3"/>
  <c r="H12" i="3" s="1"/>
  <c r="H8" i="4" s="1"/>
  <c r="H5" i="3"/>
  <c r="I11" i="3"/>
  <c r="I12" i="3" s="1"/>
  <c r="I8" i="4" s="1"/>
  <c r="I5" i="3"/>
  <c r="I196" i="3" s="1"/>
  <c r="F167" i="1"/>
  <c r="F14" i="3"/>
  <c r="F52" i="4" s="1"/>
  <c r="E167" i="1"/>
  <c r="E14" i="3"/>
  <c r="E52" i="4" s="1"/>
  <c r="G167" i="1"/>
  <c r="G14" i="3"/>
  <c r="G52" i="4" s="1"/>
  <c r="D167" i="1"/>
  <c r="D14" i="3"/>
  <c r="D52" i="4" s="1"/>
  <c r="C167" i="1"/>
  <c r="C14" i="3"/>
  <c r="C52" i="4" s="1"/>
  <c r="I167" i="1"/>
  <c r="I14" i="3"/>
  <c r="I52" i="4" s="1"/>
  <c r="M126" i="3"/>
  <c r="M131" i="3"/>
  <c r="M132" i="3" s="1"/>
  <c r="I47" i="4"/>
  <c r="I6" i="4"/>
  <c r="I199" i="3"/>
  <c r="I9" i="3"/>
  <c r="H47" i="4"/>
  <c r="H6" i="4"/>
  <c r="H199" i="3"/>
  <c r="G47" i="4"/>
  <c r="G6" i="4"/>
  <c r="G199" i="3"/>
  <c r="F47" i="4"/>
  <c r="F6" i="4"/>
  <c r="F199" i="3"/>
  <c r="E47" i="4"/>
  <c r="E6" i="4"/>
  <c r="E199" i="3"/>
  <c r="D47" i="4"/>
  <c r="D6" i="4"/>
  <c r="D199" i="3"/>
  <c r="C47" i="4"/>
  <c r="C6" i="4"/>
  <c r="C199" i="3"/>
  <c r="B6" i="4"/>
  <c r="B199" i="3"/>
  <c r="B200" i="3" s="1"/>
  <c r="H205" i="3"/>
  <c r="H58" i="4" s="1"/>
  <c r="I18" i="3"/>
  <c r="I208" i="3"/>
  <c r="H18" i="3"/>
  <c r="H208" i="3"/>
  <c r="G18" i="3"/>
  <c r="G208" i="3"/>
  <c r="F18" i="3"/>
  <c r="F208" i="3"/>
  <c r="E18" i="3"/>
  <c r="E208" i="3"/>
  <c r="D18" i="3"/>
  <c r="D208" i="3"/>
  <c r="C18" i="3"/>
  <c r="C208" i="3"/>
  <c r="B18" i="3"/>
  <c r="B208" i="3"/>
  <c r="B12" i="3"/>
  <c r="B8" i="4" s="1"/>
  <c r="C12" i="3"/>
  <c r="C8" i="4" s="1"/>
  <c r="D12" i="3"/>
  <c r="D8" i="4" s="1"/>
  <c r="B167" i="1"/>
  <c r="I43" i="3"/>
  <c r="J43" i="3" s="1"/>
  <c r="K43" i="3" s="1"/>
  <c r="L43" i="3" s="1"/>
  <c r="M43" i="3" s="1"/>
  <c r="N43" i="3" s="1"/>
  <c r="I40" i="3"/>
  <c r="I46" i="3"/>
  <c r="J46" i="3" s="1"/>
  <c r="I37" i="3"/>
  <c r="B43" i="3"/>
  <c r="B40" i="3"/>
  <c r="B46" i="3"/>
  <c r="B37" i="3"/>
  <c r="C43" i="3"/>
  <c r="C40" i="3"/>
  <c r="C46" i="3"/>
  <c r="C37" i="3"/>
  <c r="D43" i="3"/>
  <c r="D40" i="3"/>
  <c r="D46" i="3"/>
  <c r="D37" i="3"/>
  <c r="E43" i="3"/>
  <c r="E40" i="3"/>
  <c r="E46" i="3"/>
  <c r="E37" i="3"/>
  <c r="F43" i="3"/>
  <c r="F40" i="3"/>
  <c r="F46" i="3"/>
  <c r="F37" i="3"/>
  <c r="G43" i="3"/>
  <c r="G40" i="3"/>
  <c r="G46" i="3"/>
  <c r="G37" i="3"/>
  <c r="H43" i="3"/>
  <c r="H40" i="3"/>
  <c r="H46" i="3"/>
  <c r="H37" i="3"/>
  <c r="H126" i="1"/>
  <c r="C126" i="1"/>
  <c r="I126" i="1"/>
  <c r="E126" i="1"/>
  <c r="F126" i="1"/>
  <c r="D126" i="1"/>
  <c r="B126" i="1"/>
  <c r="B133" i="1" s="1"/>
  <c r="B3" i="3" s="1"/>
  <c r="G126" i="1"/>
  <c r="F12" i="3" l="1"/>
  <c r="F8" i="4" s="1"/>
  <c r="E12" i="3"/>
  <c r="E8" i="4" s="1"/>
  <c r="K46" i="3"/>
  <c r="M182" i="3"/>
  <c r="M183" i="3" s="1"/>
  <c r="M176" i="3"/>
  <c r="M177" i="3" s="1"/>
  <c r="M173" i="3"/>
  <c r="M160" i="3"/>
  <c r="M185" i="3"/>
  <c r="M186" i="3" s="1"/>
  <c r="L180" i="3"/>
  <c r="M107" i="3"/>
  <c r="M108" i="3" s="1"/>
  <c r="M95" i="3"/>
  <c r="M82" i="3"/>
  <c r="M104" i="3"/>
  <c r="M105" i="3" s="1"/>
  <c r="M98" i="3"/>
  <c r="M99" i="3" s="1"/>
  <c r="M155" i="3"/>
  <c r="M156" i="3" s="1"/>
  <c r="M152" i="3"/>
  <c r="M153" i="3" s="1"/>
  <c r="M146" i="3"/>
  <c r="M147" i="3" s="1"/>
  <c r="N141" i="3"/>
  <c r="M33" i="3"/>
  <c r="N33" i="3" s="1"/>
  <c r="N107" i="3"/>
  <c r="N104" i="3"/>
  <c r="N98" i="3"/>
  <c r="N95" i="3"/>
  <c r="N82" i="3"/>
  <c r="N112" i="3"/>
  <c r="N137" i="3"/>
  <c r="N138" i="3" s="1"/>
  <c r="N134" i="3"/>
  <c r="N135" i="3" s="1"/>
  <c r="N128" i="3"/>
  <c r="N129" i="3" s="1"/>
  <c r="N125" i="3"/>
  <c r="N160" i="3"/>
  <c r="N185" i="3"/>
  <c r="N182" i="3"/>
  <c r="N183" i="3" s="1"/>
  <c r="N176" i="3"/>
  <c r="N177" i="3" s="1"/>
  <c r="N173" i="3"/>
  <c r="L32" i="3"/>
  <c r="L31" i="3" s="1"/>
  <c r="B206" i="3"/>
  <c r="B58" i="4"/>
  <c r="B3" i="4"/>
  <c r="B192" i="3"/>
  <c r="B210" i="3" s="1"/>
  <c r="B10" i="3"/>
  <c r="B16" i="3"/>
  <c r="B7" i="3"/>
  <c r="B9" i="4" s="1"/>
  <c r="B19" i="3"/>
  <c r="B13" i="3"/>
  <c r="H133" i="1"/>
  <c r="B209" i="3"/>
  <c r="C209" i="3"/>
  <c r="D209" i="3"/>
  <c r="E209" i="3"/>
  <c r="F209" i="3"/>
  <c r="G209" i="3"/>
  <c r="H209" i="3"/>
  <c r="I209" i="3"/>
  <c r="J209" i="3" s="1"/>
  <c r="C200" i="3"/>
  <c r="D200" i="3"/>
  <c r="E200" i="3"/>
  <c r="F200" i="3"/>
  <c r="G200" i="3"/>
  <c r="H200" i="3"/>
  <c r="I200" i="3"/>
  <c r="I205" i="3"/>
  <c r="I15" i="3"/>
  <c r="C205" i="3"/>
  <c r="D205" i="3"/>
  <c r="D15" i="3"/>
  <c r="G205" i="3"/>
  <c r="G58" i="4" s="1"/>
  <c r="H15" i="3"/>
  <c r="G15" i="3"/>
  <c r="E205" i="3"/>
  <c r="E15" i="3"/>
  <c r="F205" i="3"/>
  <c r="F15" i="3"/>
  <c r="I5" i="4"/>
  <c r="I7" i="4" s="1"/>
  <c r="I11" i="4" s="1"/>
  <c r="I6" i="3"/>
  <c r="I46" i="4"/>
  <c r="I49" i="4" s="1"/>
  <c r="I54" i="4" s="1"/>
  <c r="J54" i="4" s="1"/>
  <c r="K54" i="4" s="1"/>
  <c r="L54" i="4" s="1"/>
  <c r="M54" i="4" s="1"/>
  <c r="N54" i="4" s="1"/>
  <c r="I202" i="3"/>
  <c r="H5" i="4"/>
  <c r="H7" i="4" s="1"/>
  <c r="H11" i="4" s="1"/>
  <c r="H196" i="3"/>
  <c r="H6" i="3"/>
  <c r="H46" i="4"/>
  <c r="H49" i="4" s="1"/>
  <c r="H54" i="4" s="1"/>
  <c r="H202" i="3"/>
  <c r="G5" i="4"/>
  <c r="G7" i="4" s="1"/>
  <c r="G11" i="4" s="1"/>
  <c r="G196" i="3"/>
  <c r="G6" i="3"/>
  <c r="G46" i="4"/>
  <c r="G49" i="4" s="1"/>
  <c r="G54" i="4" s="1"/>
  <c r="G202" i="3"/>
  <c r="F5" i="4"/>
  <c r="F7" i="4" s="1"/>
  <c r="F11" i="4" s="1"/>
  <c r="F196" i="3"/>
  <c r="F6" i="3"/>
  <c r="F46" i="4"/>
  <c r="F49" i="4" s="1"/>
  <c r="F54" i="4" s="1"/>
  <c r="F202" i="3"/>
  <c r="E5" i="4"/>
  <c r="E7" i="4" s="1"/>
  <c r="E11" i="4" s="1"/>
  <c r="E196" i="3"/>
  <c r="E6" i="3"/>
  <c r="E46" i="4"/>
  <c r="E49" i="4" s="1"/>
  <c r="E54" i="4" s="1"/>
  <c r="E202" i="3"/>
  <c r="D5" i="4"/>
  <c r="D7" i="4" s="1"/>
  <c r="D11" i="4" s="1"/>
  <c r="D196" i="3"/>
  <c r="D6" i="3"/>
  <c r="D46" i="4"/>
  <c r="D49" i="4" s="1"/>
  <c r="D54" i="4" s="1"/>
  <c r="D202" i="3"/>
  <c r="C5" i="4"/>
  <c r="C7" i="4" s="1"/>
  <c r="C11" i="4" s="1"/>
  <c r="C6" i="3"/>
  <c r="C196" i="3"/>
  <c r="C46" i="4"/>
  <c r="C49" i="4" s="1"/>
  <c r="C54" i="4" s="1"/>
  <c r="C202" i="3"/>
  <c r="B5" i="4"/>
  <c r="B7" i="4" s="1"/>
  <c r="B11" i="4" s="1"/>
  <c r="B6" i="3"/>
  <c r="B196" i="3"/>
  <c r="B46" i="4"/>
  <c r="B49" i="4" s="1"/>
  <c r="B202" i="3"/>
  <c r="B203" i="3" s="1"/>
  <c r="C15" i="3"/>
  <c r="B15" i="3"/>
  <c r="E133" i="1"/>
  <c r="G133" i="1"/>
  <c r="D133" i="1"/>
  <c r="F133" i="1"/>
  <c r="I133" i="1"/>
  <c r="C133" i="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G30" i="1"/>
  <c r="F30" i="1"/>
  <c r="E30" i="1"/>
  <c r="D30" i="1"/>
  <c r="C30" i="1"/>
  <c r="B30" i="1"/>
  <c r="I30" i="1"/>
  <c r="H7" i="1"/>
  <c r="G7" i="1"/>
  <c r="F7" i="1"/>
  <c r="E7" i="1"/>
  <c r="D7" i="1"/>
  <c r="C7" i="1"/>
  <c r="B7" i="1"/>
  <c r="I7" i="1"/>
  <c r="H4" i="1"/>
  <c r="H10" i="1" s="1"/>
  <c r="G4" i="1"/>
  <c r="F4" i="1"/>
  <c r="F10" i="1" s="1"/>
  <c r="E4" i="1"/>
  <c r="E10" i="1" s="1"/>
  <c r="D4" i="1"/>
  <c r="D10" i="1" s="1"/>
  <c r="C4" i="1"/>
  <c r="C10" i="1" s="1"/>
  <c r="B4" i="1"/>
  <c r="B10" i="1" s="1"/>
  <c r="I4" i="1"/>
  <c r="I10" i="1" s="1"/>
  <c r="J200" i="3" l="1"/>
  <c r="J208" i="3"/>
  <c r="K209" i="3"/>
  <c r="L209" i="3" s="1"/>
  <c r="M209" i="3" s="1"/>
  <c r="N209" i="3" s="1"/>
  <c r="L46" i="3"/>
  <c r="M96" i="3"/>
  <c r="M101" i="3"/>
  <c r="M102" i="3" s="1"/>
  <c r="N186" i="3"/>
  <c r="M174" i="3"/>
  <c r="M179" i="3"/>
  <c r="M180" i="3" s="1"/>
  <c r="N99" i="3"/>
  <c r="N105" i="3"/>
  <c r="N108" i="3"/>
  <c r="N155" i="3"/>
  <c r="N156" i="3" s="1"/>
  <c r="N152" i="3"/>
  <c r="N153" i="3" s="1"/>
  <c r="N146" i="3"/>
  <c r="N147" i="3" s="1"/>
  <c r="B54" i="4"/>
  <c r="B55" i="4" s="1"/>
  <c r="B53" i="4" s="1"/>
  <c r="I13" i="4"/>
  <c r="J13" i="4" s="1"/>
  <c r="K13" i="4" s="1"/>
  <c r="L13" i="4" s="1"/>
  <c r="M13" i="4" s="1"/>
  <c r="N13" i="4" s="1"/>
  <c r="I14" i="4"/>
  <c r="M32" i="3"/>
  <c r="N32" i="3"/>
  <c r="M31" i="3"/>
  <c r="N31" i="3" s="1"/>
  <c r="N174" i="3"/>
  <c r="N179" i="3"/>
  <c r="N180" i="3" s="1"/>
  <c r="N126" i="3"/>
  <c r="N131" i="3"/>
  <c r="N132" i="3" s="1"/>
  <c r="N96" i="3"/>
  <c r="N101" i="3"/>
  <c r="F206" i="3"/>
  <c r="F58" i="4"/>
  <c r="E206" i="3"/>
  <c r="E58" i="4"/>
  <c r="D206" i="3"/>
  <c r="D58" i="4"/>
  <c r="C206" i="3"/>
  <c r="C58" i="4"/>
  <c r="I206" i="3"/>
  <c r="I58" i="4"/>
  <c r="I36" i="1"/>
  <c r="B36" i="1"/>
  <c r="C36" i="1"/>
  <c r="D36" i="1"/>
  <c r="E36" i="1"/>
  <c r="F36" i="1"/>
  <c r="G36" i="1"/>
  <c r="H36" i="1"/>
  <c r="C134" i="1"/>
  <c r="C3" i="3"/>
  <c r="B134" i="1"/>
  <c r="I134" i="1"/>
  <c r="I3" i="3"/>
  <c r="F134" i="1"/>
  <c r="F3" i="3"/>
  <c r="D134" i="1"/>
  <c r="D3" i="3"/>
  <c r="G134" i="1"/>
  <c r="G3" i="3"/>
  <c r="E134" i="1"/>
  <c r="E3" i="3"/>
  <c r="B198" i="3"/>
  <c r="B197" i="3"/>
  <c r="B14" i="4"/>
  <c r="B13" i="4"/>
  <c r="C203" i="3"/>
  <c r="C197" i="3"/>
  <c r="C14" i="4"/>
  <c r="C13" i="4"/>
  <c r="D203" i="3"/>
  <c r="D197" i="3"/>
  <c r="D14" i="4"/>
  <c r="D13" i="4"/>
  <c r="E203" i="3"/>
  <c r="E197" i="3"/>
  <c r="E14" i="4"/>
  <c r="E13" i="4"/>
  <c r="F203" i="3"/>
  <c r="F197" i="3"/>
  <c r="F14" i="4"/>
  <c r="F13" i="4"/>
  <c r="G203" i="3"/>
  <c r="G197" i="3"/>
  <c r="G14" i="4"/>
  <c r="G13" i="4"/>
  <c r="H203" i="3"/>
  <c r="H197" i="3"/>
  <c r="H14" i="4"/>
  <c r="H13" i="4"/>
  <c r="I203" i="3"/>
  <c r="I197" i="3"/>
  <c r="G206" i="3"/>
  <c r="H206" i="3"/>
  <c r="H3" i="3"/>
  <c r="H134" i="1"/>
  <c r="B24" i="4"/>
  <c r="E12" i="1"/>
  <c r="E145" i="1"/>
  <c r="F12" i="1"/>
  <c r="F145" i="1"/>
  <c r="H12" i="1"/>
  <c r="H20" i="1" s="1"/>
  <c r="H145" i="1"/>
  <c r="I12" i="1"/>
  <c r="I20" i="1" s="1"/>
  <c r="I145" i="1"/>
  <c r="B12" i="1"/>
  <c r="B145" i="1"/>
  <c r="C12" i="1"/>
  <c r="C145" i="1"/>
  <c r="D12" i="1"/>
  <c r="D145" i="1"/>
  <c r="H64" i="1"/>
  <c r="H76" i="1" s="1"/>
  <c r="H55" i="4" s="1"/>
  <c r="H53" i="4" s="1"/>
  <c r="B60" i="1"/>
  <c r="E60" i="1"/>
  <c r="F60" i="1"/>
  <c r="G10" i="1"/>
  <c r="I59" i="1"/>
  <c r="I60" i="1" s="1"/>
  <c r="G60" i="1"/>
  <c r="H60" i="1"/>
  <c r="C60" i="1"/>
  <c r="D60" i="1"/>
  <c r="J203" i="3" l="1"/>
  <c r="J206" i="3"/>
  <c r="K206" i="3"/>
  <c r="L206" i="3"/>
  <c r="K208" i="3"/>
  <c r="L208" i="3" s="1"/>
  <c r="M208" i="3" s="1"/>
  <c r="N208" i="3" s="1"/>
  <c r="J199" i="3"/>
  <c r="K200" i="3"/>
  <c r="J197" i="3"/>
  <c r="J196" i="3" s="1"/>
  <c r="J202" i="3" s="1"/>
  <c r="K197" i="3"/>
  <c r="L197" i="3"/>
  <c r="M197" i="3"/>
  <c r="N197" i="3"/>
  <c r="M46" i="3"/>
  <c r="N102" i="3"/>
  <c r="H96" i="1"/>
  <c r="H98" i="1" s="1"/>
  <c r="H3" i="4"/>
  <c r="H24" i="4" s="1"/>
  <c r="H192" i="3"/>
  <c r="H19" i="3"/>
  <c r="H16" i="3"/>
  <c r="H10" i="3"/>
  <c r="H13" i="3"/>
  <c r="H7" i="3"/>
  <c r="H9" i="4" s="1"/>
  <c r="E3" i="4"/>
  <c r="E24" i="4" s="1"/>
  <c r="E192" i="3"/>
  <c r="E19" i="3"/>
  <c r="E10" i="3"/>
  <c r="E13" i="3"/>
  <c r="E7" i="3"/>
  <c r="E9" i="4" s="1"/>
  <c r="E16" i="3"/>
  <c r="G3" i="4"/>
  <c r="G24" i="4" s="1"/>
  <c r="G192" i="3"/>
  <c r="G19" i="3"/>
  <c r="G10" i="3"/>
  <c r="G13" i="3"/>
  <c r="G7" i="3"/>
  <c r="G9" i="4" s="1"/>
  <c r="G16" i="3"/>
  <c r="D3" i="4"/>
  <c r="D24" i="4" s="1"/>
  <c r="D192" i="3"/>
  <c r="D19" i="3"/>
  <c r="D10" i="3"/>
  <c r="D13" i="3"/>
  <c r="D7" i="3"/>
  <c r="D9" i="4" s="1"/>
  <c r="D16" i="3"/>
  <c r="F3" i="4"/>
  <c r="F24" i="4" s="1"/>
  <c r="F192" i="3"/>
  <c r="F19" i="3"/>
  <c r="F10" i="3"/>
  <c r="F13" i="3"/>
  <c r="F7" i="3"/>
  <c r="F9" i="4" s="1"/>
  <c r="F16" i="3"/>
  <c r="I3" i="4"/>
  <c r="I24" i="4" s="1"/>
  <c r="I192" i="3"/>
  <c r="I19" i="3"/>
  <c r="I7" i="3"/>
  <c r="I13" i="3"/>
  <c r="I16" i="3"/>
  <c r="C3" i="4"/>
  <c r="C24" i="4" s="1"/>
  <c r="C192" i="3"/>
  <c r="C19" i="3"/>
  <c r="C10" i="3"/>
  <c r="C13" i="3"/>
  <c r="C7" i="3"/>
  <c r="C9" i="4" s="1"/>
  <c r="C16" i="3"/>
  <c r="D20" i="1"/>
  <c r="D64" i="1"/>
  <c r="D76" i="1" s="1"/>
  <c r="D55" i="4" s="1"/>
  <c r="D53" i="4" s="1"/>
  <c r="C20" i="1"/>
  <c r="C64" i="1"/>
  <c r="C76" i="1" s="1"/>
  <c r="C55" i="4" s="1"/>
  <c r="C53" i="4" s="1"/>
  <c r="B20" i="1"/>
  <c r="B64" i="1"/>
  <c r="B76" i="1" s="1"/>
  <c r="F20" i="1"/>
  <c r="F64" i="1"/>
  <c r="F76" i="1" s="1"/>
  <c r="F55" i="4" s="1"/>
  <c r="F53" i="4" s="1"/>
  <c r="E20" i="1"/>
  <c r="E64" i="1"/>
  <c r="E76" i="1" s="1"/>
  <c r="E55" i="4" s="1"/>
  <c r="E53" i="4" s="1"/>
  <c r="I64" i="1"/>
  <c r="I76" i="1" s="1"/>
  <c r="I55" i="4" s="1"/>
  <c r="I53" i="4" s="1"/>
  <c r="G12" i="1"/>
  <c r="G145" i="1"/>
  <c r="I97" i="1"/>
  <c r="H99" i="1"/>
  <c r="K199" i="3" l="1"/>
  <c r="L200" i="3"/>
  <c r="M206" i="3"/>
  <c r="N206" i="3" s="1"/>
  <c r="K203" i="3"/>
  <c r="K196" i="3"/>
  <c r="N46" i="3"/>
  <c r="I96" i="1"/>
  <c r="I98" i="1" s="1"/>
  <c r="I99" i="1" s="1"/>
  <c r="E96" i="1"/>
  <c r="E98" i="1" s="1"/>
  <c r="E99" i="1" s="1"/>
  <c r="F96" i="1"/>
  <c r="F98" i="1" s="1"/>
  <c r="F99" i="1" s="1"/>
  <c r="B96" i="1"/>
  <c r="B98" i="1" s="1"/>
  <c r="B99" i="1" s="1"/>
  <c r="C96" i="1"/>
  <c r="C98" i="1" s="1"/>
  <c r="C99" i="1" s="1"/>
  <c r="D96" i="1"/>
  <c r="D98" i="1" s="1"/>
  <c r="D99" i="1" s="1"/>
  <c r="C210" i="3"/>
  <c r="C201" i="3"/>
  <c r="C207" i="3"/>
  <c r="C204" i="3"/>
  <c r="C198" i="3"/>
  <c r="I9" i="4"/>
  <c r="I210" i="3"/>
  <c r="I201" i="3"/>
  <c r="I207" i="3"/>
  <c r="I204" i="3"/>
  <c r="I198" i="3"/>
  <c r="F210" i="3"/>
  <c r="F201" i="3"/>
  <c r="F207" i="3"/>
  <c r="F204" i="3"/>
  <c r="F198" i="3"/>
  <c r="D210" i="3"/>
  <c r="D201" i="3"/>
  <c r="D207" i="3"/>
  <c r="D204" i="3"/>
  <c r="D198" i="3"/>
  <c r="G210" i="3"/>
  <c r="G201" i="3"/>
  <c r="G207" i="3"/>
  <c r="G204" i="3"/>
  <c r="G198" i="3"/>
  <c r="E210" i="3"/>
  <c r="E201" i="3"/>
  <c r="E207" i="3"/>
  <c r="E204" i="3"/>
  <c r="E198" i="3"/>
  <c r="H210" i="3"/>
  <c r="H201" i="3"/>
  <c r="H207" i="3"/>
  <c r="H204" i="3"/>
  <c r="H198" i="3"/>
  <c r="G20" i="1"/>
  <c r="G64" i="1"/>
  <c r="G76" i="1" s="1"/>
  <c r="G55" i="4" s="1"/>
  <c r="G53" i="4" s="1"/>
  <c r="H1" i="1"/>
  <c r="G1" i="1" s="1"/>
  <c r="F1" i="1" s="1"/>
  <c r="E1" i="1" s="1"/>
  <c r="D1" i="1" s="1"/>
  <c r="C1" i="1" s="1"/>
  <c r="B1" i="1" s="1"/>
  <c r="L203" i="3" l="1"/>
  <c r="M200" i="3"/>
  <c r="N200" i="3" s="1"/>
  <c r="L199" i="3"/>
  <c r="M199" i="3" s="1"/>
  <c r="N199" i="3" s="1"/>
  <c r="L196" i="3"/>
  <c r="K202" i="3"/>
  <c r="G96" i="1"/>
  <c r="G98" i="1" s="1"/>
  <c r="G99" i="1" s="1"/>
  <c r="B4" i="3"/>
  <c r="B4" i="4" s="1"/>
  <c r="M203" i="3" l="1"/>
  <c r="N203" i="3" s="1"/>
  <c r="M196" i="3"/>
  <c r="L202" i="3"/>
  <c r="B201" i="3"/>
  <c r="B207" i="3"/>
  <c r="B204" i="3"/>
  <c r="B193" i="3"/>
  <c r="B195" i="3" s="1"/>
  <c r="I10" i="3"/>
  <c r="I4" i="3"/>
  <c r="I4" i="4" s="1"/>
  <c r="H4" i="3"/>
  <c r="H4" i="4" s="1"/>
  <c r="G4" i="3"/>
  <c r="G4" i="4" s="1"/>
  <c r="F4" i="3"/>
  <c r="F4" i="4" s="1"/>
  <c r="E4" i="3"/>
  <c r="E4" i="4" s="1"/>
  <c r="D4" i="3"/>
  <c r="D4" i="4" s="1"/>
  <c r="C4" i="3"/>
  <c r="C4" i="4" s="1"/>
  <c r="N196" i="3" l="1"/>
  <c r="N202" i="3" s="1"/>
  <c r="M202" i="3"/>
  <c r="C193" i="3"/>
  <c r="D193" i="3"/>
  <c r="E193" i="3"/>
  <c r="F193" i="3"/>
  <c r="G193" i="3"/>
  <c r="H193" i="3"/>
  <c r="H195" i="3" s="1"/>
  <c r="I193" i="3"/>
  <c r="I195" i="3" s="1"/>
  <c r="J193" i="3" l="1"/>
  <c r="G195" i="3"/>
  <c r="F195" i="3"/>
  <c r="E195" i="3"/>
  <c r="D195" i="3"/>
  <c r="C195" i="3"/>
  <c r="J23" i="3"/>
  <c r="J21" i="3"/>
  <c r="K193" i="3" l="1"/>
  <c r="L193" i="3"/>
  <c r="M193" i="3"/>
  <c r="N193" i="3"/>
  <c r="J38" i="3"/>
  <c r="J40" i="3" s="1"/>
  <c r="J35" i="3"/>
  <c r="J44" i="3"/>
  <c r="J45" i="3" s="1"/>
  <c r="J192" i="3"/>
  <c r="K192" i="3" s="1"/>
  <c r="L192" i="3" s="1"/>
  <c r="M192" i="3" s="1"/>
  <c r="N192" i="3" s="1"/>
  <c r="J47" i="3"/>
  <c r="J22" i="3"/>
  <c r="K23" i="3"/>
  <c r="K21" i="3" s="1"/>
  <c r="L23" i="3"/>
  <c r="J210" i="3" l="1"/>
  <c r="J204" i="3"/>
  <c r="K38" i="3"/>
  <c r="K35" i="3"/>
  <c r="K44" i="3"/>
  <c r="K45" i="3" s="1"/>
  <c r="J48" i="3"/>
  <c r="L21" i="3"/>
  <c r="M23" i="3"/>
  <c r="K22" i="3"/>
  <c r="K47" i="3"/>
  <c r="K210" i="3" l="1"/>
  <c r="K204" i="3"/>
  <c r="L38" i="3"/>
  <c r="L35" i="3"/>
  <c r="L44" i="3"/>
  <c r="L45" i="3" s="1"/>
  <c r="K48" i="3"/>
  <c r="M21" i="3"/>
  <c r="N23" i="3"/>
  <c r="N21" i="3" s="1"/>
  <c r="L22" i="3"/>
  <c r="L47" i="3"/>
  <c r="L210" i="3" l="1"/>
  <c r="L204" i="3"/>
  <c r="N38" i="3"/>
  <c r="N35" i="3"/>
  <c r="N44" i="3"/>
  <c r="M38" i="3"/>
  <c r="M35" i="3"/>
  <c r="M44" i="3"/>
  <c r="M45" i="3" s="1"/>
  <c r="L48" i="3"/>
  <c r="N22" i="3"/>
  <c r="N47" i="3"/>
  <c r="M22" i="3"/>
  <c r="M47" i="3"/>
  <c r="M210" i="3" l="1"/>
  <c r="M204" i="3"/>
  <c r="N45" i="3"/>
  <c r="M48" i="3"/>
  <c r="N48" i="3"/>
  <c r="J144" i="3"/>
  <c r="K143" i="3"/>
  <c r="K144" i="3" s="1"/>
  <c r="N143" i="3"/>
  <c r="M143" i="3"/>
  <c r="L143" i="3"/>
  <c r="N210" i="3" l="1"/>
  <c r="N204" i="3"/>
  <c r="L144" i="3"/>
  <c r="L149" i="3"/>
  <c r="M149" i="3"/>
  <c r="M150" i="3" s="1"/>
  <c r="N149" i="3"/>
  <c r="K149" i="3"/>
  <c r="M144" i="3"/>
  <c r="N144" i="3"/>
  <c r="N150" i="3" l="1"/>
  <c r="K150" i="3"/>
  <c r="L150" i="3"/>
  <c r="B66" i="4" l="1"/>
  <c r="B68" i="4" s="1"/>
  <c r="C66" i="4"/>
  <c r="D66" i="4"/>
  <c r="E66" i="4"/>
  <c r="F66" i="4"/>
  <c r="G66" i="4"/>
  <c r="I66" i="4"/>
  <c r="H66" i="4"/>
  <c r="C67" i="4" l="1"/>
  <c r="C68" i="4" s="1"/>
  <c r="B69" i="4"/>
  <c r="C69" i="4" l="1"/>
  <c r="D67" i="4"/>
  <c r="D68" i="4" s="1"/>
  <c r="D69" i="4" s="1"/>
  <c r="E67" i="4"/>
  <c r="E68" i="4" s="1"/>
  <c r="E69" i="4" s="1"/>
  <c r="F67" i="4"/>
  <c r="F68" i="4" s="1"/>
  <c r="F69" i="4" l="1"/>
  <c r="G67" i="4"/>
  <c r="G68" i="4" s="1"/>
  <c r="G69" i="4" l="1"/>
  <c r="H67" i="4"/>
  <c r="H68" i="4" s="1"/>
  <c r="H69" i="4" l="1"/>
  <c r="I67" i="4"/>
  <c r="I68" i="4" s="1"/>
  <c r="I69" i="4" l="1"/>
  <c r="J67" i="4"/>
  <c r="J50" i="4" s="1"/>
  <c r="J10" i="4" s="1"/>
  <c r="J37" i="3" l="1"/>
  <c r="J41" i="3"/>
  <c r="J42" i="3" s="1"/>
  <c r="N37" i="3" l="1"/>
  <c r="M37" i="3"/>
  <c r="L37" i="3"/>
  <c r="K37" i="3"/>
  <c r="K41" i="3" l="1"/>
  <c r="K42" i="3" s="1"/>
  <c r="L41" i="3"/>
  <c r="L42" i="3" s="1"/>
  <c r="L40" i="3"/>
  <c r="K40" i="3"/>
  <c r="N40" i="3"/>
  <c r="N41" i="3"/>
  <c r="M40" i="3"/>
  <c r="M41" i="3"/>
  <c r="N42" i="3" s="1"/>
  <c r="M42" i="3"/>
  <c r="K53" i="3"/>
  <c r="L53" i="3" s="1"/>
  <c r="K51" i="3"/>
  <c r="J51" i="3"/>
  <c r="J52" i="3" s="1"/>
  <c r="J68" i="3" l="1"/>
  <c r="J77" i="3"/>
  <c r="J74" i="3"/>
  <c r="J3" i="3"/>
  <c r="K52" i="3"/>
  <c r="J65" i="3"/>
  <c r="J5" i="3" s="1"/>
  <c r="K68" i="3"/>
  <c r="K74" i="3"/>
  <c r="K77" i="3"/>
  <c r="K3" i="3"/>
  <c r="K65" i="3"/>
  <c r="K5" i="3" s="1"/>
  <c r="M53" i="3"/>
  <c r="L51" i="3"/>
  <c r="L68" i="3" l="1"/>
  <c r="L74" i="3"/>
  <c r="L77" i="3"/>
  <c r="L3" i="3"/>
  <c r="L65" i="3"/>
  <c r="L5" i="3" s="1"/>
  <c r="L52" i="3"/>
  <c r="N53" i="3"/>
  <c r="N51" i="3" s="1"/>
  <c r="M51" i="3"/>
  <c r="K71" i="3"/>
  <c r="K66" i="3"/>
  <c r="K4" i="3"/>
  <c r="K3" i="4"/>
  <c r="K78" i="3"/>
  <c r="K75" i="3"/>
  <c r="K69" i="3"/>
  <c r="J71" i="3"/>
  <c r="J72" i="3" s="1"/>
  <c r="J66" i="3"/>
  <c r="J4" i="3"/>
  <c r="J3" i="4"/>
  <c r="J75" i="3"/>
  <c r="J78" i="3"/>
  <c r="J69" i="3"/>
  <c r="J4" i="4" l="1"/>
  <c r="J23" i="4"/>
  <c r="J51" i="4" s="1"/>
  <c r="K4" i="4"/>
  <c r="K72" i="3"/>
  <c r="M68" i="3"/>
  <c r="M74" i="3"/>
  <c r="M77" i="3"/>
  <c r="M3" i="3"/>
  <c r="M65" i="3"/>
  <c r="M5" i="3" s="1"/>
  <c r="M52" i="3"/>
  <c r="N74" i="3"/>
  <c r="N77" i="3"/>
  <c r="N3" i="3"/>
  <c r="N65" i="3"/>
  <c r="N5" i="3" s="1"/>
  <c r="N68" i="3"/>
  <c r="N52" i="3"/>
  <c r="L71" i="3"/>
  <c r="L72" i="3" s="1"/>
  <c r="L66" i="3"/>
  <c r="L4" i="3"/>
  <c r="L3" i="4"/>
  <c r="L4" i="4" s="1"/>
  <c r="L78" i="3"/>
  <c r="L75" i="3"/>
  <c r="L69" i="3"/>
  <c r="N69" i="3" l="1"/>
  <c r="N71" i="3"/>
  <c r="N66" i="3"/>
  <c r="N4" i="3"/>
  <c r="N3" i="4"/>
  <c r="N78" i="3"/>
  <c r="N75" i="3"/>
  <c r="M71" i="3"/>
  <c r="M72" i="3" s="1"/>
  <c r="M66" i="3"/>
  <c r="M4" i="3"/>
  <c r="M3" i="4"/>
  <c r="M4" i="4" s="1"/>
  <c r="M78" i="3"/>
  <c r="M75" i="3"/>
  <c r="M69" i="3"/>
  <c r="J60" i="4"/>
  <c r="J64" i="4"/>
  <c r="K60" i="4" l="1"/>
  <c r="K64" i="4"/>
  <c r="N4" i="4"/>
  <c r="N72" i="3"/>
  <c r="L60" i="4" l="1"/>
  <c r="L64" i="4"/>
  <c r="M60" i="4" l="1"/>
  <c r="M64" i="4"/>
  <c r="N60" i="4" l="1"/>
  <c r="N64" i="4"/>
  <c r="J201" i="3" l="1"/>
  <c r="J8" i="3" l="1"/>
  <c r="J6" i="4" l="1"/>
  <c r="J47" i="4"/>
  <c r="J9" i="3"/>
  <c r="J10" i="3"/>
  <c r="K8" i="3" l="1"/>
  <c r="L201" i="3"/>
  <c r="L8" i="3"/>
  <c r="M201" i="3"/>
  <c r="M8" i="3"/>
  <c r="N201" i="3"/>
  <c r="N8" i="3"/>
  <c r="K201" i="3"/>
  <c r="N6" i="4" l="1"/>
  <c r="N9" i="3"/>
  <c r="N10" i="3"/>
  <c r="N47" i="4"/>
  <c r="M6" i="4"/>
  <c r="M9" i="3"/>
  <c r="M10" i="3"/>
  <c r="M47" i="4"/>
  <c r="L6" i="4"/>
  <c r="L9" i="3"/>
  <c r="L10" i="3"/>
  <c r="L47" i="4"/>
  <c r="K6" i="4"/>
  <c r="K47" i="4"/>
  <c r="K10" i="3"/>
  <c r="K9" i="3"/>
  <c r="J11" i="3"/>
  <c r="J12" i="3"/>
  <c r="J5" i="4"/>
  <c r="J7" i="4" s="1"/>
  <c r="J9" i="4"/>
  <c r="J6" i="3"/>
  <c r="J7" i="3"/>
  <c r="J198" i="3" l="1"/>
  <c r="J11" i="4"/>
  <c r="J8" i="4"/>
  <c r="J46" i="4"/>
  <c r="J49" i="4" s="1"/>
  <c r="J13" i="3"/>
  <c r="J12" i="4" l="1"/>
  <c r="J14" i="4" s="1"/>
  <c r="K7" i="3"/>
  <c r="K6" i="3"/>
  <c r="L7" i="3"/>
  <c r="L6" i="3"/>
  <c r="M7" i="3"/>
  <c r="M6" i="3"/>
  <c r="N7" i="3"/>
  <c r="N6" i="3"/>
  <c r="K11" i="3"/>
  <c r="K46" i="4"/>
  <c r="K49" i="4"/>
  <c r="L11" i="3"/>
  <c r="L46" i="4"/>
  <c r="L49" i="4"/>
  <c r="M11" i="3"/>
  <c r="M46" i="4"/>
  <c r="M49" i="4"/>
  <c r="N11" i="3"/>
  <c r="N46" i="4"/>
  <c r="N49" i="4"/>
  <c r="N5" i="4"/>
  <c r="N9" i="4" s="1"/>
  <c r="M5" i="4"/>
  <c r="M9" i="4" s="1"/>
  <c r="L5" i="4"/>
  <c r="L9" i="4" s="1"/>
  <c r="L7" i="4"/>
  <c r="K5" i="4"/>
  <c r="K9" i="4" s="1"/>
  <c r="K7" i="4"/>
  <c r="K8" i="4" s="1"/>
  <c r="N7" i="4" l="1"/>
  <c r="M7" i="4"/>
  <c r="J41" i="4"/>
  <c r="J43" i="4" s="1"/>
  <c r="J16" i="4"/>
  <c r="J19" i="4" s="1"/>
  <c r="K198" i="3"/>
  <c r="L8" i="4"/>
  <c r="L198" i="3"/>
  <c r="M8" i="4"/>
  <c r="M198" i="3"/>
  <c r="N8" i="4"/>
  <c r="N198" i="3"/>
  <c r="N12" i="3"/>
  <c r="N13" i="3"/>
  <c r="M12" i="3"/>
  <c r="M13" i="3"/>
  <c r="L12" i="3"/>
  <c r="L13" i="3"/>
  <c r="K13" i="3"/>
  <c r="K12" i="3"/>
  <c r="J17" i="3" l="1"/>
  <c r="J18" i="3"/>
  <c r="J19" i="3"/>
  <c r="N17" i="3"/>
  <c r="N19" i="3"/>
  <c r="M17" i="3"/>
  <c r="M19" i="3"/>
  <c r="L17" i="3"/>
  <c r="L19" i="3"/>
  <c r="K17" i="3"/>
  <c r="K18" i="3" s="1"/>
  <c r="K19" i="3"/>
  <c r="L18" i="3" l="1"/>
  <c r="M18" i="3"/>
  <c r="N18" i="3"/>
  <c r="J55" i="4" l="1"/>
  <c r="J24" i="4"/>
  <c r="K23" i="4" s="1"/>
  <c r="K51" i="4" s="1"/>
  <c r="J31" i="4"/>
  <c r="K55" i="4" l="1"/>
  <c r="K24" i="4"/>
  <c r="L23" i="4" s="1"/>
  <c r="L51" i="4" s="1"/>
  <c r="K31" i="4"/>
  <c r="L55" i="4" l="1"/>
  <c r="L24" i="4"/>
  <c r="M23" i="4" s="1"/>
  <c r="M51" i="4" s="1"/>
  <c r="L31" i="4"/>
  <c r="M55" i="4" l="1"/>
  <c r="M24" i="4"/>
  <c r="N23" i="4" s="1"/>
  <c r="N51" i="4" s="1"/>
  <c r="M31" i="4"/>
  <c r="N55" i="4" l="1"/>
  <c r="N31" i="4"/>
  <c r="N24" i="4"/>
  <c r="N207" i="3"/>
  <c r="K207" i="3"/>
  <c r="L207" i="3"/>
  <c r="M207" i="3"/>
  <c r="J207" i="3"/>
  <c r="M16" i="3"/>
  <c r="L16" i="3"/>
  <c r="K16" i="3"/>
  <c r="J15" i="3"/>
  <c r="J52" i="4" l="1"/>
  <c r="J16" i="3"/>
  <c r="K52" i="4"/>
  <c r="K15" i="3"/>
  <c r="L52" i="4"/>
  <c r="L15" i="3"/>
  <c r="M52" i="4"/>
  <c r="N15" i="3"/>
  <c r="M15" i="3"/>
  <c r="N52" i="4"/>
  <c r="N16" i="3"/>
  <c r="N58" i="4" l="1"/>
  <c r="N66" i="4" s="1"/>
  <c r="N53" i="4"/>
  <c r="M58" i="4"/>
  <c r="M66" i="4" s="1"/>
  <c r="M53" i="4"/>
  <c r="L58" i="4"/>
  <c r="L66" i="4" s="1"/>
  <c r="L53" i="4"/>
  <c r="K58" i="4"/>
  <c r="K66" i="4" s="1"/>
  <c r="K53" i="4"/>
  <c r="J58" i="4"/>
  <c r="J66" i="4" s="1"/>
  <c r="J68" i="4" s="1"/>
  <c r="K67" i="4" s="1"/>
  <c r="K50" i="4" s="1"/>
  <c r="K10" i="4" s="1"/>
  <c r="K11" i="4" s="1"/>
  <c r="J53" i="4"/>
  <c r="K12" i="4" l="1"/>
  <c r="K14" i="4" s="1"/>
  <c r="K68" i="4"/>
  <c r="L67" i="4" s="1"/>
  <c r="L50" i="4" s="1"/>
  <c r="L10" i="4" s="1"/>
  <c r="L11" i="4" s="1"/>
  <c r="L68" i="4"/>
  <c r="M67" i="4" s="1"/>
  <c r="M50" i="4" s="1"/>
  <c r="M10" i="4" s="1"/>
  <c r="M11" i="4" s="1"/>
  <c r="M68" i="4"/>
  <c r="N67" i="4" s="1"/>
  <c r="N50" i="4" s="1"/>
  <c r="N10" i="4" s="1"/>
  <c r="N11" i="4" s="1"/>
  <c r="N68" i="4"/>
  <c r="N12" i="4" l="1"/>
  <c r="N14" i="4" s="1"/>
  <c r="M12" i="4"/>
  <c r="M14" i="4" s="1"/>
  <c r="L12" i="4"/>
  <c r="L14" i="4" s="1"/>
  <c r="K16" i="4"/>
  <c r="K19" i="4" s="1"/>
  <c r="K41" i="4"/>
  <c r="K43" i="4" s="1"/>
  <c r="L16" i="4" l="1"/>
  <c r="L19" i="4" s="1"/>
  <c r="L41" i="4"/>
  <c r="L43" i="4" s="1"/>
  <c r="M16" i="4"/>
  <c r="M19" i="4" s="1"/>
  <c r="M41" i="4"/>
  <c r="M43" i="4" s="1"/>
  <c r="N16" i="4"/>
  <c r="N19" i="4" s="1"/>
  <c r="N41" i="4"/>
  <c r="N4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<sst xmlns="http://schemas.openxmlformats.org/spreadsheetml/2006/main" count="567" uniqueCount="237">
  <si>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</si>
  <si>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</si>
  <si>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</si>
  <si>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</si>
  <si>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</si>
  <si>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</si>
  <si>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</si>
  <si>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</si>
  <si>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</si>
  <si>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</si>
  <si>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</si>
  <si>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</si>
  <si>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</si>
  <si>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</si>
  <si>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</si>
  <si>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</si>
  <si>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</si>
  <si>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</si>
  <si>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</si>
  <si>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</si>
  <si>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</si>
  <si>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</si>
  <si>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</si>
  <si>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</si>
  <si>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</si>
  <si>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</si>
  <si>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</si>
  <si>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</si>
  <si>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</si>
  <si>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</si>
  <si>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</si>
  <si>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</si>
  <si>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</si>
  <si>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</si>
  <si>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</si>
  <si>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</si>
  <si>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</si>
  <si>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</si>
  <si>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</si>
  <si>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</si>
  <si>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</si>
  <si>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</si>
  <si>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</si>
  <si>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</si>
  <si>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</si>
  <si>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</si>
  <si>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</si>
  <si>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</si>
  <si>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</si>
  <si>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</si>
  <si>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</si>
  <si>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</si>
  <si>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</si>
  <si>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</si>
  <si>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</si>
  <si>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</si>
  <si>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</si>
  <si>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</si>
  <si>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</si>
  <si>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</si>
  <si>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</si>
  <si>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</si>
  <si>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</si>
  <si>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</si>
  <si>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</si>
  <si>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</si>
  <si>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</si>
  <si>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</si>
  <si>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</si>
  <si>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</si>
  <si>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</si>
  <si>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</si>
  <si>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</si>
  <si>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</si>
  <si>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</si>
  <si>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</si>
  <si>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</si>
  <si>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</si>
  <si>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</si>
  <si>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</si>
  <si>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</si>
  <si>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</si>
  <si>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</si>
  <si>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</si>
  <si>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</si>
  <si>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</si>
  <si>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</si>
  <si>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</si>
  <si>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</si>
  <si>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</si>
  <si>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</si>
  <si>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</si>
  <si>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</si>
  <si>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</si>
  <si>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</si>
  <si>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</si>
  <si>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</si>
  <si>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</si>
  <si>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</si>
  <si>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</si>
  <si>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</si>
  <si>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</si>
  <si>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</si>
  <si>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</si>
  <si>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</si>
  <si>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</si>
  <si>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</si>
  <si>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</si>
  <si>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</si>
  <si>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</si>
  <si>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</si>
  <si>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</si>
  <si>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</si>
  <si>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</si>
  <si>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</si>
  <si>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</si>
  <si>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</si>
  <si>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</si>
  <si>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</si>
  <si>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</si>
  <si>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</si>
  <si>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</si>
  <si>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</si>
  <si>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</si>
  <si>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</si>
  <si>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</si>
  <si>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</si>
  <si>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</si>
  <si>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</si>
  <si>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</si>
  <si>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</si>
  <si>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</si>
  <si>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</si>
  <si>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</si>
  <si>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</si>
  <si>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</si>
  <si>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</si>
  <si>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</si>
  <si>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</si>
  <si>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</si>
  <si>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</si>
  <si>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</si>
  <si>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Western Europe</t>
  </si>
  <si>
    <t>Eastern and Central Europe Europe</t>
  </si>
  <si>
    <t>Emerging Markets</t>
  </si>
  <si>
    <t>Currency Exchange Impact Rate %</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</si>
  <si>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</si>
  <si>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</si>
  <si>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</si>
  <si>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</si>
  <si>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</si>
  <si>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</si>
  <si>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</si>
  <si>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</si>
  <si>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</si>
  <si>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</si>
  <si>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</si>
  <si>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</si>
  <si>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</si>
  <si>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</si>
  <si>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</si>
  <si>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</si>
  <si>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</si>
  <si>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</si>
  <si>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</si>
  <si>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</si>
  <si>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</si>
  <si>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</si>
  <si>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</si>
  <si>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</si>
  <si>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</si>
  <si>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</si>
  <si>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</si>
  <si>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</si>
  <si>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</si>
  <si>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</si>
  <si>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</si>
  <si>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</si>
  <si>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</si>
  <si>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</si>
  <si>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</si>
  <si>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</si>
  <si>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</si>
  <si>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</si>
  <si>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</si>
  <si>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</si>
  <si>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</si>
  <si>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</si>
  <si>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</si>
  <si>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</si>
  <si>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</si>
  <si>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</si>
  <si>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</si>
  <si>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</si>
  <si>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</si>
  <si>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</si>
  <si>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</si>
  <si>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Accounts receivable, Net</t>
  </si>
  <si>
    <t>Accounts Payable</t>
  </si>
  <si>
    <t>Guidance:</t>
  </si>
  <si>
    <t>Short term + Long term debt - (Cash + short term investments) Linked from above</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</si>
  <si>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</si>
  <si>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</si>
  <si>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</si>
  <si>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</si>
  <si>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</si>
  <si>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</si>
  <si>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</si>
  <si>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</si>
  <si>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</si>
  <si>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</si>
  <si>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</si>
  <si>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</si>
  <si>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</si>
  <si>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</si>
  <si>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</si>
  <si>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</si>
  <si>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</si>
  <si>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</si>
  <si>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</si>
  <si>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</si>
  <si>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</si>
  <si>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Projections rates</t>
  </si>
  <si>
    <t>In June 2022, the Board of Directors authorized a new four-year, $18 billion program to repurchase shares of the Company's Class B common stock. The Company's new program will replace the current $15 billion share repurchase program, which will be terminated in fiscal 2023</t>
  </si>
  <si>
    <t>History the margin lies around 20%</t>
  </si>
  <si>
    <t>Management notes that proposals to reform U.S. and foreign tax laws could significantly impact how U.S. multinational corporations are taxed on foreign earnings and could increase the U.S. corporate tax rate. Although they cannot predict whether or in what form these proposals will pass, several of the proposals considered, if enacted into law, could have an adverse impact on our effective tax rate, income tax expense and cash flows management added.</t>
  </si>
  <si>
    <t>As of May 31, 2022, NIKE had cash, cash equivalents and short-term investments totaling $13.0 billion, primarily consisting of commercial paper, corporate notes, deposits held at major banks, money market funds, U.S. government sponsored enterprise obligations, U.S. Treasury obligations and other investment grade fixed-income securities. Management note they may continue to issue commercial paper or other debt securities depending on general corporate needs, hence likely to be raise debt marginally</t>
  </si>
  <si>
    <t>On March 11, 2022, NIKE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t>
  </si>
  <si>
    <t>Management notes that the scheduled maturity of Long-term debt in each of the years ending May 31, 2023 through 2027, are $500 million, $0 million, $1,000 million, $0 million and $2,000 million, respectively, at face value</t>
  </si>
  <si>
    <t>Feedback</t>
  </si>
  <si>
    <t>Forecast this based on historical trend</t>
  </si>
  <si>
    <t>EPS*Pay out ratio</t>
  </si>
  <si>
    <t>WC as a % of revenue * Revenue</t>
  </si>
  <si>
    <t>Keep this equal to 2022</t>
  </si>
  <si>
    <t>Opening debt - repayment (in cash flow)</t>
  </si>
  <si>
    <t>Opening retained earnings + Net income - Dividends paid</t>
  </si>
  <si>
    <t>2022 PPE + Capex - D&amp;A (follow the same for the other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</si>
</sst>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_(* #,##0.00_);_(* \(#,##0.00\);_(* &quot;-&quot;??_);_(@_)"/>
    <numFmt numFmtId="166" formatCode="_(* #,##0_);_(* \(#,##0\);_(* &quot;-&quot;??_);_(@_)"/>
    <numFmt numFmtId="167" formatCode="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b/>
      <sz val="11"/>
      <name val="Calibri"/>
      <family val="2"/>
      <scheme val="minor"/>
    </font>
    <font>
      <i/>
      <sz val="11"/>
      <name val="Calibri"/>
      <family val="2"/>
      <scheme val="minor"/>
    </font>
    <font>
      <sz val="11"/>
      <color rgb="FFFF000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rgb="FF000000"/>
      <name val="Calibri"/>
      <family val="2"/>
    </font>
    <font>
      <i/>
      <sz val="9"/>
      <color rgb="FF000000"/>
      <name val="Calibri"/>
      <family val="2"/>
    </font>
    <font>
      <sz val="11"/>
      <color theme="1"/>
      <name val="Calibri"/>
      <family val="2"/>
    </font>
    <font>
      <sz val="11"/>
      <color rgb="FFFF0000"/>
      <name val="Calibri"/>
      <family val="2"/>
    </font>
    <font>
      <i/>
      <sz val="11"/>
      <color rgb="FF000000"/>
      <name val="Calibri"/>
      <family val="2"/>
    </font>
    <font>
      <b/>
      <sz val="11"/>
      <color rgb="FFFF0000"/>
      <name val="Calibri"/>
      <family val="2"/>
    </font>
    <font>
      <sz val="11"/>
      <color rgb="FF7030A0"/>
      <name val="Calibri"/>
      <family val="2"/>
      <scheme val="minor"/>
    </font>
    <font>
      <b/>
      <sz val="11"/>
      <color rgb="FF7030A0"/>
      <name val="Calibri"/>
      <family val="2"/>
      <scheme val="minor"/>
    </font>
    <font>
      <sz val="16"/>
      <color theme="1"/>
      <name val="Times New Roman"/>
      <family val="1"/>
    </font>
    <font>
      <b/>
      <sz val="16"/>
      <color theme="1"/>
      <name val="Times New Roman"/>
      <family val="1"/>
    </font>
    <font>
      <i/>
      <sz val="9"/>
      <name val="Calibri"/>
      <family val="2"/>
    </font>
    <font>
      <b/>
      <sz val="14"/>
      <color rgb="FFFFFFFF"/>
      <name val="Calibri"/>
      <family val="2"/>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2"/>
        <bgColor indexed="64"/>
      </patternFill>
    </fill>
    <fill>
      <patternFill patternType="solid">
        <fgColor rgb="FF002060"/>
        <bgColor rgb="FF000000"/>
      </patternFill>
    </fill>
    <fill>
      <patternFill patternType="solid">
        <fgColor rgb="FF4472C4"/>
        <bgColor rgb="FFFFFFFF"/>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74">
    <xf numFmtId="0" fontId="0" fillId="0" borderId="0" xfId="0"/>
    <xf numFmtId="0" fontId="2" fillId="0" borderId="0" xfId="0" applyFont="1"/>
    <xf numFmtId="0" fontId="0" fillId="0" borderId="0" xfId="0" applyAlignment="1">
      <alignment horizontal="left" indent="1"/>
    </xf>
    <xf numFmtId="166" fontId="0" fillId="0" borderId="0" xfId="1" applyNumberFormat="1" applyFont="1"/>
    <xf numFmtId="0" fontId="2" fillId="0" borderId="1" xfId="0" applyFont="1" applyBorder="1"/>
    <xf numFmtId="166" fontId="2" fillId="0" borderId="1" xfId="1" applyNumberFormat="1" applyFont="1" applyBorder="1"/>
    <xf numFmtId="0" fontId="2" fillId="0" borderId="2" xfId="0" applyFont="1" applyBorder="1"/>
    <xf numFmtId="166" fontId="2" fillId="0" borderId="2" xfId="1" applyNumberFormat="1" applyFont="1" applyBorder="1"/>
    <xf numFmtId="3" fontId="0" fillId="0" borderId="0" xfId="0" applyNumberFormat="1"/>
    <xf numFmtId="166"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6"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6" fontId="0" fillId="0" borderId="1" xfId="1" applyNumberFormat="1" applyFont="1" applyBorder="1"/>
    <xf numFmtId="0" fontId="0" fillId="0" borderId="1" xfId="0" applyBorder="1" applyAlignment="1">
      <alignment horizontal="left" indent="1"/>
    </xf>
    <xf numFmtId="0" fontId="0" fillId="0" borderId="3" xfId="0" applyBorder="1"/>
    <xf numFmtId="166" fontId="0" fillId="0" borderId="3" xfId="1" applyNumberFormat="1" applyFont="1" applyBorder="1"/>
    <xf numFmtId="0" fontId="2" fillId="0" borderId="4" xfId="0" applyFont="1" applyBorder="1" applyAlignment="1">
      <alignment horizontal="left"/>
    </xf>
    <xf numFmtId="166"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7"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7" fontId="12" fillId="0" borderId="0" xfId="2" applyNumberFormat="1" applyFont="1"/>
    <xf numFmtId="0" fontId="11" fillId="0" borderId="1" xfId="0" applyFont="1" applyBorder="1"/>
    <xf numFmtId="167" fontId="12" fillId="0" borderId="2" xfId="2" applyNumberFormat="1" applyFont="1" applyBorder="1"/>
    <xf numFmtId="167" fontId="12" fillId="0" borderId="1" xfId="2" applyNumberFormat="1" applyFont="1" applyBorder="1"/>
    <xf numFmtId="0" fontId="2" fillId="6" borderId="0" xfId="0" applyFont="1" applyFill="1"/>
    <xf numFmtId="166" fontId="6" fillId="4" borderId="0" xfId="4" applyNumberFormat="1" applyFont="1" applyBorder="1" applyAlignment="1">
      <alignment horizontal="left"/>
    </xf>
    <xf numFmtId="166" fontId="2" fillId="0" borderId="0" xfId="1" applyNumberFormat="1" applyFont="1" applyBorder="1"/>
    <xf numFmtId="166" fontId="13" fillId="0" borderId="0" xfId="1" applyNumberFormat="1" applyFont="1" applyBorder="1" applyAlignment="1">
      <alignment horizontal="left" indent="1"/>
    </xf>
    <xf numFmtId="166" fontId="2" fillId="5" borderId="0" xfId="5" applyNumberFormat="1" applyFont="1"/>
    <xf numFmtId="166" fontId="13" fillId="0" borderId="0" xfId="1" applyNumberFormat="1" applyFont="1" applyAlignment="1">
      <alignment horizontal="left" indent="2"/>
    </xf>
    <xf numFmtId="166" fontId="0" fillId="0" borderId="0" xfId="1" applyNumberFormat="1" applyFont="1" applyAlignment="1">
      <alignment horizontal="left" indent="1"/>
    </xf>
    <xf numFmtId="166" fontId="13" fillId="0" borderId="0" xfId="1" applyNumberFormat="1" applyFont="1" applyAlignment="1">
      <alignment horizontal="left" indent="1"/>
    </xf>
    <xf numFmtId="167" fontId="11" fillId="0" borderId="0" xfId="2" applyNumberFormat="1" applyFont="1" applyAlignment="1">
      <alignment horizontal="right"/>
    </xf>
    <xf numFmtId="166" fontId="2" fillId="0" borderId="0" xfId="0" applyNumberFormat="1" applyFont="1"/>
    <xf numFmtId="0" fontId="14" fillId="0" borderId="0" xfId="0" applyFont="1" applyAlignment="1">
      <alignment horizontal="left" indent="1"/>
    </xf>
    <xf numFmtId="166" fontId="14" fillId="0" borderId="0" xfId="1" applyNumberFormat="1" applyFont="1"/>
    <xf numFmtId="166"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7" fontId="17" fillId="0" borderId="0" xfId="2" applyNumberFormat="1" applyFont="1"/>
    <xf numFmtId="0" fontId="17" fillId="0" borderId="0" xfId="0" applyFont="1" applyAlignment="1">
      <alignment horizontal="left" indent="2"/>
    </xf>
    <xf numFmtId="167" fontId="0" fillId="0" borderId="2" xfId="2" applyNumberFormat="1" applyFont="1" applyBorder="1"/>
    <xf numFmtId="167" fontId="18" fillId="0" borderId="1" xfId="2" applyNumberFormat="1" applyFont="1" applyBorder="1"/>
    <xf numFmtId="167" fontId="2" fillId="0" borderId="2" xfId="2" applyNumberFormat="1" applyFont="1" applyBorder="1"/>
    <xf numFmtId="3" fontId="2" fillId="0" borderId="0" xfId="0" applyNumberFormat="1" applyFont="1"/>
    <xf numFmtId="167" fontId="0" fillId="0" borderId="0" xfId="2" applyNumberFormat="1" applyFont="1"/>
    <xf numFmtId="167" fontId="19" fillId="0" borderId="0" xfId="2" applyNumberFormat="1" applyFont="1" applyAlignment="1">
      <alignment horizontal="right"/>
    </xf>
    <xf numFmtId="167" fontId="0" fillId="0" borderId="0" xfId="2" applyNumberFormat="1" applyFont="1" applyAlignment="1">
      <alignment horizontal="right"/>
    </xf>
    <xf numFmtId="167" fontId="20" fillId="0" borderId="0" xfId="2" applyNumberFormat="1" applyFont="1" applyAlignment="1">
      <alignment horizontal="right"/>
    </xf>
    <xf numFmtId="3" fontId="21" fillId="0" borderId="0" xfId="0" applyNumberFormat="1" applyFont="1"/>
    <xf numFmtId="37" fontId="2" fillId="0" borderId="0" xfId="0" applyNumberFormat="1" applyFont="1"/>
    <xf numFmtId="166" fontId="11" fillId="0" borderId="0" xfId="1" applyNumberFormat="1" applyFont="1" applyAlignment="1">
      <alignment horizontal="left" indent="1"/>
    </xf>
    <xf numFmtId="166" fontId="2" fillId="0" borderId="0" xfId="1" applyNumberFormat="1" applyFont="1" applyAlignment="1">
      <alignment horizontal="left" indent="1"/>
    </xf>
    <xf numFmtId="0" fontId="2" fillId="0" borderId="0" xfId="2" applyNumberFormat="1" applyFont="1" applyAlignment="1">
      <alignment horizontal="right"/>
    </xf>
    <xf numFmtId="0" fontId="2" fillId="0" borderId="0" xfId="2" applyNumberFormat="1" applyFont="1"/>
    <xf numFmtId="3" fontId="22" fillId="0" borderId="0" xfId="0" applyNumberFormat="1" applyFont="1"/>
    <xf numFmtId="167" fontId="15" fillId="0" borderId="0" xfId="2" applyNumberFormat="1" applyFont="1"/>
    <xf numFmtId="167" fontId="23" fillId="0" borderId="0" xfId="2" applyNumberFormat="1" applyFont="1" applyAlignment="1">
      <alignment horizontal="right"/>
    </xf>
    <xf numFmtId="166" fontId="22" fillId="0" borderId="0" xfId="0" applyNumberFormat="1" applyFont="1"/>
    <xf numFmtId="0" fontId="22" fillId="6" borderId="0" xfId="0" applyFont="1" applyFill="1"/>
    <xf numFmtId="167" fontId="15" fillId="0" borderId="0" xfId="0" applyNumberFormat="1" applyFont="1"/>
    <xf numFmtId="167" fontId="15" fillId="0" borderId="0" xfId="2" applyNumberFormat="1" applyFont="1" applyAlignment="1">
      <alignment horizontal="right"/>
    </xf>
    <xf numFmtId="37" fontId="22" fillId="0" borderId="0" xfId="0" applyNumberFormat="1" applyFont="1"/>
    <xf numFmtId="166" fontId="0" fillId="0" borderId="0" xfId="0" applyNumberFormat="1"/>
    <xf numFmtId="164" fontId="0" fillId="0" borderId="0" xfId="0" applyNumberFormat="1"/>
    <xf numFmtId="164" fontId="2" fillId="0" borderId="0" xfId="0" applyNumberFormat="1" applyFont="1"/>
    <xf numFmtId="166" fontId="24" fillId="0" borderId="0" xfId="0" applyNumberFormat="1" applyFont="1"/>
    <xf numFmtId="164" fontId="5" fillId="0" borderId="0" xfId="0" applyNumberFormat="1" applyFont="1"/>
    <xf numFmtId="167" fontId="20" fillId="7" borderId="0" xfId="2" applyNumberFormat="1" applyFont="1" applyFill="1" applyAlignment="1">
      <alignment horizontal="right"/>
    </xf>
    <xf numFmtId="167" fontId="23" fillId="7" borderId="0" xfId="2" applyNumberFormat="1" applyFont="1" applyFill="1" applyAlignment="1">
      <alignment horizontal="right"/>
    </xf>
    <xf numFmtId="167" fontId="15" fillId="7" borderId="0" xfId="2" applyNumberFormat="1" applyFont="1" applyFill="1"/>
    <xf numFmtId="167" fontId="15" fillId="7" borderId="0" xfId="0" applyNumberFormat="1" applyFont="1" applyFill="1"/>
    <xf numFmtId="167" fontId="15" fillId="7" borderId="0" xfId="2" applyNumberFormat="1" applyFont="1" applyFill="1" applyAlignment="1">
      <alignment horizontal="right"/>
    </xf>
    <xf numFmtId="167" fontId="0" fillId="7" borderId="0" xfId="2" applyNumberFormat="1" applyFont="1" applyFill="1"/>
    <xf numFmtId="167" fontId="0" fillId="7" borderId="0" xfId="0" applyNumberFormat="1" applyFill="1"/>
    <xf numFmtId="38" fontId="22" fillId="0" borderId="0" xfId="0" applyNumberFormat="1" applyFont="1"/>
    <xf numFmtId="0" fontId="25" fillId="8" borderId="0" xfId="0" applyFont="1" applyFill="1" applyAlignment="1">
      <alignment vertical="center" wrapText="1"/>
    </xf>
    <xf numFmtId="0" fontId="28" fillId="8" borderId="0" xfId="0" applyFont="1" applyFill="1" applyAlignment="1">
      <alignment horizontal="right"/>
    </xf>
    <xf numFmtId="166" fontId="28" fillId="9" borderId="0" xfId="4" applyNumberFormat="1" applyFont="1" applyFill="1" applyBorder="1" applyAlignment="1">
      <alignment horizontal="left"/>
    </xf>
    <xf numFmtId="0" fontId="29" fillId="0" borderId="0" xfId="0" applyFont="1"/>
    <xf numFmtId="166" fontId="29" fillId="0" borderId="0" xfId="1" applyNumberFormat="1" applyFont="1" applyFill="1" applyBorder="1"/>
    <xf numFmtId="166" fontId="31" fillId="0" borderId="0" xfId="1" applyNumberFormat="1" applyFont="1" applyFill="1" applyBorder="1" applyAlignment="1">
      <alignment horizontal="left" indent="1"/>
    </xf>
    <xf numFmtId="167" fontId="31" fillId="0" borderId="0" xfId="2" applyNumberFormat="1" applyFont="1" applyFill="1" applyBorder="1" applyAlignment="1">
      <alignment horizontal="right"/>
    </xf>
    <xf numFmtId="166" fontId="30" fillId="0" borderId="0" xfId="1" applyNumberFormat="1" applyFont="1" applyFill="1" applyBorder="1" applyAlignment="1">
      <alignment horizontal="left"/>
    </xf>
    <xf numFmtId="166" fontId="30" fillId="0" borderId="0" xfId="1" applyNumberFormat="1" applyFont="1" applyFill="1" applyBorder="1"/>
    <xf numFmtId="0" fontId="29" fillId="0" borderId="1" xfId="0" applyFont="1" applyBorder="1"/>
    <xf numFmtId="166" fontId="29" fillId="0" borderId="1" xfId="1" applyNumberFormat="1" applyFont="1" applyFill="1" applyBorder="1"/>
    <xf numFmtId="0" fontId="32" fillId="0" borderId="0" xfId="0" applyFont="1" applyAlignment="1">
      <alignment horizontal="left" indent="1"/>
    </xf>
    <xf numFmtId="166" fontId="32" fillId="0" borderId="0" xfId="1" applyNumberFormat="1" applyFont="1" applyFill="1" applyBorder="1"/>
    <xf numFmtId="0" fontId="32" fillId="0" borderId="0" xfId="0" applyFont="1"/>
    <xf numFmtId="166" fontId="31" fillId="0" borderId="0" xfId="1" applyNumberFormat="1" applyFont="1" applyFill="1" applyBorder="1" applyAlignment="1">
      <alignment horizontal="left"/>
    </xf>
    <xf numFmtId="0" fontId="29" fillId="0" borderId="2" xfId="0" applyFont="1" applyBorder="1"/>
    <xf numFmtId="166" fontId="29" fillId="0" borderId="2" xfId="1" applyNumberFormat="1" applyFont="1" applyFill="1" applyBorder="1"/>
    <xf numFmtId="165" fontId="32" fillId="0" borderId="0" xfId="1" applyFont="1" applyFill="1" applyBorder="1"/>
    <xf numFmtId="0" fontId="28" fillId="9" borderId="0" xfId="4" applyFont="1" applyFill="1" applyBorder="1"/>
    <xf numFmtId="0" fontId="32" fillId="0" borderId="0" xfId="0" applyFont="1" applyAlignment="1">
      <alignment horizontal="left"/>
    </xf>
    <xf numFmtId="165" fontId="33" fillId="0" borderId="0" xfId="1" applyFont="1" applyFill="1" applyBorder="1"/>
    <xf numFmtId="166" fontId="32" fillId="0" borderId="0" xfId="0" applyNumberFormat="1" applyFont="1"/>
    <xf numFmtId="0" fontId="29" fillId="0" borderId="4" xfId="0" applyFont="1" applyBorder="1"/>
    <xf numFmtId="166" fontId="29" fillId="0" borderId="4" xfId="1" applyNumberFormat="1" applyFont="1" applyFill="1" applyBorder="1"/>
    <xf numFmtId="167" fontId="34" fillId="0" borderId="0" xfId="2" applyNumberFormat="1" applyFont="1" applyFill="1" applyBorder="1" applyAlignment="1">
      <alignment horizontal="right"/>
    </xf>
    <xf numFmtId="167" fontId="34" fillId="0" borderId="0" xfId="2" applyNumberFormat="1" applyFont="1" applyFill="1" applyBorder="1"/>
    <xf numFmtId="166" fontId="35" fillId="0" borderId="0" xfId="0" applyNumberFormat="1" applyFont="1"/>
    <xf numFmtId="0" fontId="35" fillId="0" borderId="0" xfId="0" applyFont="1"/>
    <xf numFmtId="0" fontId="36" fillId="0" borderId="0" xfId="0" applyFont="1"/>
    <xf numFmtId="3" fontId="36" fillId="0" borderId="0" xfId="0" applyNumberFormat="1" applyFont="1"/>
    <xf numFmtId="0" fontId="37" fillId="0" borderId="0" xfId="0" applyFont="1"/>
    <xf numFmtId="3" fontId="37" fillId="0" borderId="0" xfId="0" applyNumberFormat="1" applyFont="1"/>
    <xf numFmtId="166" fontId="19" fillId="0" borderId="0" xfId="2" applyNumberFormat="1" applyFont="1" applyAlignment="1">
      <alignment horizontal="right"/>
    </xf>
    <xf numFmtId="1" fontId="2" fillId="0" borderId="0" xfId="0" applyNumberFormat="1" applyFont="1"/>
    <xf numFmtId="1" fontId="22" fillId="0" borderId="0" xfId="2" applyNumberFormat="1" applyFont="1"/>
    <xf numFmtId="1" fontId="23" fillId="7" borderId="0" xfId="2" applyNumberFormat="1" applyFont="1" applyFill="1" applyAlignment="1">
      <alignment horizontal="right"/>
    </xf>
    <xf numFmtId="3" fontId="15" fillId="7" borderId="0" xfId="2" applyNumberFormat="1" applyFont="1" applyFill="1"/>
    <xf numFmtId="3" fontId="15" fillId="0" borderId="0" xfId="2" applyNumberFormat="1" applyFont="1"/>
    <xf numFmtId="3" fontId="23" fillId="7" borderId="0" xfId="2" applyNumberFormat="1" applyFont="1" applyFill="1" applyAlignment="1">
      <alignment horizontal="right"/>
    </xf>
    <xf numFmtId="3" fontId="22" fillId="6" borderId="0" xfId="0" applyNumberFormat="1" applyFont="1" applyFill="1"/>
    <xf numFmtId="3" fontId="20" fillId="7" borderId="0" xfId="2" applyNumberFormat="1" applyFont="1" applyFill="1" applyAlignment="1">
      <alignment horizontal="right"/>
    </xf>
    <xf numFmtId="37" fontId="23" fillId="0" borderId="0" xfId="2" applyNumberFormat="1" applyFont="1" applyAlignment="1">
      <alignment horizontal="right"/>
    </xf>
    <xf numFmtId="164" fontId="22" fillId="0" borderId="0" xfId="0" applyNumberFormat="1" applyFont="1"/>
    <xf numFmtId="164" fontId="29" fillId="0" borderId="4" xfId="1" applyNumberFormat="1" applyFont="1" applyFill="1" applyBorder="1"/>
    <xf numFmtId="4" fontId="23" fillId="7" borderId="0" xfId="2" applyNumberFormat="1" applyFont="1" applyFill="1" applyAlignment="1">
      <alignment horizontal="right"/>
    </xf>
    <xf numFmtId="0" fontId="15" fillId="0" borderId="0" xfId="0" applyFont="1" applyAlignment="1">
      <alignment horizontal="left"/>
    </xf>
    <xf numFmtId="9" fontId="0" fillId="0" borderId="0" xfId="0" applyNumberFormat="1"/>
    <xf numFmtId="0" fontId="38" fillId="0" borderId="0" xfId="0" applyFont="1"/>
    <xf numFmtId="0" fontId="39" fillId="0" borderId="0" xfId="0" applyFont="1"/>
    <xf numFmtId="0" fontId="38" fillId="0" borderId="0" xfId="0" applyFont="1" applyAlignment="1">
      <alignment horizontal="left"/>
    </xf>
    <xf numFmtId="164" fontId="29" fillId="0" borderId="0" xfId="1" applyNumberFormat="1" applyFont="1" applyFill="1" applyBorder="1"/>
    <xf numFmtId="167" fontId="22" fillId="0" borderId="0" xfId="2" applyNumberFormat="1" applyFont="1"/>
    <xf numFmtId="3" fontId="24" fillId="0" borderId="0" xfId="0" applyNumberFormat="1" applyFont="1"/>
    <xf numFmtId="167" fontId="0" fillId="0" borderId="0" xfId="0" applyNumberFormat="1"/>
    <xf numFmtId="9" fontId="0" fillId="0" borderId="0" xfId="2" applyFont="1"/>
    <xf numFmtId="167" fontId="40" fillId="0" borderId="0" xfId="2" applyNumberFormat="1" applyFont="1" applyFill="1" applyBorder="1" applyAlignment="1">
      <alignment horizontal="right"/>
    </xf>
    <xf numFmtId="167" fontId="30" fillId="0" borderId="0" xfId="2" applyNumberFormat="1" applyFont="1" applyFill="1" applyBorder="1" applyAlignment="1">
      <alignment horizontal="right"/>
    </xf>
    <xf numFmtId="164" fontId="15" fillId="0" borderId="0" xfId="0" applyNumberFormat="1" applyFont="1"/>
    <xf numFmtId="164" fontId="24" fillId="0" borderId="0" xfId="0" applyNumberFormat="1" applyFont="1"/>
    <xf numFmtId="0" fontId="2" fillId="0" borderId="0" xfId="0" applyFont="1" applyFill="1" applyAlignment="1">
      <alignment horizontal="left"/>
    </xf>
    <xf numFmtId="3" fontId="22" fillId="0" borderId="0" xfId="0" applyNumberFormat="1" applyFont="1" applyFill="1" applyAlignment="1">
      <alignment horizontal="left"/>
    </xf>
    <xf numFmtId="167" fontId="15" fillId="0" borderId="0" xfId="2" applyNumberFormat="1" applyFont="1" applyFill="1" applyAlignment="1">
      <alignment horizontal="left"/>
    </xf>
    <xf numFmtId="1" fontId="23" fillId="0" borderId="0" xfId="2" applyNumberFormat="1" applyFont="1" applyFill="1" applyAlignment="1">
      <alignment horizontal="left"/>
    </xf>
    <xf numFmtId="3" fontId="15" fillId="0" borderId="0" xfId="2" applyNumberFormat="1" applyFont="1" applyFill="1" applyAlignment="1">
      <alignment horizontal="left"/>
    </xf>
    <xf numFmtId="167" fontId="23" fillId="0" borderId="0" xfId="2" applyNumberFormat="1" applyFont="1" applyFill="1" applyAlignment="1">
      <alignment horizontal="left"/>
    </xf>
    <xf numFmtId="166" fontId="29" fillId="0" borderId="0" xfId="1" applyNumberFormat="1" applyFont="1" applyFill="1" applyBorder="1" applyAlignment="1">
      <alignment horizontal="left"/>
    </xf>
    <xf numFmtId="3" fontId="23" fillId="0" borderId="0" xfId="2" applyNumberFormat="1" applyFont="1" applyFill="1" applyAlignment="1">
      <alignment horizontal="left"/>
    </xf>
    <xf numFmtId="4" fontId="23" fillId="0" borderId="0" xfId="2" applyNumberFormat="1" applyFont="1" applyFill="1" applyAlignment="1">
      <alignment horizontal="left"/>
    </xf>
    <xf numFmtId="167" fontId="19" fillId="0" borderId="0" xfId="2" applyNumberFormat="1" applyFont="1" applyFill="1" applyAlignment="1">
      <alignment horizontal="left"/>
    </xf>
    <xf numFmtId="167" fontId="31" fillId="0" borderId="0" xfId="2" applyNumberFormat="1" applyFont="1" applyFill="1" applyBorder="1" applyAlignment="1">
      <alignment horizontal="left"/>
    </xf>
    <xf numFmtId="3" fontId="15" fillId="0" borderId="0" xfId="0" applyNumberFormat="1" applyFont="1" applyFill="1" applyAlignment="1">
      <alignment horizontal="left"/>
    </xf>
    <xf numFmtId="3" fontId="24" fillId="0" borderId="0" xfId="0" applyNumberFormat="1" applyFont="1" applyFill="1" applyAlignment="1">
      <alignment horizontal="left"/>
    </xf>
    <xf numFmtId="165" fontId="33" fillId="0" borderId="0" xfId="1" applyFont="1" applyFill="1" applyBorder="1" applyAlignment="1">
      <alignment horizontal="left"/>
    </xf>
    <xf numFmtId="3" fontId="20" fillId="0" borderId="0" xfId="2" applyNumberFormat="1" applyFont="1" applyFill="1" applyAlignment="1">
      <alignment horizontal="left"/>
    </xf>
    <xf numFmtId="166" fontId="19" fillId="0" borderId="0" xfId="2" applyNumberFormat="1" applyFont="1" applyFill="1" applyAlignment="1">
      <alignment horizontal="left"/>
    </xf>
    <xf numFmtId="37" fontId="23" fillId="0" borderId="0" xfId="2" applyNumberFormat="1" applyFont="1" applyFill="1" applyAlignment="1">
      <alignment horizontal="left"/>
    </xf>
    <xf numFmtId="164" fontId="24" fillId="0" borderId="0" xfId="0" applyNumberFormat="1" applyFont="1" applyFill="1" applyAlignment="1">
      <alignment horizontal="left"/>
    </xf>
    <xf numFmtId="164" fontId="29" fillId="0" borderId="0" xfId="1" applyNumberFormat="1" applyFont="1" applyFill="1" applyBorder="1" applyAlignment="1">
      <alignment horizontal="left"/>
    </xf>
    <xf numFmtId="164" fontId="15" fillId="0" borderId="0" xfId="0" applyNumberFormat="1" applyFont="1" applyFill="1" applyAlignment="1">
      <alignment horizontal="left"/>
    </xf>
    <xf numFmtId="166" fontId="32" fillId="0" borderId="0" xfId="1" applyNumberFormat="1" applyFont="1" applyFill="1" applyBorder="1" applyAlignment="1">
      <alignment horizontal="left"/>
    </xf>
    <xf numFmtId="166" fontId="35" fillId="0" borderId="0" xfId="0" applyNumberFormat="1" applyFont="1" applyFill="1" applyAlignment="1">
      <alignment horizontal="left"/>
    </xf>
    <xf numFmtId="167" fontId="0" fillId="0" borderId="0" xfId="2" applyNumberFormat="1" applyFont="1" applyFill="1" applyAlignment="1">
      <alignment horizontal="left"/>
    </xf>
    <xf numFmtId="0" fontId="0" fillId="0" borderId="0" xfId="0" applyFill="1" applyAlignment="1">
      <alignment horizontal="left"/>
    </xf>
    <xf numFmtId="0" fontId="41" fillId="8" borderId="0" xfId="0" applyFont="1" applyFill="1" applyAlignment="1">
      <alignment horizontal="lef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opLeftCell="A11" workbookViewId="0">
      <selection activeCell="A19" sqref="A19"/>
    </sheetView>
  </sheetViews>
  <sheetFormatPr defaultRowHeight="14.4" x14ac:dyDescent="0.3"/>
  <cols>
    <col min="1" max="1" width="176.109375" style="19" customWidth="1"/>
  </cols>
  <sheetData>
    <row r="1" spans="1:1" ht="23.4" x14ac:dyDescent="0.45">
      <c r="A1" s="18" t="s">
        <v>20</v>
      </c>
    </row>
    <row r="2" spans="1:1" ht="21" x14ac:dyDescent="0.4">
      <c r="A2" s="137" t="s">
        <v>201</v>
      </c>
    </row>
    <row r="3" spans="1:1" ht="20.399999999999999" x14ac:dyDescent="0.35">
      <c r="A3" s="138" t="s">
        <v>199</v>
      </c>
    </row>
    <row r="4" spans="1:1" ht="21" x14ac:dyDescent="0.4">
      <c r="A4" s="139" t="s">
        <v>202</v>
      </c>
    </row>
    <row r="5" spans="1:1" ht="21" x14ac:dyDescent="0.4">
      <c r="A5" s="137" t="s">
        <v>203</v>
      </c>
    </row>
    <row r="6" spans="1:1" ht="21" x14ac:dyDescent="0.4">
      <c r="A6" s="137" t="s">
        <v>204</v>
      </c>
    </row>
    <row r="7" spans="1:1" ht="21" x14ac:dyDescent="0.4">
      <c r="A7" s="137" t="s">
        <v>205</v>
      </c>
    </row>
    <row r="8" spans="1:1" ht="21" x14ac:dyDescent="0.4">
      <c r="A8" s="137"/>
    </row>
    <row r="9" spans="1:1" ht="20.399999999999999" x14ac:dyDescent="0.35">
      <c r="A9" s="138" t="s">
        <v>206</v>
      </c>
    </row>
    <row r="10" spans="1:1" ht="21" x14ac:dyDescent="0.4">
      <c r="A10" s="137" t="s">
        <v>207</v>
      </c>
    </row>
    <row r="11" spans="1:1" ht="21" x14ac:dyDescent="0.4">
      <c r="A11" s="137" t="s">
        <v>208</v>
      </c>
    </row>
    <row r="12" spans="1:1" ht="21" x14ac:dyDescent="0.4">
      <c r="A12" s="137" t="s">
        <v>209</v>
      </c>
    </row>
    <row r="13" spans="1:1" ht="21" x14ac:dyDescent="0.4">
      <c r="A13" s="137" t="s">
        <v>210</v>
      </c>
    </row>
    <row r="14" spans="1:1" ht="21" x14ac:dyDescent="0.4">
      <c r="A14" s="137" t="s">
        <v>211</v>
      </c>
    </row>
    <row r="15" spans="1:1" ht="20.399999999999999" x14ac:dyDescent="0.35">
      <c r="A15" s="138" t="s">
        <v>212</v>
      </c>
    </row>
    <row r="16" spans="1:1" ht="21" x14ac:dyDescent="0.4">
      <c r="A16" s="137" t="s">
        <v>213</v>
      </c>
    </row>
    <row r="17" spans="1:1" ht="21" x14ac:dyDescent="0.4">
      <c r="A17" s="137" t="s">
        <v>214</v>
      </c>
    </row>
    <row r="18" spans="1:1" ht="21" x14ac:dyDescent="0.4">
      <c r="A18" s="137" t="s">
        <v>215</v>
      </c>
    </row>
    <row r="19" spans="1:1" ht="20.399999999999999" x14ac:dyDescent="0.35">
      <c r="A19" s="138" t="s">
        <v>216</v>
      </c>
    </row>
    <row r="20" spans="1:1" ht="21" x14ac:dyDescent="0.4">
      <c r="A20" s="137" t="s">
        <v>217</v>
      </c>
    </row>
    <row r="21" spans="1:1" ht="21" x14ac:dyDescent="0.4">
      <c r="A21" s="137" t="s">
        <v>218</v>
      </c>
    </row>
    <row r="22" spans="1:1" ht="21" x14ac:dyDescent="0.4">
      <c r="A22" s="137" t="s">
        <v>219</v>
      </c>
    </row>
    <row r="23" spans="1:1" ht="21" x14ac:dyDescent="0.4">
      <c r="A23" s="137"/>
    </row>
    <row r="24" spans="1:1" ht="21" x14ac:dyDescent="0.4">
      <c r="A24" s="137" t="s">
        <v>220</v>
      </c>
    </row>
    <row r="26" spans="1:1" x14ac:dyDescent="0.3">
      <c r="A26" s="19" t="s">
        <v>221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8"/>
  <sheetViews>
    <sheetView workbookViewId="0">
      <pane ySplit="1" topLeftCell="A91" activePane="bottomLeft" state="frozen"/>
      <selection pane="bottomLeft" activeCell="B173" sqref="B173"/>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12"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2" x14ac:dyDescent="0.3">
      <c r="A2" t="s">
        <v>27</v>
      </c>
      <c r="B2" s="3">
        <v>30601</v>
      </c>
      <c r="C2" s="3">
        <v>32376</v>
      </c>
      <c r="D2" s="3">
        <v>34350</v>
      </c>
      <c r="E2" s="3">
        <v>36397</v>
      </c>
      <c r="F2" s="3">
        <v>39117</v>
      </c>
      <c r="G2" s="3">
        <v>37403</v>
      </c>
      <c r="H2" s="3">
        <v>44538</v>
      </c>
      <c r="I2" s="3">
        <v>46710</v>
      </c>
    </row>
    <row r="3" spans="1:12" x14ac:dyDescent="0.3">
      <c r="A3" s="22" t="s">
        <v>28</v>
      </c>
      <c r="B3" s="23">
        <v>16534</v>
      </c>
      <c r="C3" s="23">
        <v>17405</v>
      </c>
      <c r="D3" s="23">
        <v>19038</v>
      </c>
      <c r="E3" s="23">
        <v>20441</v>
      </c>
      <c r="F3" s="23">
        <v>21643</v>
      </c>
      <c r="G3" s="23">
        <v>21162</v>
      </c>
      <c r="H3" s="23">
        <v>24576</v>
      </c>
      <c r="I3" s="23">
        <v>25231</v>
      </c>
    </row>
    <row r="4" spans="1:12"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2" x14ac:dyDescent="0.3">
      <c r="A5" s="11" t="s">
        <v>21</v>
      </c>
      <c r="B5" s="3">
        <v>3213</v>
      </c>
      <c r="C5" s="3">
        <v>3278</v>
      </c>
      <c r="D5" s="3">
        <v>3341</v>
      </c>
      <c r="E5" s="3">
        <v>3577</v>
      </c>
      <c r="F5" s="3">
        <v>3753</v>
      </c>
      <c r="G5" s="3">
        <v>3592</v>
      </c>
      <c r="H5" s="3">
        <v>3114</v>
      </c>
      <c r="I5" s="3">
        <v>3850</v>
      </c>
    </row>
    <row r="6" spans="1:12" x14ac:dyDescent="0.3">
      <c r="A6" s="11" t="s">
        <v>22</v>
      </c>
      <c r="B6" s="3">
        <v>6679</v>
      </c>
      <c r="C6" s="3">
        <v>7191</v>
      </c>
      <c r="D6" s="3">
        <v>7222</v>
      </c>
      <c r="E6" s="3">
        <v>7934</v>
      </c>
      <c r="F6" s="3">
        <v>8949</v>
      </c>
      <c r="G6" s="3">
        <v>9534</v>
      </c>
      <c r="H6" s="3">
        <v>9911</v>
      </c>
      <c r="I6" s="3">
        <v>10954</v>
      </c>
    </row>
    <row r="7" spans="1:12"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12" x14ac:dyDescent="0.3">
      <c r="A8" s="2" t="s">
        <v>24</v>
      </c>
      <c r="B8" s="3">
        <v>28</v>
      </c>
      <c r="C8" s="3">
        <v>19</v>
      </c>
      <c r="D8" s="3">
        <v>59</v>
      </c>
      <c r="E8" s="3">
        <v>54</v>
      </c>
      <c r="F8" s="3">
        <v>49</v>
      </c>
      <c r="G8" s="3">
        <v>89</v>
      </c>
      <c r="H8" s="3">
        <v>262</v>
      </c>
      <c r="I8" s="3">
        <v>205</v>
      </c>
    </row>
    <row r="9" spans="1:12" x14ac:dyDescent="0.3">
      <c r="A9" s="2" t="s">
        <v>5</v>
      </c>
      <c r="B9" s="3">
        <v>-58</v>
      </c>
      <c r="C9" s="3">
        <v>-140</v>
      </c>
      <c r="D9" s="3">
        <v>-196</v>
      </c>
      <c r="E9" s="3">
        <v>66</v>
      </c>
      <c r="F9" s="3">
        <v>-78</v>
      </c>
      <c r="G9" s="3">
        <v>139</v>
      </c>
      <c r="H9" s="3">
        <v>14</v>
      </c>
      <c r="I9" s="3">
        <v>-181</v>
      </c>
    </row>
    <row r="10" spans="1:12"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2" x14ac:dyDescent="0.3">
      <c r="A11" s="2" t="s">
        <v>26</v>
      </c>
      <c r="B11" s="3">
        <v>932</v>
      </c>
      <c r="C11" s="3">
        <v>863</v>
      </c>
      <c r="D11" s="3">
        <v>646</v>
      </c>
      <c r="E11" s="3">
        <v>2392</v>
      </c>
      <c r="F11" s="3">
        <v>772</v>
      </c>
      <c r="G11" s="3">
        <v>348</v>
      </c>
      <c r="H11" s="3">
        <v>934</v>
      </c>
      <c r="I11" s="3">
        <v>605</v>
      </c>
    </row>
    <row r="12" spans="1:12"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L12" s="77"/>
    </row>
    <row r="13" spans="1:12" ht="15" thickTop="1" x14ac:dyDescent="0.3">
      <c r="A13" s="1" t="s">
        <v>8</v>
      </c>
    </row>
    <row r="14" spans="1:12" x14ac:dyDescent="0.3">
      <c r="A14" s="2" t="s">
        <v>6</v>
      </c>
      <c r="B14">
        <v>1.9</v>
      </c>
      <c r="C14">
        <v>2.21</v>
      </c>
      <c r="D14">
        <v>2.56</v>
      </c>
      <c r="E14">
        <v>1.19</v>
      </c>
      <c r="F14">
        <v>2.5499999999999998</v>
      </c>
      <c r="G14">
        <v>1.63</v>
      </c>
      <c r="H14">
        <v>3.64</v>
      </c>
      <c r="I14">
        <v>3.83</v>
      </c>
    </row>
    <row r="15" spans="1:12" x14ac:dyDescent="0.3">
      <c r="A15" s="2" t="s">
        <v>7</v>
      </c>
      <c r="B15">
        <v>1.85</v>
      </c>
      <c r="C15">
        <v>2.16</v>
      </c>
      <c r="D15">
        <v>2.5099999999999998</v>
      </c>
      <c r="E15">
        <v>1.17</v>
      </c>
      <c r="F15">
        <v>2.4900000000000002</v>
      </c>
      <c r="G15">
        <v>1.6</v>
      </c>
      <c r="H15">
        <v>3.56</v>
      </c>
      <c r="I15">
        <v>3.75</v>
      </c>
    </row>
    <row r="16" spans="1:12"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v>0</v>
      </c>
      <c r="C49" s="3">
        <v>0</v>
      </c>
      <c r="D49" s="3">
        <v>0</v>
      </c>
      <c r="E49" s="3">
        <v>0</v>
      </c>
      <c r="F49" s="3">
        <v>0</v>
      </c>
      <c r="G49" s="3"/>
      <c r="H49" s="3"/>
      <c r="I49" s="3"/>
    </row>
    <row r="50" spans="1:9" x14ac:dyDescent="0.3">
      <c r="A50" s="11" t="s">
        <v>53</v>
      </c>
      <c r="B50" s="3">
        <v>0</v>
      </c>
      <c r="C50" s="3">
        <v>0</v>
      </c>
      <c r="D50" s="3">
        <v>0</v>
      </c>
      <c r="E50" s="3">
        <v>0</v>
      </c>
      <c r="F50" s="3">
        <v>0</v>
      </c>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
        <v>0</v>
      </c>
      <c r="F53" s="3">
        <v>0</v>
      </c>
      <c r="G53" s="3"/>
      <c r="H53" s="3"/>
      <c r="I53" s="3"/>
    </row>
    <row r="54" spans="1:9" x14ac:dyDescent="0.3">
      <c r="A54" s="17" t="s">
        <v>57</v>
      </c>
      <c r="B54" s="3">
        <v>3</v>
      </c>
      <c r="C54" s="3">
        <v>3</v>
      </c>
      <c r="D54">
        <v>3</v>
      </c>
      <c r="E54">
        <v>3</v>
      </c>
      <c r="F54" s="3">
        <v>3</v>
      </c>
      <c r="G54" s="3">
        <v>3</v>
      </c>
      <c r="H54" s="3">
        <v>3</v>
      </c>
      <c r="I54" s="3">
        <v>3</v>
      </c>
    </row>
    <row r="55" spans="1:9" x14ac:dyDescent="0.3">
      <c r="A55" s="17" t="s">
        <v>58</v>
      </c>
      <c r="B55" s="3">
        <v>6773</v>
      </c>
      <c r="C55" s="3">
        <v>7786</v>
      </c>
      <c r="D55" s="8">
        <v>5710</v>
      </c>
      <c r="E55" s="8">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8">
        <v>6907</v>
      </c>
      <c r="E57" s="8">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12" s="1" customFormat="1" x14ac:dyDescent="0.3">
      <c r="A65" s="2" t="s">
        <v>65</v>
      </c>
      <c r="B65" s="3"/>
      <c r="C65" s="3"/>
      <c r="D65" s="3"/>
      <c r="E65" s="3"/>
      <c r="F65" s="3"/>
      <c r="G65" s="3"/>
      <c r="H65" s="3"/>
      <c r="I65" s="3"/>
    </row>
    <row r="66" spans="1:12" x14ac:dyDescent="0.3">
      <c r="A66" s="11" t="s">
        <v>66</v>
      </c>
      <c r="B66" s="3">
        <v>606</v>
      </c>
      <c r="C66" s="3">
        <v>649</v>
      </c>
      <c r="D66" s="3">
        <v>706</v>
      </c>
      <c r="E66" s="3">
        <v>747</v>
      </c>
      <c r="F66" s="3">
        <v>705</v>
      </c>
      <c r="G66" s="3">
        <v>721</v>
      </c>
      <c r="H66" s="3">
        <v>744</v>
      </c>
      <c r="I66" s="3">
        <v>717</v>
      </c>
    </row>
    <row r="67" spans="1:12" x14ac:dyDescent="0.3">
      <c r="A67" s="11" t="s">
        <v>67</v>
      </c>
      <c r="B67" s="3">
        <v>-113</v>
      </c>
      <c r="C67" s="3">
        <v>-80</v>
      </c>
      <c r="D67" s="3">
        <v>-273</v>
      </c>
      <c r="E67" s="3">
        <v>647</v>
      </c>
      <c r="F67" s="3">
        <v>34</v>
      </c>
      <c r="G67" s="3">
        <v>-380</v>
      </c>
      <c r="H67" s="3">
        <v>-385</v>
      </c>
      <c r="I67" s="3">
        <v>-650</v>
      </c>
    </row>
    <row r="68" spans="1:12" x14ac:dyDescent="0.3">
      <c r="A68" s="11" t="s">
        <v>68</v>
      </c>
      <c r="B68" s="3">
        <v>191</v>
      </c>
      <c r="C68" s="3">
        <v>236</v>
      </c>
      <c r="D68" s="3">
        <v>215</v>
      </c>
      <c r="E68" s="3">
        <v>218</v>
      </c>
      <c r="F68" s="3">
        <v>325</v>
      </c>
      <c r="G68" s="3">
        <v>429</v>
      </c>
      <c r="H68" s="3">
        <v>611</v>
      </c>
      <c r="I68" s="3">
        <v>638</v>
      </c>
    </row>
    <row r="69" spans="1:12" x14ac:dyDescent="0.3">
      <c r="A69" s="11" t="s">
        <v>69</v>
      </c>
      <c r="B69" s="3">
        <v>43</v>
      </c>
      <c r="C69" s="3">
        <v>13</v>
      </c>
      <c r="D69" s="3">
        <v>10</v>
      </c>
      <c r="E69" s="3">
        <v>27</v>
      </c>
      <c r="F69" s="3">
        <v>15</v>
      </c>
      <c r="G69" s="3">
        <v>398</v>
      </c>
      <c r="H69" s="3">
        <v>53</v>
      </c>
      <c r="I69" s="3">
        <v>123</v>
      </c>
    </row>
    <row r="70" spans="1:12" x14ac:dyDescent="0.3">
      <c r="A70" s="11" t="s">
        <v>70</v>
      </c>
      <c r="B70" s="3">
        <v>424</v>
      </c>
      <c r="C70" s="3">
        <v>98</v>
      </c>
      <c r="D70" s="3">
        <v>-117</v>
      </c>
      <c r="E70" s="3">
        <v>-99</v>
      </c>
      <c r="F70" s="3">
        <v>233</v>
      </c>
      <c r="G70" s="3">
        <v>23</v>
      </c>
      <c r="H70" s="3">
        <v>-138</v>
      </c>
      <c r="I70" s="3">
        <v>-26</v>
      </c>
    </row>
    <row r="71" spans="1:12" x14ac:dyDescent="0.3">
      <c r="A71" s="2" t="s">
        <v>71</v>
      </c>
      <c r="B71" s="3"/>
      <c r="C71" s="3"/>
      <c r="D71" s="3"/>
      <c r="E71" s="3"/>
      <c r="F71" s="3"/>
      <c r="G71" s="3"/>
      <c r="H71" s="3"/>
      <c r="I71" s="3"/>
    </row>
    <row r="72" spans="1:12" x14ac:dyDescent="0.3">
      <c r="A72" s="11" t="s">
        <v>72</v>
      </c>
      <c r="B72" s="3">
        <v>-216</v>
      </c>
      <c r="C72" s="3">
        <v>60</v>
      </c>
      <c r="D72" s="3">
        <v>-426</v>
      </c>
      <c r="E72" s="3">
        <v>187</v>
      </c>
      <c r="F72" s="3">
        <v>-270</v>
      </c>
      <c r="G72" s="3">
        <v>1239</v>
      </c>
      <c r="H72" s="3">
        <v>-1606</v>
      </c>
      <c r="I72" s="3">
        <v>-504</v>
      </c>
      <c r="L72" s="77"/>
    </row>
    <row r="73" spans="1:12" x14ac:dyDescent="0.3">
      <c r="A73" s="11" t="s">
        <v>73</v>
      </c>
      <c r="B73" s="3">
        <v>-621</v>
      </c>
      <c r="C73" s="3">
        <v>-590</v>
      </c>
      <c r="D73" s="3">
        <v>-231</v>
      </c>
      <c r="E73" s="3">
        <v>-255</v>
      </c>
      <c r="F73" s="3">
        <v>-490</v>
      </c>
      <c r="G73" s="3">
        <v>-1854</v>
      </c>
      <c r="H73" s="3">
        <v>507</v>
      </c>
      <c r="I73" s="3">
        <v>-1676</v>
      </c>
    </row>
    <row r="74" spans="1:12" x14ac:dyDescent="0.3">
      <c r="A74" s="11" t="s">
        <v>98</v>
      </c>
      <c r="B74" s="3">
        <v>-144</v>
      </c>
      <c r="C74" s="3">
        <v>-161</v>
      </c>
      <c r="D74" s="3">
        <v>-120</v>
      </c>
      <c r="E74" s="3">
        <v>35</v>
      </c>
      <c r="F74" s="3">
        <v>-203</v>
      </c>
      <c r="G74" s="3">
        <v>-654</v>
      </c>
      <c r="H74" s="3">
        <v>-182</v>
      </c>
      <c r="I74" s="3">
        <v>-845</v>
      </c>
    </row>
    <row r="75" spans="1:12" x14ac:dyDescent="0.3">
      <c r="A75" s="11" t="s">
        <v>97</v>
      </c>
      <c r="B75" s="3">
        <v>1237</v>
      </c>
      <c r="C75" s="3">
        <v>-889</v>
      </c>
      <c r="D75" s="3">
        <v>-158</v>
      </c>
      <c r="E75" s="3">
        <v>1515</v>
      </c>
      <c r="F75" s="3">
        <v>1525</v>
      </c>
      <c r="G75" s="3">
        <v>24</v>
      </c>
      <c r="H75" s="3">
        <v>1326</v>
      </c>
      <c r="I75" s="3">
        <v>1365</v>
      </c>
      <c r="K75" s="77"/>
    </row>
    <row r="76" spans="1:12"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12" x14ac:dyDescent="0.3">
      <c r="A77" s="1" t="s">
        <v>75</v>
      </c>
      <c r="B77" s="3"/>
      <c r="C77" s="3"/>
      <c r="D77" s="3"/>
      <c r="E77" s="3"/>
      <c r="F77" s="3"/>
      <c r="G77" s="3"/>
      <c r="H77" s="3"/>
      <c r="I77" s="3"/>
    </row>
    <row r="78" spans="1:12" x14ac:dyDescent="0.3">
      <c r="A78" s="2" t="s">
        <v>76</v>
      </c>
      <c r="B78" s="3">
        <v>-4936</v>
      </c>
      <c r="C78" s="3">
        <v>-5367</v>
      </c>
      <c r="D78" s="3">
        <v>-5928</v>
      </c>
      <c r="E78" s="3">
        <v>-4783</v>
      </c>
      <c r="F78" s="3">
        <v>-2937</v>
      </c>
      <c r="G78" s="3">
        <v>-2426</v>
      </c>
      <c r="H78" s="3">
        <v>-9961</v>
      </c>
      <c r="I78" s="3">
        <v>-12913</v>
      </c>
    </row>
    <row r="79" spans="1:12" x14ac:dyDescent="0.3">
      <c r="A79" s="2" t="s">
        <v>77</v>
      </c>
      <c r="B79" s="3">
        <v>3655</v>
      </c>
      <c r="C79" s="3">
        <v>2924</v>
      </c>
      <c r="D79" s="3">
        <v>3623</v>
      </c>
      <c r="E79" s="3">
        <v>3613</v>
      </c>
      <c r="F79" s="3">
        <v>1715</v>
      </c>
      <c r="G79" s="3">
        <v>74</v>
      </c>
      <c r="H79" s="3">
        <v>4236</v>
      </c>
      <c r="I79" s="3">
        <v>8199</v>
      </c>
    </row>
    <row r="80" spans="1:12" x14ac:dyDescent="0.3">
      <c r="A80" s="47" t="s">
        <v>140</v>
      </c>
      <c r="B80" s="48">
        <v>-150</v>
      </c>
      <c r="C80" s="48">
        <v>150</v>
      </c>
      <c r="D80" s="48">
        <v>0</v>
      </c>
      <c r="E80" s="48">
        <v>0</v>
      </c>
      <c r="F80" s="48"/>
      <c r="G80" s="48"/>
      <c r="H80" s="48"/>
      <c r="I80" s="48"/>
    </row>
    <row r="81" spans="1:9" x14ac:dyDescent="0.3">
      <c r="A81" s="47" t="s">
        <v>141</v>
      </c>
      <c r="B81" s="48">
        <v>3</v>
      </c>
      <c r="C81" s="48">
        <v>10</v>
      </c>
      <c r="D81" s="48">
        <v>13</v>
      </c>
      <c r="E81" s="48">
        <v>3</v>
      </c>
      <c r="F81" s="48"/>
      <c r="G81" s="48"/>
      <c r="H81" s="48"/>
      <c r="I81" s="48"/>
    </row>
    <row r="82" spans="1:9" x14ac:dyDescent="0.3">
      <c r="A82" s="2" t="s">
        <v>78</v>
      </c>
      <c r="B82" s="49">
        <v>2216</v>
      </c>
      <c r="C82" s="49">
        <v>2386</v>
      </c>
      <c r="D82" s="49">
        <v>2423</v>
      </c>
      <c r="E82" s="49">
        <v>2496</v>
      </c>
      <c r="F82" s="49">
        <v>2072</v>
      </c>
      <c r="G82" s="49">
        <v>2379</v>
      </c>
      <c r="H82" s="3">
        <v>2449</v>
      </c>
      <c r="I82" s="3">
        <v>3967</v>
      </c>
    </row>
    <row r="83" spans="1:9" x14ac:dyDescent="0.3">
      <c r="A83" s="2" t="s">
        <v>14</v>
      </c>
      <c r="B83" s="3">
        <v>-963</v>
      </c>
      <c r="C83" s="3">
        <v>-1143</v>
      </c>
      <c r="D83" s="3">
        <v>-1105</v>
      </c>
      <c r="E83" s="3">
        <v>-1028</v>
      </c>
      <c r="F83" s="3">
        <v>-1119</v>
      </c>
      <c r="G83" s="3">
        <v>-1086</v>
      </c>
      <c r="H83" s="3">
        <v>-695</v>
      </c>
      <c r="I83" s="3">
        <v>-758</v>
      </c>
    </row>
    <row r="84" spans="1:9" x14ac:dyDescent="0.3">
      <c r="A84" s="2" t="s">
        <v>79</v>
      </c>
      <c r="B84" s="3">
        <v>0</v>
      </c>
      <c r="C84" s="3">
        <v>6</v>
      </c>
      <c r="D84" s="3">
        <v>-34</v>
      </c>
      <c r="E84" s="3">
        <v>-25</v>
      </c>
      <c r="F84" s="3">
        <v>5</v>
      </c>
      <c r="G84" s="3">
        <v>31</v>
      </c>
      <c r="H84" s="3">
        <v>171</v>
      </c>
      <c r="I84" s="3">
        <v>-19</v>
      </c>
    </row>
    <row r="85" spans="1:9" x14ac:dyDescent="0.3">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3">
      <c r="A86" s="1" t="s">
        <v>81</v>
      </c>
      <c r="B86" s="3"/>
      <c r="C86" s="3"/>
      <c r="D86" s="3"/>
      <c r="E86" s="3"/>
      <c r="F86" s="3"/>
      <c r="G86" s="3"/>
      <c r="H86" s="3"/>
      <c r="I86" s="3"/>
    </row>
    <row r="87" spans="1:9" x14ac:dyDescent="0.3">
      <c r="A87" s="2" t="s">
        <v>82</v>
      </c>
      <c r="B87" s="3">
        <v>0</v>
      </c>
      <c r="C87" s="3">
        <v>981</v>
      </c>
      <c r="D87" s="3">
        <v>1482</v>
      </c>
      <c r="E87" s="3">
        <v>0</v>
      </c>
      <c r="F87" s="3">
        <v>0</v>
      </c>
      <c r="G87" s="3">
        <v>6134</v>
      </c>
      <c r="H87" s="3">
        <v>0</v>
      </c>
      <c r="I87" s="3">
        <v>0</v>
      </c>
    </row>
    <row r="88" spans="1:9" x14ac:dyDescent="0.3">
      <c r="A88" s="2" t="s">
        <v>83</v>
      </c>
      <c r="B88" s="3">
        <v>-63</v>
      </c>
      <c r="C88" s="3">
        <v>-67</v>
      </c>
      <c r="D88" s="3">
        <v>327</v>
      </c>
      <c r="E88" s="3">
        <v>13</v>
      </c>
      <c r="F88" s="3">
        <v>-325</v>
      </c>
      <c r="G88" s="3">
        <v>49</v>
      </c>
      <c r="H88" s="3">
        <v>-52</v>
      </c>
      <c r="I88" s="3">
        <v>15</v>
      </c>
    </row>
    <row r="89" spans="1:9" x14ac:dyDescent="0.3">
      <c r="A89" s="2" t="s">
        <v>84</v>
      </c>
      <c r="B89" s="3">
        <v>-7</v>
      </c>
      <c r="C89" s="3">
        <v>-106</v>
      </c>
      <c r="D89" s="3">
        <v>-44</v>
      </c>
      <c r="E89" s="3">
        <v>-6</v>
      </c>
      <c r="F89" s="3">
        <v>-6</v>
      </c>
      <c r="G89" s="3">
        <v>-6</v>
      </c>
      <c r="H89" s="3">
        <v>-197</v>
      </c>
      <c r="I89" s="3">
        <v>0</v>
      </c>
    </row>
    <row r="90" spans="1:9" x14ac:dyDescent="0.3">
      <c r="A90" s="2" t="s">
        <v>85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86</v>
      </c>
      <c r="B92" s="3">
        <v>-899</v>
      </c>
      <c r="C92" s="3">
        <v>-1022</v>
      </c>
      <c r="D92" s="3">
        <v>-1133</v>
      </c>
      <c r="E92" s="3">
        <v>-1243</v>
      </c>
      <c r="F92" s="3">
        <v>-1332</v>
      </c>
      <c r="G92" s="3">
        <v>-1452</v>
      </c>
      <c r="H92" s="3">
        <v>-1638</v>
      </c>
      <c r="I92" s="3">
        <v>-1837</v>
      </c>
    </row>
    <row r="93" spans="1:9" x14ac:dyDescent="0.3">
      <c r="A93" s="2" t="s">
        <v>87</v>
      </c>
      <c r="B93" s="3">
        <v>199</v>
      </c>
      <c r="C93" s="3">
        <v>274</v>
      </c>
      <c r="D93" s="3">
        <v>-46</v>
      </c>
      <c r="E93" s="3">
        <v>-78</v>
      </c>
      <c r="F93" s="3">
        <v>-44</v>
      </c>
      <c r="G93" s="3">
        <v>-52</v>
      </c>
      <c r="H93" s="3">
        <v>-136</v>
      </c>
      <c r="I93" s="3">
        <v>-151</v>
      </c>
    </row>
    <row r="94" spans="1:9" x14ac:dyDescent="0.3">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3">
      <c r="A95" s="2" t="s">
        <v>89</v>
      </c>
      <c r="B95" s="3">
        <v>-83</v>
      </c>
      <c r="C95" s="3">
        <v>-105</v>
      </c>
      <c r="D95" s="3">
        <v>-20</v>
      </c>
      <c r="E95" s="3">
        <v>45</v>
      </c>
      <c r="F95" s="3">
        <v>-129</v>
      </c>
      <c r="G95" s="3">
        <v>-66</v>
      </c>
      <c r="H95" s="3">
        <v>143</v>
      </c>
      <c r="I95" s="3">
        <v>-143</v>
      </c>
    </row>
    <row r="96" spans="1:9" x14ac:dyDescent="0.3">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3">
      <c r="A97" t="s">
        <v>91</v>
      </c>
      <c r="B97" s="3">
        <v>2220</v>
      </c>
      <c r="C97" s="3">
        <v>3852</v>
      </c>
      <c r="D97" s="3">
        <v>3138</v>
      </c>
      <c r="E97" s="3">
        <v>3808</v>
      </c>
      <c r="F97" s="3">
        <v>4249</v>
      </c>
      <c r="G97" s="3">
        <v>4466</v>
      </c>
      <c r="H97" s="3">
        <v>8348</v>
      </c>
      <c r="I97" s="3">
        <f>+H98</f>
        <v>9889</v>
      </c>
    </row>
    <row r="98" spans="1:9" ht="15" thickBot="1" x14ac:dyDescent="0.35">
      <c r="A98" s="6" t="s">
        <v>92</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 thickTop="1" x14ac:dyDescent="0.3">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3">
      <c r="A100" t="s">
        <v>93</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94</v>
      </c>
      <c r="B102" s="3">
        <v>53</v>
      </c>
      <c r="C102" s="3">
        <v>70</v>
      </c>
      <c r="D102" s="3">
        <v>98</v>
      </c>
      <c r="E102" s="3">
        <v>125</v>
      </c>
      <c r="F102" s="3">
        <v>153</v>
      </c>
      <c r="G102" s="3">
        <v>140</v>
      </c>
      <c r="H102" s="3">
        <v>293</v>
      </c>
      <c r="I102" s="3">
        <v>290</v>
      </c>
    </row>
    <row r="103" spans="1:9" x14ac:dyDescent="0.3">
      <c r="A103" s="11" t="s">
        <v>18</v>
      </c>
      <c r="B103" s="3">
        <v>1262</v>
      </c>
      <c r="C103" s="3">
        <v>748</v>
      </c>
      <c r="D103" s="3">
        <v>703</v>
      </c>
      <c r="E103" s="3">
        <v>529</v>
      </c>
      <c r="F103" s="3">
        <v>757</v>
      </c>
      <c r="G103" s="3">
        <v>1028</v>
      </c>
      <c r="H103" s="3">
        <v>1177</v>
      </c>
      <c r="I103" s="3">
        <v>1231</v>
      </c>
    </row>
    <row r="104" spans="1:9" x14ac:dyDescent="0.3">
      <c r="A104" s="11" t="s">
        <v>95</v>
      </c>
      <c r="B104" s="3">
        <v>206</v>
      </c>
      <c r="C104" s="3">
        <v>252</v>
      </c>
      <c r="D104" s="3">
        <v>266</v>
      </c>
      <c r="E104" s="3">
        <v>294</v>
      </c>
      <c r="F104" s="3">
        <v>160</v>
      </c>
      <c r="G104" s="3">
        <v>121</v>
      </c>
      <c r="H104" s="3">
        <v>179</v>
      </c>
      <c r="I104" s="3">
        <v>160</v>
      </c>
    </row>
    <row r="105" spans="1:9" x14ac:dyDescent="0.3">
      <c r="A105" s="11" t="s">
        <v>96</v>
      </c>
      <c r="B105" s="3">
        <v>240</v>
      </c>
      <c r="C105" s="3">
        <v>271</v>
      </c>
      <c r="D105" s="3">
        <v>300</v>
      </c>
      <c r="E105" s="3">
        <v>320</v>
      </c>
      <c r="F105" s="3">
        <v>347</v>
      </c>
      <c r="G105" s="3">
        <v>385</v>
      </c>
      <c r="H105" s="3">
        <v>438</v>
      </c>
      <c r="I105" s="3">
        <v>480</v>
      </c>
    </row>
    <row r="107" spans="1:9" x14ac:dyDescent="0.3">
      <c r="A107" s="14" t="s">
        <v>99</v>
      </c>
      <c r="B107" s="14"/>
      <c r="C107" s="14"/>
      <c r="D107" s="14"/>
      <c r="E107" s="14"/>
      <c r="F107" s="14"/>
      <c r="G107" s="14"/>
      <c r="H107" s="14"/>
      <c r="I107" s="14"/>
    </row>
    <row r="108" spans="1:9" x14ac:dyDescent="0.3">
      <c r="A108" s="27" t="s">
        <v>109</v>
      </c>
      <c r="B108" s="3"/>
      <c r="C108" s="3"/>
      <c r="D108" s="3"/>
      <c r="E108" s="3"/>
      <c r="F108" s="3"/>
      <c r="G108" s="3"/>
      <c r="H108" s="3"/>
      <c r="I108" s="3"/>
    </row>
    <row r="109" spans="1:9" x14ac:dyDescent="0.3">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3">
      <c r="A110" s="11" t="s">
        <v>113</v>
      </c>
      <c r="B110">
        <v>8506</v>
      </c>
      <c r="C110">
        <v>9299</v>
      </c>
      <c r="D110">
        <v>9684</v>
      </c>
      <c r="E110">
        <v>9322</v>
      </c>
      <c r="F110">
        <v>10045</v>
      </c>
      <c r="G110">
        <v>9329</v>
      </c>
      <c r="H110" s="8">
        <v>11644</v>
      </c>
      <c r="I110" s="8">
        <v>12228</v>
      </c>
    </row>
    <row r="111" spans="1:9" x14ac:dyDescent="0.3">
      <c r="A111" s="11" t="s">
        <v>114</v>
      </c>
      <c r="B111">
        <v>4410</v>
      </c>
      <c r="C111">
        <v>4746</v>
      </c>
      <c r="D111">
        <v>4886</v>
      </c>
      <c r="E111">
        <v>4938</v>
      </c>
      <c r="F111">
        <v>5260</v>
      </c>
      <c r="G111">
        <v>4639</v>
      </c>
      <c r="H111" s="8">
        <v>5028</v>
      </c>
      <c r="I111" s="8">
        <v>5492</v>
      </c>
    </row>
    <row r="112" spans="1:9" x14ac:dyDescent="0.3">
      <c r="A112" s="11" t="s">
        <v>115</v>
      </c>
      <c r="B112">
        <v>824</v>
      </c>
      <c r="C112">
        <v>719</v>
      </c>
      <c r="D112">
        <v>646</v>
      </c>
      <c r="E112">
        <v>595</v>
      </c>
      <c r="F112">
        <v>597</v>
      </c>
      <c r="G112">
        <v>516</v>
      </c>
      <c r="H112">
        <v>507</v>
      </c>
      <c r="I112">
        <v>633</v>
      </c>
    </row>
    <row r="113" spans="1:11" x14ac:dyDescent="0.3">
      <c r="A113" s="2" t="s">
        <v>101</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11" x14ac:dyDescent="0.3">
      <c r="A114" s="11" t="s">
        <v>113</v>
      </c>
      <c r="B114">
        <v>7344</v>
      </c>
      <c r="C114">
        <v>7403</v>
      </c>
      <c r="D114">
        <v>5192</v>
      </c>
      <c r="E114">
        <v>5875</v>
      </c>
      <c r="F114">
        <v>6293</v>
      </c>
      <c r="G114">
        <v>5892</v>
      </c>
      <c r="H114" s="8">
        <v>6970</v>
      </c>
      <c r="I114" s="8">
        <v>7388</v>
      </c>
    </row>
    <row r="115" spans="1:11" x14ac:dyDescent="0.3">
      <c r="A115" s="11" t="s">
        <v>114</v>
      </c>
      <c r="B115">
        <v>3072</v>
      </c>
      <c r="C115">
        <v>3038</v>
      </c>
      <c r="D115">
        <v>2395</v>
      </c>
      <c r="E115">
        <v>2940</v>
      </c>
      <c r="F115">
        <v>3087</v>
      </c>
      <c r="G115">
        <v>3053</v>
      </c>
      <c r="H115" s="8">
        <v>3996</v>
      </c>
      <c r="I115" s="8">
        <v>4527</v>
      </c>
      <c r="K115" s="77"/>
    </row>
    <row r="116" spans="1:11" x14ac:dyDescent="0.3">
      <c r="A116" s="11" t="s">
        <v>115</v>
      </c>
      <c r="B116">
        <v>608</v>
      </c>
      <c r="C116">
        <v>575</v>
      </c>
      <c r="D116">
        <v>383</v>
      </c>
      <c r="E116">
        <v>427</v>
      </c>
      <c r="F116">
        <v>432</v>
      </c>
      <c r="G116">
        <v>402</v>
      </c>
      <c r="H116">
        <v>490</v>
      </c>
      <c r="I116">
        <v>564</v>
      </c>
    </row>
    <row r="117" spans="1:11" x14ac:dyDescent="0.3">
      <c r="A117" s="2" t="s">
        <v>102</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11" x14ac:dyDescent="0.3">
      <c r="A118" s="11" t="s">
        <v>113</v>
      </c>
      <c r="B118" s="50">
        <v>2016</v>
      </c>
      <c r="C118">
        <v>2599</v>
      </c>
      <c r="D118">
        <v>2920</v>
      </c>
      <c r="E118">
        <v>3496</v>
      </c>
      <c r="F118">
        <v>4262</v>
      </c>
      <c r="G118">
        <v>4635</v>
      </c>
      <c r="H118" s="8">
        <v>5748</v>
      </c>
      <c r="I118" s="8">
        <v>5416</v>
      </c>
    </row>
    <row r="119" spans="1:11" x14ac:dyDescent="0.3">
      <c r="A119" s="11" t="s">
        <v>114</v>
      </c>
      <c r="B119" s="51">
        <v>925</v>
      </c>
      <c r="C119">
        <v>1055</v>
      </c>
      <c r="D119">
        <v>1188</v>
      </c>
      <c r="E119">
        <v>1508</v>
      </c>
      <c r="F119">
        <v>1808</v>
      </c>
      <c r="G119">
        <v>1896</v>
      </c>
      <c r="H119" s="8">
        <v>2347</v>
      </c>
      <c r="I119" s="8">
        <v>1938</v>
      </c>
    </row>
    <row r="120" spans="1:11" x14ac:dyDescent="0.3">
      <c r="A120" s="11" t="s">
        <v>115</v>
      </c>
      <c r="B120" s="51">
        <v>126</v>
      </c>
      <c r="C120">
        <v>131</v>
      </c>
      <c r="D120">
        <v>129</v>
      </c>
      <c r="E120">
        <v>130</v>
      </c>
      <c r="F120">
        <v>138</v>
      </c>
      <c r="G120">
        <v>148</v>
      </c>
      <c r="H120">
        <v>195</v>
      </c>
      <c r="I120">
        <v>193</v>
      </c>
    </row>
    <row r="121" spans="1:11" x14ac:dyDescent="0.3">
      <c r="A121" s="2" t="s">
        <v>106</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11" x14ac:dyDescent="0.3">
      <c r="A122" s="11" t="s">
        <v>113</v>
      </c>
      <c r="B122">
        <v>452</v>
      </c>
      <c r="C122">
        <v>570</v>
      </c>
      <c r="D122">
        <v>3285</v>
      </c>
      <c r="E122">
        <v>3575</v>
      </c>
      <c r="F122">
        <v>3622</v>
      </c>
      <c r="G122">
        <v>3449</v>
      </c>
      <c r="H122" s="8">
        <v>3659</v>
      </c>
      <c r="I122" s="8">
        <v>4111</v>
      </c>
      <c r="K122" s="77"/>
    </row>
    <row r="123" spans="1:11" x14ac:dyDescent="0.3">
      <c r="A123" s="11" t="s">
        <v>114</v>
      </c>
      <c r="B123">
        <v>230</v>
      </c>
      <c r="C123">
        <v>228</v>
      </c>
      <c r="D123">
        <v>1185</v>
      </c>
      <c r="E123">
        <v>1347</v>
      </c>
      <c r="F123">
        <v>1395</v>
      </c>
      <c r="G123">
        <v>1365</v>
      </c>
      <c r="H123" s="8">
        <v>1494</v>
      </c>
      <c r="I123" s="8">
        <v>1610</v>
      </c>
    </row>
    <row r="124" spans="1:11" x14ac:dyDescent="0.3">
      <c r="A124" s="11" t="s">
        <v>115</v>
      </c>
      <c r="B124">
        <v>73</v>
      </c>
      <c r="C124">
        <v>71</v>
      </c>
      <c r="D124">
        <v>267</v>
      </c>
      <c r="E124">
        <v>244</v>
      </c>
      <c r="F124">
        <v>237</v>
      </c>
      <c r="G124">
        <v>214</v>
      </c>
      <c r="H124">
        <v>190</v>
      </c>
      <c r="I124">
        <v>234</v>
      </c>
    </row>
    <row r="125" spans="1:11" x14ac:dyDescent="0.3">
      <c r="A125" s="2" t="s">
        <v>107</v>
      </c>
      <c r="B125" s="3">
        <v>115</v>
      </c>
      <c r="C125" s="3">
        <v>73</v>
      </c>
      <c r="D125" s="3">
        <v>73</v>
      </c>
      <c r="E125" s="3">
        <v>88</v>
      </c>
      <c r="F125" s="3">
        <v>42</v>
      </c>
      <c r="G125" s="3">
        <v>30</v>
      </c>
      <c r="H125" s="3">
        <v>25</v>
      </c>
      <c r="I125" s="3">
        <v>102</v>
      </c>
    </row>
    <row r="126" spans="1:11" x14ac:dyDescent="0.3">
      <c r="A126" s="4" t="s">
        <v>103</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11" x14ac:dyDescent="0.3">
      <c r="A127" s="2" t="s">
        <v>104</v>
      </c>
      <c r="B127" s="3">
        <v>1982</v>
      </c>
      <c r="C127" s="3">
        <v>1955</v>
      </c>
      <c r="D127" s="3">
        <v>2042</v>
      </c>
      <c r="E127" s="3">
        <v>1886</v>
      </c>
      <c r="F127" s="3">
        <v>1906</v>
      </c>
      <c r="G127" s="3">
        <v>1846</v>
      </c>
      <c r="H127" s="3">
        <f>+SUM(H128:H131)</f>
        <v>2205</v>
      </c>
      <c r="I127" s="3">
        <f>+SUM(I128:I131)</f>
        <v>2346</v>
      </c>
      <c r="J127" s="77"/>
    </row>
    <row r="128" spans="1:11" x14ac:dyDescent="0.3">
      <c r="A128" s="11" t="s">
        <v>113</v>
      </c>
      <c r="B128" s="3">
        <v>0</v>
      </c>
      <c r="C128" s="3">
        <v>0</v>
      </c>
      <c r="D128" s="3">
        <v>0</v>
      </c>
      <c r="E128" s="3">
        <v>0</v>
      </c>
      <c r="F128" s="3">
        <v>0</v>
      </c>
      <c r="G128" s="3">
        <v>0</v>
      </c>
      <c r="H128" s="3">
        <v>1986</v>
      </c>
      <c r="I128" s="3">
        <v>2094</v>
      </c>
    </row>
    <row r="129" spans="1:9" x14ac:dyDescent="0.3">
      <c r="A129" s="11" t="s">
        <v>114</v>
      </c>
      <c r="B129" s="3">
        <v>0</v>
      </c>
      <c r="C129" s="3">
        <v>0</v>
      </c>
      <c r="D129" s="3">
        <v>0</v>
      </c>
      <c r="E129" s="3">
        <v>0</v>
      </c>
      <c r="F129" s="3">
        <v>0</v>
      </c>
      <c r="G129" s="3">
        <v>0</v>
      </c>
      <c r="H129" s="3">
        <v>104</v>
      </c>
      <c r="I129" s="3">
        <v>103</v>
      </c>
    </row>
    <row r="130" spans="1:9" x14ac:dyDescent="0.3">
      <c r="A130" s="11" t="s">
        <v>115</v>
      </c>
      <c r="B130" s="3">
        <v>0</v>
      </c>
      <c r="C130" s="3">
        <v>0</v>
      </c>
      <c r="D130" s="3">
        <v>0</v>
      </c>
      <c r="E130" s="3">
        <v>0</v>
      </c>
      <c r="F130" s="3">
        <v>0</v>
      </c>
      <c r="G130" s="3">
        <v>0</v>
      </c>
      <c r="H130" s="3">
        <v>29</v>
      </c>
      <c r="I130" s="3">
        <v>26</v>
      </c>
    </row>
    <row r="131" spans="1:9" x14ac:dyDescent="0.3">
      <c r="A131" s="11" t="s">
        <v>121</v>
      </c>
      <c r="B131" s="3">
        <v>0</v>
      </c>
      <c r="C131" s="3">
        <v>0</v>
      </c>
      <c r="D131" s="3">
        <v>0</v>
      </c>
      <c r="E131" s="3">
        <v>0</v>
      </c>
      <c r="F131" s="3">
        <v>0</v>
      </c>
      <c r="G131" s="3">
        <v>0</v>
      </c>
      <c r="H131" s="3">
        <v>86</v>
      </c>
      <c r="I131" s="3">
        <v>123</v>
      </c>
    </row>
    <row r="132" spans="1:9" x14ac:dyDescent="0.3">
      <c r="A132" s="2" t="s">
        <v>108</v>
      </c>
      <c r="B132" s="3">
        <v>-82</v>
      </c>
      <c r="C132" s="3">
        <v>-86</v>
      </c>
      <c r="D132" s="3">
        <v>75</v>
      </c>
      <c r="E132" s="3">
        <v>26</v>
      </c>
      <c r="F132" s="3">
        <v>-7</v>
      </c>
      <c r="G132" s="3">
        <v>-11</v>
      </c>
      <c r="H132" s="3">
        <v>40</v>
      </c>
      <c r="I132" s="3">
        <v>-72</v>
      </c>
    </row>
    <row r="133" spans="1:9" ht="15" thickBot="1" x14ac:dyDescent="0.35">
      <c r="A133" s="6" t="s">
        <v>105</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 thickTop="1" x14ac:dyDescent="0.3">
      <c r="A134" s="12" t="s">
        <v>111</v>
      </c>
      <c r="B134" s="13">
        <f>+I133-I2</f>
        <v>0</v>
      </c>
      <c r="C134" s="13">
        <f t="shared" ref="C134:G134" si="43">+C133-C2</f>
        <v>0</v>
      </c>
      <c r="D134" s="13">
        <f t="shared" si="43"/>
        <v>0</v>
      </c>
      <c r="E134" s="13">
        <f t="shared" si="43"/>
        <v>0</v>
      </c>
      <c r="F134" s="13">
        <f t="shared" si="43"/>
        <v>0</v>
      </c>
      <c r="G134" s="13">
        <f t="shared" si="43"/>
        <v>0</v>
      </c>
      <c r="H134" s="13">
        <f>+H133-H2</f>
        <v>0</v>
      </c>
      <c r="I134" s="13">
        <f>+I133-I2</f>
        <v>0</v>
      </c>
    </row>
    <row r="135" spans="1:9" x14ac:dyDescent="0.3">
      <c r="A135" s="1" t="s">
        <v>110</v>
      </c>
    </row>
    <row r="136" spans="1:9" x14ac:dyDescent="0.3">
      <c r="A136" s="2" t="s">
        <v>100</v>
      </c>
      <c r="B136" s="3">
        <v>3645</v>
      </c>
      <c r="C136" s="3">
        <v>3763</v>
      </c>
      <c r="D136" s="3">
        <v>3875</v>
      </c>
      <c r="E136" s="3">
        <v>3600</v>
      </c>
      <c r="F136" s="3">
        <v>3925</v>
      </c>
      <c r="G136" s="3">
        <v>2899</v>
      </c>
      <c r="H136" s="3">
        <v>5089</v>
      </c>
      <c r="I136" s="3">
        <v>5114</v>
      </c>
    </row>
    <row r="137" spans="1:9" x14ac:dyDescent="0.3">
      <c r="A137" s="2" t="s">
        <v>101</v>
      </c>
      <c r="B137" s="3">
        <v>2342</v>
      </c>
      <c r="C137" s="3">
        <v>2615</v>
      </c>
      <c r="D137" s="3">
        <v>1507</v>
      </c>
      <c r="E137" s="3">
        <v>1587</v>
      </c>
      <c r="F137" s="3">
        <v>1995</v>
      </c>
      <c r="G137" s="3">
        <v>1541</v>
      </c>
      <c r="H137" s="3">
        <v>2435</v>
      </c>
      <c r="I137" s="3">
        <v>3293</v>
      </c>
    </row>
    <row r="138" spans="1:9" x14ac:dyDescent="0.3">
      <c r="A138" s="2" t="s">
        <v>102</v>
      </c>
      <c r="B138" s="3">
        <v>993</v>
      </c>
      <c r="C138" s="3">
        <v>1372</v>
      </c>
      <c r="D138" s="3">
        <v>1507</v>
      </c>
      <c r="E138" s="3">
        <v>1807</v>
      </c>
      <c r="F138" s="3">
        <v>2376</v>
      </c>
      <c r="G138" s="3">
        <v>2490</v>
      </c>
      <c r="H138" s="3">
        <v>3243</v>
      </c>
      <c r="I138" s="3">
        <v>2365</v>
      </c>
    </row>
    <row r="139" spans="1:9" x14ac:dyDescent="0.3">
      <c r="A139" s="2" t="s">
        <v>106</v>
      </c>
      <c r="B139" s="3">
        <v>100</v>
      </c>
      <c r="C139" s="3">
        <v>174</v>
      </c>
      <c r="D139" s="3">
        <v>980</v>
      </c>
      <c r="E139" s="3">
        <v>1189</v>
      </c>
      <c r="F139" s="3">
        <v>1323</v>
      </c>
      <c r="G139" s="3">
        <v>1184</v>
      </c>
      <c r="H139" s="3">
        <v>1530</v>
      </c>
      <c r="I139" s="3">
        <v>1896</v>
      </c>
    </row>
    <row r="140" spans="1:9" x14ac:dyDescent="0.3">
      <c r="A140" s="2" t="s">
        <v>107</v>
      </c>
      <c r="B140" s="3">
        <v>-2267</v>
      </c>
      <c r="C140" s="3">
        <v>-2596</v>
      </c>
      <c r="D140" s="3">
        <v>-2677</v>
      </c>
      <c r="E140" s="3">
        <v>-2658</v>
      </c>
      <c r="F140" s="3">
        <v>-3262</v>
      </c>
      <c r="G140" s="3">
        <v>-3468</v>
      </c>
      <c r="H140" s="3">
        <v>-3656</v>
      </c>
      <c r="I140" s="3">
        <v>-4262</v>
      </c>
    </row>
    <row r="141" spans="1:9" x14ac:dyDescent="0.3">
      <c r="A141" s="4" t="s">
        <v>103</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3">
      <c r="A142" s="2" t="s">
        <v>104</v>
      </c>
      <c r="B142" s="3">
        <v>517</v>
      </c>
      <c r="C142" s="3">
        <v>487</v>
      </c>
      <c r="D142" s="3">
        <v>477</v>
      </c>
      <c r="E142" s="3">
        <v>310</v>
      </c>
      <c r="F142" s="3">
        <v>303</v>
      </c>
      <c r="G142" s="3">
        <v>297</v>
      </c>
      <c r="H142" s="3">
        <v>543</v>
      </c>
      <c r="I142" s="3">
        <v>669</v>
      </c>
    </row>
    <row r="143" spans="1:9" x14ac:dyDescent="0.3">
      <c r="A143" s="2" t="s">
        <v>108</v>
      </c>
      <c r="B143" s="3">
        <v>-1097</v>
      </c>
      <c r="C143" s="3">
        <v>-1173</v>
      </c>
      <c r="D143" s="3">
        <v>-724</v>
      </c>
      <c r="E143" s="3">
        <v>-1456</v>
      </c>
      <c r="F143" s="3">
        <v>-1810</v>
      </c>
      <c r="G143" s="3">
        <v>-1967</v>
      </c>
      <c r="H143" s="3">
        <v>-2261</v>
      </c>
      <c r="I143" s="3">
        <v>-2219</v>
      </c>
    </row>
    <row r="144" spans="1:9" ht="15" thickBot="1" x14ac:dyDescent="0.35">
      <c r="A144" s="6" t="s">
        <v>112</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 thickTop="1" x14ac:dyDescent="0.3">
      <c r="A145" s="12" t="s">
        <v>111</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3">
      <c r="A146" s="1" t="s">
        <v>117</v>
      </c>
    </row>
    <row r="147" spans="1:9" x14ac:dyDescent="0.3">
      <c r="A147" s="2" t="s">
        <v>100</v>
      </c>
      <c r="B147" s="3">
        <v>632</v>
      </c>
      <c r="C147" s="3">
        <v>742</v>
      </c>
      <c r="D147" s="3">
        <v>819</v>
      </c>
      <c r="E147" s="3">
        <v>848</v>
      </c>
      <c r="F147" s="3">
        <v>814</v>
      </c>
      <c r="G147" s="3">
        <v>645</v>
      </c>
      <c r="H147" s="3">
        <v>617</v>
      </c>
      <c r="I147" s="3">
        <v>639</v>
      </c>
    </row>
    <row r="148" spans="1:9" x14ac:dyDescent="0.3">
      <c r="A148" s="2" t="s">
        <v>101</v>
      </c>
      <c r="B148" s="3">
        <f>451+47+103</f>
        <v>601</v>
      </c>
      <c r="C148" s="3">
        <f>589+50+109</f>
        <v>748</v>
      </c>
      <c r="D148" s="3">
        <v>709</v>
      </c>
      <c r="E148" s="3">
        <v>849</v>
      </c>
      <c r="F148" s="3">
        <v>929</v>
      </c>
      <c r="G148" s="3">
        <v>885</v>
      </c>
      <c r="H148" s="3">
        <v>982</v>
      </c>
      <c r="I148" s="3">
        <v>920</v>
      </c>
    </row>
    <row r="149" spans="1:9" x14ac:dyDescent="0.3">
      <c r="A149" s="2" t="s">
        <v>102</v>
      </c>
      <c r="B149" s="3">
        <v>254</v>
      </c>
      <c r="C149" s="3">
        <v>234</v>
      </c>
      <c r="D149" s="3">
        <v>225</v>
      </c>
      <c r="E149" s="3">
        <v>256</v>
      </c>
      <c r="F149" s="3">
        <v>237</v>
      </c>
      <c r="G149" s="3">
        <v>214</v>
      </c>
      <c r="H149" s="3">
        <v>288</v>
      </c>
      <c r="I149" s="3">
        <v>303</v>
      </c>
    </row>
    <row r="150" spans="1:9" x14ac:dyDescent="0.3">
      <c r="A150" s="2" t="s">
        <v>118</v>
      </c>
      <c r="B150" s="3">
        <v>205</v>
      </c>
      <c r="C150" s="3">
        <v>223</v>
      </c>
      <c r="D150" s="3">
        <v>340</v>
      </c>
      <c r="E150" s="3">
        <v>339</v>
      </c>
      <c r="F150" s="3">
        <v>326</v>
      </c>
      <c r="G150" s="3">
        <v>296</v>
      </c>
      <c r="H150" s="3">
        <v>304</v>
      </c>
      <c r="I150" s="3">
        <v>274</v>
      </c>
    </row>
    <row r="151" spans="1:9" x14ac:dyDescent="0.3">
      <c r="A151" s="2" t="s">
        <v>107</v>
      </c>
      <c r="B151">
        <v>484</v>
      </c>
      <c r="C151">
        <v>511</v>
      </c>
      <c r="D151" s="3">
        <v>533</v>
      </c>
      <c r="E151" s="3">
        <v>597</v>
      </c>
      <c r="F151" s="3">
        <v>665</v>
      </c>
      <c r="G151" s="3">
        <v>830</v>
      </c>
      <c r="H151" s="3">
        <v>780</v>
      </c>
      <c r="I151" s="3">
        <v>789</v>
      </c>
    </row>
    <row r="152" spans="1:9" x14ac:dyDescent="0.3">
      <c r="A152" s="4" t="s">
        <v>119</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3">
      <c r="A153" s="2" t="s">
        <v>104</v>
      </c>
      <c r="B153" s="3">
        <v>122</v>
      </c>
      <c r="C153" s="3">
        <v>125</v>
      </c>
      <c r="D153" s="3">
        <v>125</v>
      </c>
      <c r="E153" s="3">
        <v>115</v>
      </c>
      <c r="F153" s="3">
        <v>100</v>
      </c>
      <c r="G153" s="3">
        <v>80</v>
      </c>
      <c r="H153" s="3">
        <v>63</v>
      </c>
      <c r="I153" s="3">
        <v>49</v>
      </c>
    </row>
    <row r="154" spans="1:9" x14ac:dyDescent="0.3">
      <c r="A154" s="2" t="s">
        <v>108</v>
      </c>
      <c r="B154" s="3">
        <v>713</v>
      </c>
      <c r="C154" s="3">
        <v>937</v>
      </c>
      <c r="D154" s="3">
        <v>1238</v>
      </c>
      <c r="E154" s="3">
        <v>1450</v>
      </c>
      <c r="F154" s="3">
        <v>1673</v>
      </c>
      <c r="G154" s="3">
        <v>1916</v>
      </c>
      <c r="H154" s="3">
        <v>1870</v>
      </c>
      <c r="I154" s="3">
        <v>1817</v>
      </c>
    </row>
    <row r="155" spans="1:9" ht="15" thickBot="1" x14ac:dyDescent="0.35">
      <c r="A155" s="6" t="s">
        <v>120</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 thickTop="1" x14ac:dyDescent="0.3">
      <c r="A156" s="12" t="s">
        <v>111</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3">
      <c r="A157" s="1" t="s">
        <v>122</v>
      </c>
    </row>
    <row r="158" spans="1:9" x14ac:dyDescent="0.3">
      <c r="A158" s="2" t="s">
        <v>100</v>
      </c>
      <c r="B158" s="3">
        <v>208</v>
      </c>
      <c r="C158" s="3">
        <v>242</v>
      </c>
      <c r="D158" s="3">
        <v>223</v>
      </c>
      <c r="E158" s="3">
        <v>196</v>
      </c>
      <c r="F158" s="3">
        <v>117</v>
      </c>
      <c r="G158" s="3">
        <v>110</v>
      </c>
      <c r="H158" s="3">
        <v>98</v>
      </c>
      <c r="I158" s="3">
        <v>146</v>
      </c>
    </row>
    <row r="159" spans="1:9" x14ac:dyDescent="0.3">
      <c r="A159" s="2" t="s">
        <v>101</v>
      </c>
      <c r="B159" s="3">
        <f>216+20+37</f>
        <v>273</v>
      </c>
      <c r="C159" s="3">
        <v>234</v>
      </c>
      <c r="D159" s="3">
        <v>173</v>
      </c>
      <c r="E159" s="3">
        <v>240</v>
      </c>
      <c r="F159" s="3">
        <v>233</v>
      </c>
      <c r="G159" s="3">
        <v>139</v>
      </c>
      <c r="H159" s="3">
        <v>153</v>
      </c>
      <c r="I159" s="3">
        <v>197</v>
      </c>
    </row>
    <row r="160" spans="1:9" x14ac:dyDescent="0.3">
      <c r="A160" s="2" t="s">
        <v>102</v>
      </c>
      <c r="B160" s="3">
        <v>69</v>
      </c>
      <c r="C160" s="3">
        <v>44</v>
      </c>
      <c r="D160" s="3">
        <v>51</v>
      </c>
      <c r="E160" s="3">
        <v>76</v>
      </c>
      <c r="F160" s="3">
        <v>49</v>
      </c>
      <c r="G160" s="3">
        <v>28</v>
      </c>
      <c r="H160" s="3">
        <v>94</v>
      </c>
      <c r="I160" s="3">
        <v>78</v>
      </c>
    </row>
    <row r="161" spans="1:9" x14ac:dyDescent="0.3">
      <c r="A161" s="2" t="s">
        <v>118</v>
      </c>
      <c r="B161" s="3">
        <v>15</v>
      </c>
      <c r="C161" s="3">
        <v>62</v>
      </c>
      <c r="D161" s="3">
        <v>59</v>
      </c>
      <c r="E161" s="3">
        <v>49</v>
      </c>
      <c r="F161" s="3">
        <v>47</v>
      </c>
      <c r="G161" s="3">
        <v>41</v>
      </c>
      <c r="H161" s="3">
        <v>54</v>
      </c>
      <c r="I161" s="3">
        <v>56</v>
      </c>
    </row>
    <row r="162" spans="1:9" x14ac:dyDescent="0.3">
      <c r="A162" s="2" t="s">
        <v>107</v>
      </c>
      <c r="B162" s="3">
        <v>225</v>
      </c>
      <c r="C162" s="3">
        <v>258</v>
      </c>
      <c r="D162" s="3">
        <v>278</v>
      </c>
      <c r="E162" s="3">
        <v>286</v>
      </c>
      <c r="F162" s="3">
        <v>278</v>
      </c>
      <c r="G162" s="3">
        <v>438</v>
      </c>
      <c r="H162" s="3">
        <v>278</v>
      </c>
      <c r="I162" s="3">
        <v>222</v>
      </c>
    </row>
    <row r="163" spans="1:9" x14ac:dyDescent="0.3">
      <c r="A163" s="4" t="s">
        <v>119</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3">
      <c r="A164" s="2" t="s">
        <v>104</v>
      </c>
      <c r="B164" s="3">
        <v>69</v>
      </c>
      <c r="C164" s="3">
        <v>39</v>
      </c>
      <c r="D164" s="3">
        <v>30</v>
      </c>
      <c r="E164" s="3">
        <v>22</v>
      </c>
      <c r="F164" s="3">
        <v>18</v>
      </c>
      <c r="G164" s="3">
        <v>12</v>
      </c>
      <c r="H164" s="3">
        <v>7</v>
      </c>
      <c r="I164" s="3">
        <v>9</v>
      </c>
    </row>
    <row r="165" spans="1:9" x14ac:dyDescent="0.3">
      <c r="A165" s="2" t="s">
        <v>108</v>
      </c>
      <c r="B165" s="3">
        <f>-(SUM(B163:B164)+B83)</f>
        <v>104</v>
      </c>
      <c r="C165" s="3">
        <f t="shared" ref="C165:H165" si="57">-(SUM(C163:C164)+C83)</f>
        <v>264</v>
      </c>
      <c r="D165" s="3">
        <f t="shared" si="57"/>
        <v>291</v>
      </c>
      <c r="E165" s="3">
        <f t="shared" si="57"/>
        <v>159</v>
      </c>
      <c r="F165" s="3">
        <f t="shared" si="57"/>
        <v>377</v>
      </c>
      <c r="G165" s="3">
        <f t="shared" si="57"/>
        <v>318</v>
      </c>
      <c r="H165" s="3">
        <f t="shared" si="57"/>
        <v>11</v>
      </c>
      <c r="I165" s="3">
        <f>-(SUM(I163:I164)+I83)</f>
        <v>50</v>
      </c>
    </row>
    <row r="166" spans="1:9" ht="15" thickBot="1" x14ac:dyDescent="0.35">
      <c r="A166" s="6" t="s">
        <v>123</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 thickTop="1" x14ac:dyDescent="0.3">
      <c r="A167" s="12" t="s">
        <v>111</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3">
      <c r="A168" s="1" t="s">
        <v>124</v>
      </c>
    </row>
    <row r="169" spans="1:9" x14ac:dyDescent="0.3">
      <c r="A169" s="2" t="s">
        <v>100</v>
      </c>
      <c r="B169" s="3">
        <v>121</v>
      </c>
      <c r="C169" s="3">
        <v>133</v>
      </c>
      <c r="D169" s="3">
        <v>140</v>
      </c>
      <c r="E169" s="3">
        <v>160</v>
      </c>
      <c r="F169" s="3">
        <v>149</v>
      </c>
      <c r="G169" s="3">
        <v>148</v>
      </c>
      <c r="H169" s="3">
        <v>130</v>
      </c>
      <c r="I169" s="3">
        <v>124</v>
      </c>
    </row>
    <row r="170" spans="1:9" x14ac:dyDescent="0.3">
      <c r="A170" s="2" t="s">
        <v>101</v>
      </c>
      <c r="B170" s="3">
        <f>75+12+27</f>
        <v>114</v>
      </c>
      <c r="C170" s="3">
        <f>72+12+25</f>
        <v>109</v>
      </c>
      <c r="D170" s="3">
        <v>106</v>
      </c>
      <c r="E170" s="3">
        <v>116</v>
      </c>
      <c r="F170" s="3">
        <v>111</v>
      </c>
      <c r="G170" s="3">
        <v>132</v>
      </c>
      <c r="H170" s="3">
        <v>136</v>
      </c>
      <c r="I170" s="3">
        <v>134</v>
      </c>
    </row>
    <row r="171" spans="1:9" x14ac:dyDescent="0.3">
      <c r="A171" s="2" t="s">
        <v>102</v>
      </c>
      <c r="B171" s="3">
        <v>46</v>
      </c>
      <c r="C171" s="3">
        <v>48</v>
      </c>
      <c r="D171" s="3">
        <v>54</v>
      </c>
      <c r="E171" s="3">
        <v>56</v>
      </c>
      <c r="F171" s="3">
        <v>50</v>
      </c>
      <c r="G171" s="3">
        <v>44</v>
      </c>
      <c r="H171" s="3">
        <v>46</v>
      </c>
      <c r="I171" s="3">
        <v>41</v>
      </c>
    </row>
    <row r="172" spans="1:9" x14ac:dyDescent="0.3">
      <c r="A172" s="2" t="s">
        <v>106</v>
      </c>
      <c r="B172" s="3">
        <v>22</v>
      </c>
      <c r="C172" s="3">
        <v>18</v>
      </c>
      <c r="D172" s="3">
        <v>54</v>
      </c>
      <c r="E172" s="3">
        <v>55</v>
      </c>
      <c r="F172" s="3">
        <v>53</v>
      </c>
      <c r="G172" s="3">
        <v>46</v>
      </c>
      <c r="H172" s="3">
        <v>43</v>
      </c>
      <c r="I172" s="3">
        <v>42</v>
      </c>
    </row>
    <row r="173" spans="1:9" x14ac:dyDescent="0.3">
      <c r="A173" s="2" t="s">
        <v>107</v>
      </c>
      <c r="B173" s="3">
        <v>210</v>
      </c>
      <c r="C173" s="3">
        <v>230</v>
      </c>
      <c r="D173" s="3">
        <v>233</v>
      </c>
      <c r="E173" s="3">
        <v>217</v>
      </c>
      <c r="F173" s="3">
        <v>195</v>
      </c>
      <c r="G173" s="3">
        <v>214</v>
      </c>
      <c r="H173" s="3">
        <v>222</v>
      </c>
      <c r="I173" s="3">
        <v>220</v>
      </c>
    </row>
    <row r="174" spans="1:9" x14ac:dyDescent="0.3">
      <c r="A174" s="4" t="s">
        <v>119</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3">
      <c r="A175" s="2" t="s">
        <v>104</v>
      </c>
      <c r="B175" s="3">
        <v>18</v>
      </c>
      <c r="C175" s="3">
        <v>27</v>
      </c>
      <c r="D175" s="3">
        <v>28</v>
      </c>
      <c r="E175" s="3">
        <v>33</v>
      </c>
      <c r="F175" s="3">
        <v>31</v>
      </c>
      <c r="G175" s="3">
        <v>25</v>
      </c>
      <c r="H175" s="3">
        <v>26</v>
      </c>
      <c r="I175" s="3">
        <v>22</v>
      </c>
    </row>
    <row r="176" spans="1:9" x14ac:dyDescent="0.3">
      <c r="A176" s="2" t="s">
        <v>108</v>
      </c>
      <c r="B176" s="3">
        <v>75</v>
      </c>
      <c r="C176" s="3">
        <v>84</v>
      </c>
      <c r="D176" s="3">
        <v>91</v>
      </c>
      <c r="E176" s="3">
        <v>110</v>
      </c>
      <c r="F176" s="3">
        <v>116</v>
      </c>
      <c r="G176" s="3">
        <v>112</v>
      </c>
      <c r="H176" s="3">
        <v>141</v>
      </c>
      <c r="I176" s="3">
        <v>134</v>
      </c>
    </row>
    <row r="177" spans="1:9" ht="15" thickBot="1" x14ac:dyDescent="0.35">
      <c r="A177" s="6" t="s">
        <v>125</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 thickTop="1" x14ac:dyDescent="0.3">
      <c r="A178" s="12" t="s">
        <v>111</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3">
      <c r="A179" s="14" t="s">
        <v>126</v>
      </c>
      <c r="B179" s="14"/>
      <c r="C179" s="14"/>
      <c r="D179" s="14"/>
      <c r="E179" s="14"/>
      <c r="F179" s="14"/>
      <c r="G179" s="14"/>
      <c r="H179" s="14"/>
      <c r="I179" s="14"/>
    </row>
    <row r="180" spans="1:9" x14ac:dyDescent="0.3">
      <c r="A180" s="27" t="s">
        <v>127</v>
      </c>
    </row>
    <row r="181" spans="1:9" x14ac:dyDescent="0.3">
      <c r="A181" s="32" t="s">
        <v>100</v>
      </c>
      <c r="B181" s="33">
        <v>0.12</v>
      </c>
      <c r="C181" s="33">
        <v>7.0000000000000007E-2</v>
      </c>
      <c r="D181" s="33">
        <v>0.03</v>
      </c>
      <c r="E181" s="33">
        <v>-0.02</v>
      </c>
      <c r="F181" s="33">
        <v>7.0000000000000007E-2</v>
      </c>
      <c r="G181" s="33">
        <v>-0.09</v>
      </c>
      <c r="H181" s="33">
        <v>0.19</v>
      </c>
      <c r="I181" s="33">
        <v>7.0000000000000007E-2</v>
      </c>
    </row>
    <row r="182" spans="1:9" x14ac:dyDescent="0.3">
      <c r="A182" s="30" t="s">
        <v>113</v>
      </c>
      <c r="B182" s="29">
        <v>0.14000000000000001</v>
      </c>
      <c r="C182" s="29">
        <v>0.09</v>
      </c>
      <c r="D182" s="29">
        <v>0.04</v>
      </c>
      <c r="E182" s="29">
        <v>-0.04</v>
      </c>
      <c r="F182" s="29">
        <v>0.08</v>
      </c>
      <c r="G182" s="29">
        <v>-7.0000000000000007E-2</v>
      </c>
      <c r="H182" s="29">
        <v>0.25</v>
      </c>
      <c r="I182" s="29">
        <v>0.05</v>
      </c>
    </row>
    <row r="183" spans="1:9" x14ac:dyDescent="0.3">
      <c r="A183" s="30" t="s">
        <v>114</v>
      </c>
      <c r="B183" s="29">
        <v>0.12</v>
      </c>
      <c r="C183" s="29">
        <v>0.08</v>
      </c>
      <c r="D183" s="29">
        <v>0.03</v>
      </c>
      <c r="E183" s="29">
        <v>0.01</v>
      </c>
      <c r="F183" s="29">
        <v>7.0000000000000007E-2</v>
      </c>
      <c r="G183" s="29">
        <v>-0.12</v>
      </c>
      <c r="H183" s="29">
        <v>0.08</v>
      </c>
      <c r="I183" s="29">
        <v>0.09</v>
      </c>
    </row>
    <row r="184" spans="1:9" x14ac:dyDescent="0.3">
      <c r="A184" s="30" t="s">
        <v>115</v>
      </c>
      <c r="B184" s="29">
        <v>-0.05</v>
      </c>
      <c r="C184" s="29">
        <v>-0.13</v>
      </c>
      <c r="D184" s="29">
        <v>-0.1</v>
      </c>
      <c r="E184" s="29">
        <v>-0.08</v>
      </c>
      <c r="F184" s="29">
        <v>0</v>
      </c>
      <c r="G184" s="29">
        <v>-0.14000000000000001</v>
      </c>
      <c r="H184" s="29">
        <v>-0.02</v>
      </c>
      <c r="I184" s="29">
        <v>0.25</v>
      </c>
    </row>
    <row r="185" spans="1:9" x14ac:dyDescent="0.3">
      <c r="A185" s="32" t="s">
        <v>101</v>
      </c>
      <c r="B185" s="33"/>
      <c r="C185" s="33"/>
      <c r="D185" s="33">
        <v>0.05</v>
      </c>
      <c r="E185" s="33">
        <v>0.09</v>
      </c>
      <c r="F185" s="33">
        <v>0.11</v>
      </c>
      <c r="G185" s="33">
        <v>-0.01</v>
      </c>
      <c r="H185" s="33">
        <v>0.17</v>
      </c>
      <c r="I185" s="33">
        <v>0.12</v>
      </c>
    </row>
    <row r="186" spans="1:9" x14ac:dyDescent="0.3">
      <c r="A186" s="30" t="s">
        <v>113</v>
      </c>
      <c r="B186" s="29"/>
      <c r="C186" s="29"/>
      <c r="D186" s="29">
        <v>0.03</v>
      </c>
      <c r="E186" s="29">
        <v>0.06</v>
      </c>
      <c r="F186" s="29">
        <v>0.12</v>
      </c>
      <c r="G186" s="29">
        <v>-0.03</v>
      </c>
      <c r="H186" s="29">
        <v>0.13</v>
      </c>
      <c r="I186" s="29">
        <v>0.09</v>
      </c>
    </row>
    <row r="187" spans="1:9" x14ac:dyDescent="0.3">
      <c r="A187" s="30" t="s">
        <v>114</v>
      </c>
      <c r="B187" s="29"/>
      <c r="C187" s="29"/>
      <c r="D187" s="29">
        <v>0.11</v>
      </c>
      <c r="E187" s="29">
        <v>0.16</v>
      </c>
      <c r="F187" s="29">
        <v>0.09</v>
      </c>
      <c r="G187" s="29">
        <v>0.02</v>
      </c>
      <c r="H187" s="29">
        <v>0.25</v>
      </c>
      <c r="I187" s="29">
        <v>0.16</v>
      </c>
    </row>
    <row r="188" spans="1:9" x14ac:dyDescent="0.3">
      <c r="A188" s="30" t="s">
        <v>115</v>
      </c>
      <c r="B188" s="29"/>
      <c r="C188" s="29"/>
      <c r="D188" s="29">
        <v>0.02</v>
      </c>
      <c r="E188" s="29">
        <v>0.06</v>
      </c>
      <c r="F188" s="29">
        <v>0.05</v>
      </c>
      <c r="G188" s="29">
        <v>-0.03</v>
      </c>
      <c r="H188" s="29">
        <v>0.19</v>
      </c>
      <c r="I188" s="29">
        <v>0.17</v>
      </c>
    </row>
    <row r="189" spans="1:9" x14ac:dyDescent="0.3">
      <c r="A189" s="32" t="s">
        <v>102</v>
      </c>
      <c r="B189" s="33">
        <v>0.19</v>
      </c>
      <c r="C189" s="33">
        <v>0.27</v>
      </c>
      <c r="D189" s="33">
        <v>0.17</v>
      </c>
      <c r="E189" s="33">
        <v>0.18</v>
      </c>
      <c r="F189" s="33">
        <v>0.24</v>
      </c>
      <c r="G189" s="33">
        <v>0.11</v>
      </c>
      <c r="H189" s="33">
        <v>0.19</v>
      </c>
      <c r="I189" s="33">
        <v>-0.13</v>
      </c>
    </row>
    <row r="190" spans="1:9" x14ac:dyDescent="0.3">
      <c r="A190" s="30" t="s">
        <v>113</v>
      </c>
      <c r="B190" s="29">
        <v>0.28000000000000003</v>
      </c>
      <c r="C190" s="29">
        <v>0.33</v>
      </c>
      <c r="D190" s="29">
        <v>0.18</v>
      </c>
      <c r="E190" s="29">
        <v>0.16</v>
      </c>
      <c r="F190" s="29">
        <v>0.25</v>
      </c>
      <c r="G190" s="29">
        <v>0.12</v>
      </c>
      <c r="H190" s="29">
        <v>0.19</v>
      </c>
      <c r="I190" s="29">
        <v>-0.1</v>
      </c>
    </row>
    <row r="191" spans="1:9" x14ac:dyDescent="0.3">
      <c r="A191" s="30" t="s">
        <v>114</v>
      </c>
      <c r="B191" s="29">
        <v>7.0000000000000007E-2</v>
      </c>
      <c r="C191" s="29">
        <v>0.17</v>
      </c>
      <c r="D191" s="29">
        <v>0.18</v>
      </c>
      <c r="E191" s="29">
        <v>0.23</v>
      </c>
      <c r="F191" s="29">
        <v>0.23</v>
      </c>
      <c r="G191" s="29">
        <v>0.08</v>
      </c>
      <c r="H191" s="29">
        <v>0.19</v>
      </c>
      <c r="I191" s="29">
        <v>-0.21</v>
      </c>
    </row>
    <row r="192" spans="1:9" x14ac:dyDescent="0.3">
      <c r="A192" s="30" t="s">
        <v>115</v>
      </c>
      <c r="B192" s="29">
        <v>0.01</v>
      </c>
      <c r="C192" s="29">
        <v>7.0000000000000007E-2</v>
      </c>
      <c r="D192" s="29">
        <v>0.03</v>
      </c>
      <c r="E192" s="29">
        <v>-0.01</v>
      </c>
      <c r="F192" s="29">
        <v>0.08</v>
      </c>
      <c r="G192" s="29">
        <v>0.11</v>
      </c>
      <c r="H192" s="29">
        <v>0.26</v>
      </c>
      <c r="I192" s="29">
        <v>-0.06</v>
      </c>
    </row>
    <row r="193" spans="1:9" x14ac:dyDescent="0.3">
      <c r="A193" s="52" t="s">
        <v>142</v>
      </c>
      <c r="B193" s="53">
        <v>0.21</v>
      </c>
      <c r="C193" s="53">
        <v>0.14000000000000001</v>
      </c>
      <c r="D193" s="53"/>
      <c r="E193" s="29"/>
      <c r="F193" s="29"/>
      <c r="G193" s="29"/>
      <c r="H193" s="29"/>
      <c r="I193" s="29"/>
    </row>
    <row r="194" spans="1:9" x14ac:dyDescent="0.3">
      <c r="A194" s="54" t="s">
        <v>113</v>
      </c>
      <c r="B194" s="53">
        <v>0.25</v>
      </c>
      <c r="C194" s="53">
        <v>0.14000000000000001</v>
      </c>
      <c r="D194" s="53"/>
      <c r="E194" s="29"/>
      <c r="F194" s="29"/>
      <c r="G194" s="29"/>
      <c r="H194" s="29"/>
      <c r="I194" s="29"/>
    </row>
    <row r="195" spans="1:9" x14ac:dyDescent="0.3">
      <c r="A195" s="54" t="s">
        <v>114</v>
      </c>
      <c r="B195" s="53">
        <v>0.14000000000000001</v>
      </c>
      <c r="C195" s="53">
        <v>0.16</v>
      </c>
      <c r="D195" s="53"/>
      <c r="E195" s="29"/>
      <c r="F195" s="29"/>
      <c r="G195" s="29"/>
      <c r="H195" s="29"/>
      <c r="I195" s="29"/>
    </row>
    <row r="196" spans="1:9" x14ac:dyDescent="0.3">
      <c r="A196" s="54" t="s">
        <v>115</v>
      </c>
      <c r="B196" s="53">
        <v>0.15</v>
      </c>
      <c r="C196" s="53">
        <v>0.08</v>
      </c>
      <c r="D196" s="53"/>
      <c r="E196" s="29"/>
      <c r="F196" s="29"/>
      <c r="G196" s="29"/>
      <c r="H196" s="29"/>
      <c r="I196" s="29"/>
    </row>
    <row r="197" spans="1:9" x14ac:dyDescent="0.3">
      <c r="A197" s="52" t="s">
        <v>143</v>
      </c>
      <c r="B197" s="53">
        <v>0.15</v>
      </c>
      <c r="C197" s="53">
        <v>0.17</v>
      </c>
      <c r="D197" s="53"/>
      <c r="E197" s="29"/>
      <c r="F197" s="29"/>
      <c r="G197" s="29"/>
      <c r="H197" s="29"/>
      <c r="I197" s="29"/>
    </row>
    <row r="198" spans="1:9" x14ac:dyDescent="0.3">
      <c r="A198" s="54" t="s">
        <v>113</v>
      </c>
      <c r="B198" s="53">
        <v>0.22</v>
      </c>
      <c r="C198" s="53">
        <v>0.23</v>
      </c>
      <c r="D198" s="53"/>
      <c r="E198" s="29"/>
      <c r="F198" s="29"/>
      <c r="G198" s="29"/>
      <c r="H198" s="29"/>
      <c r="I198" s="29"/>
    </row>
    <row r="199" spans="1:9" x14ac:dyDescent="0.3">
      <c r="A199" s="54" t="s">
        <v>114</v>
      </c>
      <c r="B199" s="53">
        <v>0.05</v>
      </c>
      <c r="C199" s="53">
        <v>0.09</v>
      </c>
      <c r="D199" s="53"/>
      <c r="E199" s="29"/>
      <c r="F199" s="29"/>
      <c r="G199" s="29"/>
      <c r="H199" s="29"/>
      <c r="I199" s="29"/>
    </row>
    <row r="200" spans="1:9" x14ac:dyDescent="0.3">
      <c r="A200" s="54" t="s">
        <v>115</v>
      </c>
      <c r="B200" s="53">
        <v>0.14000000000000001</v>
      </c>
      <c r="C200" s="53">
        <v>7.0000000000000007E-2</v>
      </c>
      <c r="D200" s="53"/>
      <c r="E200" s="29"/>
      <c r="F200" s="29"/>
      <c r="G200" s="29"/>
      <c r="H200" s="29"/>
      <c r="I200" s="29"/>
    </row>
    <row r="201" spans="1:9" x14ac:dyDescent="0.3">
      <c r="A201" s="52" t="s">
        <v>144</v>
      </c>
      <c r="B201" s="53">
        <v>0.08</v>
      </c>
      <c r="C201" s="53">
        <v>0.13</v>
      </c>
      <c r="D201" s="53"/>
      <c r="E201" s="29"/>
      <c r="F201" s="29"/>
      <c r="G201" s="29"/>
      <c r="H201" s="29"/>
      <c r="I201" s="29"/>
    </row>
    <row r="202" spans="1:9" x14ac:dyDescent="0.3">
      <c r="A202" s="54" t="s">
        <v>113</v>
      </c>
      <c r="B202" s="53">
        <v>0.09</v>
      </c>
      <c r="C202" s="53">
        <v>0.14000000000000001</v>
      </c>
      <c r="D202" s="53"/>
      <c r="E202" s="29"/>
      <c r="F202" s="29"/>
      <c r="G202" s="29"/>
      <c r="H202" s="29"/>
      <c r="I202" s="29"/>
    </row>
    <row r="203" spans="1:9" x14ac:dyDescent="0.3">
      <c r="A203" s="54" t="s">
        <v>114</v>
      </c>
      <c r="B203" s="53">
        <v>0.05</v>
      </c>
      <c r="C203" s="53">
        <v>0.11</v>
      </c>
      <c r="D203" s="53"/>
      <c r="E203" s="29"/>
      <c r="F203" s="29"/>
      <c r="G203" s="29"/>
      <c r="H203" s="29"/>
      <c r="I203" s="29"/>
    </row>
    <row r="204" spans="1:9" x14ac:dyDescent="0.3">
      <c r="A204" s="54" t="s">
        <v>115</v>
      </c>
      <c r="B204" s="53">
        <v>0.05</v>
      </c>
      <c r="C204" s="53">
        <v>0.11</v>
      </c>
      <c r="D204" s="53"/>
      <c r="E204" s="29"/>
      <c r="F204" s="29"/>
      <c r="G204" s="29"/>
      <c r="H204" s="29"/>
      <c r="I204" s="29"/>
    </row>
    <row r="205" spans="1:9" x14ac:dyDescent="0.3">
      <c r="A205" s="32" t="s">
        <v>106</v>
      </c>
      <c r="B205" s="33">
        <v>0.09</v>
      </c>
      <c r="C205" s="33">
        <v>0.22</v>
      </c>
      <c r="D205" s="33">
        <v>7.0000000000000007E-2</v>
      </c>
      <c r="E205" s="33">
        <v>0.1</v>
      </c>
      <c r="F205" s="33">
        <v>0.13</v>
      </c>
      <c r="G205" s="33">
        <v>0.01</v>
      </c>
      <c r="H205" s="33">
        <v>0.08</v>
      </c>
      <c r="I205" s="33">
        <v>0.16</v>
      </c>
    </row>
    <row r="206" spans="1:9" x14ac:dyDescent="0.3">
      <c r="A206" s="30" t="s">
        <v>113</v>
      </c>
      <c r="B206" s="29">
        <v>0.23</v>
      </c>
      <c r="C206" s="29">
        <v>0.34</v>
      </c>
      <c r="D206" s="29">
        <v>7.0000000000000007E-2</v>
      </c>
      <c r="E206" s="29">
        <v>0.09</v>
      </c>
      <c r="F206" s="29">
        <v>0.12</v>
      </c>
      <c r="G206" s="29">
        <v>0</v>
      </c>
      <c r="H206" s="29">
        <v>0.08</v>
      </c>
      <c r="I206" s="29">
        <v>0.17</v>
      </c>
    </row>
    <row r="207" spans="1:9" x14ac:dyDescent="0.3">
      <c r="A207" s="30" t="s">
        <v>114</v>
      </c>
      <c r="B207" s="29">
        <v>-0.08</v>
      </c>
      <c r="C207" s="29">
        <v>0.05</v>
      </c>
      <c r="D207" s="29">
        <v>0.1</v>
      </c>
      <c r="E207" s="29">
        <v>0.15</v>
      </c>
      <c r="F207" s="29">
        <v>0.15</v>
      </c>
      <c r="G207" s="29">
        <v>0.03</v>
      </c>
      <c r="H207" s="29">
        <v>0.1</v>
      </c>
      <c r="I207" s="29">
        <v>0.12</v>
      </c>
    </row>
    <row r="208" spans="1:9" x14ac:dyDescent="0.3">
      <c r="A208" s="30" t="s">
        <v>115</v>
      </c>
      <c r="B208" s="29">
        <v>-0.06</v>
      </c>
      <c r="C208" s="29">
        <v>0.03</v>
      </c>
      <c r="D208" s="29">
        <v>-0.06</v>
      </c>
      <c r="E208" s="29">
        <v>-0.08</v>
      </c>
      <c r="F208" s="29">
        <v>0.08</v>
      </c>
      <c r="G208" s="29">
        <v>-0.04</v>
      </c>
      <c r="H208" s="29">
        <v>-0.09</v>
      </c>
      <c r="I208" s="29">
        <v>0.28000000000000003</v>
      </c>
    </row>
    <row r="209" spans="1:9" x14ac:dyDescent="0.3">
      <c r="A209" s="32" t="s">
        <v>107</v>
      </c>
      <c r="B209" s="33">
        <v>-0.02</v>
      </c>
      <c r="C209" s="33">
        <v>-0.3</v>
      </c>
      <c r="D209" s="33">
        <v>0.02</v>
      </c>
      <c r="E209" s="33">
        <v>0.12</v>
      </c>
      <c r="F209" s="33">
        <v>-0.53</v>
      </c>
      <c r="G209" s="33">
        <v>-0.26</v>
      </c>
      <c r="H209" s="33">
        <v>-0.17</v>
      </c>
      <c r="I209" s="33">
        <v>3.02</v>
      </c>
    </row>
    <row r="210" spans="1:9" x14ac:dyDescent="0.3">
      <c r="A210" s="34" t="s">
        <v>103</v>
      </c>
      <c r="B210" s="36">
        <v>0.14000000000000001</v>
      </c>
      <c r="C210" s="36">
        <v>0.13</v>
      </c>
      <c r="D210" s="36">
        <v>0.08</v>
      </c>
      <c r="E210" s="36">
        <v>0.05</v>
      </c>
      <c r="F210" s="36">
        <v>0.11</v>
      </c>
      <c r="G210" s="36">
        <v>-0.02</v>
      </c>
      <c r="H210" s="36">
        <v>0.17</v>
      </c>
      <c r="I210" s="36">
        <v>0.06</v>
      </c>
    </row>
    <row r="211" spans="1:9" x14ac:dyDescent="0.3">
      <c r="A211" s="32" t="s">
        <v>104</v>
      </c>
      <c r="B211" s="33">
        <v>0.21</v>
      </c>
      <c r="C211" s="33">
        <v>0.02</v>
      </c>
      <c r="D211" s="33">
        <v>0.06</v>
      </c>
      <c r="E211" s="33">
        <v>-0.11</v>
      </c>
      <c r="F211" s="33">
        <v>-0.03</v>
      </c>
      <c r="G211" s="33">
        <v>-0.01</v>
      </c>
      <c r="H211" s="33">
        <v>0.16</v>
      </c>
      <c r="I211" s="33">
        <v>7.0000000000000007E-2</v>
      </c>
    </row>
    <row r="212" spans="1:9" x14ac:dyDescent="0.3">
      <c r="A212" s="30" t="s">
        <v>113</v>
      </c>
      <c r="B212" s="29"/>
      <c r="C212" s="29"/>
      <c r="D212" s="29"/>
      <c r="E212" s="29"/>
      <c r="F212" s="29"/>
      <c r="G212" s="29">
        <v>0.01</v>
      </c>
      <c r="H212" s="29">
        <v>0.17</v>
      </c>
      <c r="I212" s="29">
        <v>0.06</v>
      </c>
    </row>
    <row r="213" spans="1:9" x14ac:dyDescent="0.3">
      <c r="A213" s="30" t="s">
        <v>114</v>
      </c>
      <c r="B213" s="29"/>
      <c r="C213" s="29"/>
      <c r="D213" s="29"/>
      <c r="E213" s="29"/>
      <c r="F213" s="29"/>
      <c r="G213" s="29">
        <v>-0.22</v>
      </c>
      <c r="H213" s="29">
        <v>0.13</v>
      </c>
      <c r="I213" s="29">
        <v>-0.03</v>
      </c>
    </row>
    <row r="214" spans="1:9" x14ac:dyDescent="0.3">
      <c r="A214" s="30" t="s">
        <v>115</v>
      </c>
      <c r="B214" s="29"/>
      <c r="C214" s="29"/>
      <c r="D214" s="29"/>
      <c r="E214" s="29"/>
      <c r="F214" s="29"/>
      <c r="G214" s="29">
        <v>0.08</v>
      </c>
      <c r="H214" s="29">
        <v>0.14000000000000001</v>
      </c>
      <c r="I214" s="29">
        <v>-0.16</v>
      </c>
    </row>
    <row r="215" spans="1:9" x14ac:dyDescent="0.3">
      <c r="A215" s="30" t="s">
        <v>121</v>
      </c>
      <c r="B215" s="29"/>
      <c r="C215" s="29"/>
      <c r="D215" s="29"/>
      <c r="E215" s="29"/>
      <c r="F215" s="29"/>
      <c r="G215" s="29">
        <v>-0.14000000000000001</v>
      </c>
      <c r="H215" s="29">
        <v>-0.01</v>
      </c>
      <c r="I215" s="29">
        <v>0.42</v>
      </c>
    </row>
    <row r="216" spans="1:9" x14ac:dyDescent="0.3">
      <c r="A216" s="28" t="s">
        <v>108</v>
      </c>
      <c r="B216" s="29">
        <v>0</v>
      </c>
      <c r="C216" s="29">
        <v>0</v>
      </c>
      <c r="D216" s="29">
        <v>0</v>
      </c>
      <c r="E216" s="29">
        <v>0</v>
      </c>
      <c r="F216" s="29">
        <v>0</v>
      </c>
      <c r="G216" s="29">
        <v>0</v>
      </c>
      <c r="H216" s="29">
        <v>0</v>
      </c>
      <c r="I216" s="29">
        <v>0</v>
      </c>
    </row>
    <row r="217" spans="1:9" ht="15" thickBot="1" x14ac:dyDescent="0.35">
      <c r="A217" s="31" t="s">
        <v>105</v>
      </c>
      <c r="B217" s="35">
        <v>0.14000000000000001</v>
      </c>
      <c r="C217" s="35">
        <v>0.12</v>
      </c>
      <c r="D217" s="35">
        <v>0.08</v>
      </c>
      <c r="E217" s="35">
        <v>0.04</v>
      </c>
      <c r="F217" s="35">
        <v>0.11</v>
      </c>
      <c r="G217" s="35">
        <v>-0.02</v>
      </c>
      <c r="H217" s="55">
        <v>0.17</v>
      </c>
      <c r="I217" s="35">
        <v>0.06</v>
      </c>
    </row>
    <row r="218" spans="1:9" ht="15" thickTop="1" x14ac:dyDescent="0.3"/>
    <row r="220" spans="1:9" x14ac:dyDescent="0.3">
      <c r="A220" s="27" t="s">
        <v>145</v>
      </c>
    </row>
    <row r="221" spans="1:9" x14ac:dyDescent="0.3">
      <c r="A221" s="32" t="s">
        <v>100</v>
      </c>
      <c r="B221" s="33">
        <v>0.12</v>
      </c>
      <c r="C221" s="33">
        <v>7.0000000000000007E-2</v>
      </c>
      <c r="D221" s="33">
        <v>0.03</v>
      </c>
      <c r="E221" s="33">
        <v>-0.02</v>
      </c>
      <c r="F221" s="33">
        <v>7.0000000000000007E-2</v>
      </c>
      <c r="G221" s="33">
        <v>-0.09</v>
      </c>
      <c r="H221" s="33">
        <v>0.19</v>
      </c>
      <c r="I221" s="33">
        <v>7.0000000000000007E-2</v>
      </c>
    </row>
    <row r="222" spans="1:9" x14ac:dyDescent="0.3">
      <c r="A222" s="30" t="s">
        <v>113</v>
      </c>
      <c r="B222" s="29">
        <v>0.14000000000000001</v>
      </c>
      <c r="C222" s="29">
        <v>0.09</v>
      </c>
      <c r="D222" s="29">
        <v>0.04</v>
      </c>
      <c r="E222" s="29">
        <v>-0.04</v>
      </c>
      <c r="F222" s="29">
        <v>0.08</v>
      </c>
      <c r="G222" s="29">
        <v>-7.0000000000000007E-2</v>
      </c>
      <c r="H222" s="29">
        <v>0.25</v>
      </c>
      <c r="I222" s="29">
        <v>0.05</v>
      </c>
    </row>
    <row r="223" spans="1:9" x14ac:dyDescent="0.3">
      <c r="A223" s="30" t="s">
        <v>114</v>
      </c>
      <c r="B223" s="29">
        <v>0.12</v>
      </c>
      <c r="C223" s="29">
        <v>0.08</v>
      </c>
      <c r="D223" s="29">
        <v>0.03</v>
      </c>
      <c r="E223" s="29">
        <v>0.01</v>
      </c>
      <c r="F223" s="29">
        <v>7.0000000000000007E-2</v>
      </c>
      <c r="G223" s="29">
        <v>-0.12</v>
      </c>
      <c r="H223" s="29">
        <v>0.08</v>
      </c>
      <c r="I223" s="29">
        <v>0.09</v>
      </c>
    </row>
    <row r="224" spans="1:9" x14ac:dyDescent="0.3">
      <c r="A224" s="30" t="s">
        <v>115</v>
      </c>
      <c r="B224" s="29">
        <v>-0.05</v>
      </c>
      <c r="C224" s="29">
        <v>-0.13</v>
      </c>
      <c r="D224" s="29">
        <v>-0.1</v>
      </c>
      <c r="E224" s="29">
        <v>-0.08</v>
      </c>
      <c r="F224" s="29">
        <v>0</v>
      </c>
      <c r="G224" s="29">
        <v>-0.14000000000000001</v>
      </c>
      <c r="H224" s="29">
        <v>-0.02</v>
      </c>
      <c r="I224" s="29">
        <v>0.25</v>
      </c>
    </row>
    <row r="225" spans="1:9" x14ac:dyDescent="0.3">
      <c r="A225" s="32" t="s">
        <v>101</v>
      </c>
      <c r="B225" s="33"/>
      <c r="C225" s="33"/>
      <c r="D225" s="33">
        <v>0.05</v>
      </c>
      <c r="E225" s="33">
        <v>0.16</v>
      </c>
      <c r="F225" s="33">
        <v>0.06</v>
      </c>
      <c r="G225" s="33">
        <v>-0.05</v>
      </c>
      <c r="H225" s="33">
        <v>0.23</v>
      </c>
      <c r="I225" s="33">
        <v>0.09</v>
      </c>
    </row>
    <row r="226" spans="1:9" x14ac:dyDescent="0.3">
      <c r="A226" s="30" t="s">
        <v>113</v>
      </c>
      <c r="B226" s="29"/>
      <c r="C226" s="29"/>
      <c r="D226" s="29">
        <v>0.03</v>
      </c>
      <c r="E226" s="29">
        <v>0.13</v>
      </c>
      <c r="F226" s="29">
        <v>7.0000000000000007E-2</v>
      </c>
      <c r="G226" s="29">
        <v>-0.06</v>
      </c>
      <c r="H226" s="29">
        <v>0.18</v>
      </c>
      <c r="I226" s="29">
        <v>0.06</v>
      </c>
    </row>
    <row r="227" spans="1:9" x14ac:dyDescent="0.3">
      <c r="A227" s="30" t="s">
        <v>114</v>
      </c>
      <c r="B227" s="29"/>
      <c r="C227" s="29"/>
      <c r="D227" s="29">
        <v>0.11</v>
      </c>
      <c r="E227" s="29">
        <v>0.23</v>
      </c>
      <c r="F227" s="29">
        <v>0.05</v>
      </c>
      <c r="G227" s="29">
        <v>-0.01</v>
      </c>
      <c r="H227" s="29">
        <v>0.31</v>
      </c>
      <c r="I227" s="29">
        <v>0.13</v>
      </c>
    </row>
    <row r="228" spans="1:9" x14ac:dyDescent="0.3">
      <c r="A228" s="30" t="s">
        <v>115</v>
      </c>
      <c r="B228" s="29"/>
      <c r="C228" s="29"/>
      <c r="D228" s="29">
        <v>0.02</v>
      </c>
      <c r="E228" s="29">
        <v>0.11</v>
      </c>
      <c r="F228" s="29">
        <v>0.01</v>
      </c>
      <c r="G228" s="29">
        <v>-7.0000000000000007E-2</v>
      </c>
      <c r="H228" s="29">
        <v>0.22</v>
      </c>
      <c r="I228" s="29">
        <v>0.15</v>
      </c>
    </row>
    <row r="229" spans="1:9" x14ac:dyDescent="0.3">
      <c r="A229" s="32" t="s">
        <v>102</v>
      </c>
      <c r="B229" s="33">
        <v>0.18</v>
      </c>
      <c r="C229" s="33">
        <v>0.23</v>
      </c>
      <c r="D229" s="33">
        <v>0.12</v>
      </c>
      <c r="E229" s="33">
        <v>0.21</v>
      </c>
      <c r="F229" s="33">
        <v>0.21</v>
      </c>
      <c r="G229" s="33">
        <v>0.08</v>
      </c>
      <c r="H229" s="33">
        <v>0.24</v>
      </c>
      <c r="I229" s="33">
        <v>-0.09</v>
      </c>
    </row>
    <row r="230" spans="1:9" x14ac:dyDescent="0.3">
      <c r="A230" s="30" t="s">
        <v>113</v>
      </c>
      <c r="B230" s="29">
        <v>0.26</v>
      </c>
      <c r="C230" s="29">
        <v>0.28999999999999998</v>
      </c>
      <c r="D230" s="29">
        <v>0.12</v>
      </c>
      <c r="E230" s="29">
        <v>0.2</v>
      </c>
      <c r="F230" s="29">
        <v>0.22</v>
      </c>
      <c r="G230" s="29">
        <v>0.09</v>
      </c>
      <c r="H230" s="29">
        <v>0.24</v>
      </c>
      <c r="I230" s="29">
        <v>-0.06</v>
      </c>
    </row>
    <row r="231" spans="1:9" x14ac:dyDescent="0.3">
      <c r="A231" s="30" t="s">
        <v>114</v>
      </c>
      <c r="B231" s="29">
        <v>0.06</v>
      </c>
      <c r="C231" s="29">
        <v>0.14000000000000001</v>
      </c>
      <c r="D231" s="29">
        <v>0.13</v>
      </c>
      <c r="E231" s="29">
        <v>0.27</v>
      </c>
      <c r="F231" s="29">
        <v>0.2</v>
      </c>
      <c r="G231" s="29">
        <v>0.05</v>
      </c>
      <c r="H231" s="29">
        <v>0.24</v>
      </c>
      <c r="I231" s="29">
        <v>-0.17</v>
      </c>
    </row>
    <row r="232" spans="1:9" x14ac:dyDescent="0.3">
      <c r="A232" s="30" t="s">
        <v>115</v>
      </c>
      <c r="B232" s="29">
        <v>0</v>
      </c>
      <c r="C232" s="29">
        <v>0.04</v>
      </c>
      <c r="D232" s="29">
        <v>-0.02</v>
      </c>
      <c r="E232" s="29">
        <v>0.01</v>
      </c>
      <c r="F232" s="29">
        <v>0.06</v>
      </c>
      <c r="G232" s="29">
        <v>7.0000000000000007E-2</v>
      </c>
      <c r="H232" s="29">
        <v>0.32</v>
      </c>
      <c r="I232" s="29">
        <v>-0.01</v>
      </c>
    </row>
    <row r="233" spans="1:9" x14ac:dyDescent="0.3">
      <c r="A233" s="52" t="s">
        <v>142</v>
      </c>
      <c r="B233" s="53">
        <v>0.15</v>
      </c>
      <c r="C233" s="53">
        <v>0.03</v>
      </c>
      <c r="D233" s="53"/>
      <c r="E233" s="29"/>
      <c r="F233" s="29"/>
      <c r="G233" s="29"/>
      <c r="H233" s="29"/>
      <c r="I233" s="29"/>
    </row>
    <row r="234" spans="1:9" x14ac:dyDescent="0.3">
      <c r="A234" s="54" t="s">
        <v>113</v>
      </c>
      <c r="B234" s="53">
        <v>0.17</v>
      </c>
      <c r="C234" s="53">
        <v>0.03</v>
      </c>
      <c r="D234" s="53"/>
      <c r="E234" s="29"/>
      <c r="F234" s="29"/>
      <c r="G234" s="29"/>
      <c r="H234" s="29"/>
      <c r="I234" s="29"/>
    </row>
    <row r="235" spans="1:9" x14ac:dyDescent="0.3">
      <c r="A235" s="54" t="s">
        <v>114</v>
      </c>
      <c r="B235" s="53">
        <v>0.09</v>
      </c>
      <c r="C235" s="53">
        <v>0.05</v>
      </c>
      <c r="D235" s="53"/>
      <c r="E235" s="29"/>
      <c r="F235" s="29"/>
      <c r="G235" s="29"/>
      <c r="H235" s="29"/>
      <c r="I235" s="29"/>
    </row>
    <row r="236" spans="1:9" x14ac:dyDescent="0.3">
      <c r="A236" s="54" t="s">
        <v>115</v>
      </c>
      <c r="B236" s="53">
        <v>0.09</v>
      </c>
      <c r="C236" s="53">
        <v>-0.02</v>
      </c>
      <c r="D236" s="53"/>
      <c r="E236" s="29"/>
      <c r="F236" s="29"/>
      <c r="G236" s="29"/>
      <c r="H236" s="29"/>
      <c r="I236" s="29"/>
    </row>
    <row r="237" spans="1:9" x14ac:dyDescent="0.3">
      <c r="A237" s="52" t="s">
        <v>143</v>
      </c>
      <c r="B237" s="53">
        <v>0.02</v>
      </c>
      <c r="C237" s="53">
        <v>0.01</v>
      </c>
      <c r="D237" s="53"/>
      <c r="E237" s="29"/>
      <c r="F237" s="29"/>
      <c r="G237" s="29"/>
      <c r="H237" s="29"/>
      <c r="I237" s="29"/>
    </row>
    <row r="238" spans="1:9" x14ac:dyDescent="0.3">
      <c r="A238" s="54" t="s">
        <v>113</v>
      </c>
      <c r="B238" s="53">
        <v>0.08</v>
      </c>
      <c r="C238" s="53">
        <v>7.0000000000000007E-2</v>
      </c>
      <c r="D238" s="53"/>
      <c r="E238" s="29"/>
      <c r="F238" s="29"/>
      <c r="G238" s="29"/>
      <c r="H238" s="29"/>
      <c r="I238" s="29"/>
    </row>
    <row r="239" spans="1:9" x14ac:dyDescent="0.3">
      <c r="A239" s="54" t="s">
        <v>114</v>
      </c>
      <c r="B239" s="53">
        <v>-0.06</v>
      </c>
      <c r="C239" s="53">
        <v>-7.0000000000000007E-2</v>
      </c>
      <c r="D239" s="53"/>
      <c r="E239" s="29"/>
      <c r="F239" s="29"/>
      <c r="G239" s="29"/>
      <c r="H239" s="29"/>
      <c r="I239" s="29"/>
    </row>
    <row r="240" spans="1:9" x14ac:dyDescent="0.3">
      <c r="A240" s="54" t="s">
        <v>115</v>
      </c>
      <c r="B240" s="53">
        <v>0.03</v>
      </c>
      <c r="C240" s="53">
        <v>-0.09</v>
      </c>
      <c r="D240" s="53"/>
      <c r="E240" s="29"/>
      <c r="F240" s="29"/>
      <c r="G240" s="29"/>
      <c r="H240" s="29"/>
      <c r="I240" s="29"/>
    </row>
    <row r="241" spans="1:9" x14ac:dyDescent="0.3">
      <c r="A241" s="52" t="s">
        <v>144</v>
      </c>
      <c r="B241" s="53">
        <v>-0.01</v>
      </c>
      <c r="C241" s="53">
        <v>-0.05</v>
      </c>
      <c r="D241" s="53"/>
      <c r="E241" s="29"/>
      <c r="F241" s="29"/>
      <c r="G241" s="29"/>
      <c r="H241" s="29"/>
      <c r="I241" s="29"/>
    </row>
    <row r="242" spans="1:9" x14ac:dyDescent="0.3">
      <c r="A242" s="54" t="s">
        <v>113</v>
      </c>
      <c r="B242" s="53">
        <v>0</v>
      </c>
      <c r="C242" s="53">
        <v>-0.04</v>
      </c>
      <c r="D242" s="53"/>
      <c r="E242" s="29"/>
      <c r="F242" s="29"/>
      <c r="G242" s="29"/>
      <c r="H242" s="29"/>
      <c r="I242" s="29"/>
    </row>
    <row r="243" spans="1:9" x14ac:dyDescent="0.3">
      <c r="A243" s="54" t="s">
        <v>114</v>
      </c>
      <c r="B243" s="53">
        <v>-0.04</v>
      </c>
      <c r="C243" s="53">
        <v>-7.0000000000000007E-2</v>
      </c>
      <c r="D243" s="53"/>
      <c r="E243" s="29"/>
      <c r="F243" s="29"/>
      <c r="G243" s="29"/>
      <c r="H243" s="29"/>
      <c r="I243" s="29"/>
    </row>
    <row r="244" spans="1:9" x14ac:dyDescent="0.3">
      <c r="A244" s="54" t="s">
        <v>115</v>
      </c>
      <c r="B244" s="53">
        <v>-0.04</v>
      </c>
      <c r="C244" s="53">
        <v>-0.08</v>
      </c>
      <c r="D244" s="53"/>
      <c r="E244" s="29"/>
      <c r="F244" s="29"/>
      <c r="G244" s="29"/>
      <c r="H244" s="29"/>
      <c r="I244" s="29"/>
    </row>
    <row r="245" spans="1:9" x14ac:dyDescent="0.3">
      <c r="A245" s="32" t="s">
        <v>106</v>
      </c>
      <c r="B245" s="33">
        <v>-0.02</v>
      </c>
      <c r="C245" s="33">
        <v>0.15</v>
      </c>
      <c r="D245" s="33">
        <v>0.1</v>
      </c>
      <c r="E245" s="33">
        <v>0.09</v>
      </c>
      <c r="F245" s="33">
        <v>0.02</v>
      </c>
      <c r="G245" s="33">
        <v>-0.04</v>
      </c>
      <c r="H245" s="33">
        <v>0.06</v>
      </c>
      <c r="I245" s="33">
        <v>0.11</v>
      </c>
    </row>
    <row r="246" spans="1:9" x14ac:dyDescent="0.3">
      <c r="A246" s="30" t="s">
        <v>113</v>
      </c>
      <c r="B246" s="29">
        <v>0.11</v>
      </c>
      <c r="C246" s="29">
        <v>0.26</v>
      </c>
      <c r="D246" s="29">
        <v>0.12</v>
      </c>
      <c r="E246" s="29">
        <v>0.09</v>
      </c>
      <c r="F246" s="29">
        <v>0.01</v>
      </c>
      <c r="G246" s="29">
        <v>-0.05</v>
      </c>
      <c r="H246" s="29">
        <v>0.06</v>
      </c>
      <c r="I246" s="29">
        <v>0.12</v>
      </c>
    </row>
    <row r="247" spans="1:9" x14ac:dyDescent="0.3">
      <c r="A247" s="30" t="s">
        <v>114</v>
      </c>
      <c r="B247" s="29">
        <v>-0.17</v>
      </c>
      <c r="C247" s="29">
        <v>-0.01</v>
      </c>
      <c r="D247" s="29">
        <v>0.06</v>
      </c>
      <c r="E247" s="29">
        <v>0.14000000000000001</v>
      </c>
      <c r="F247" s="29">
        <v>0.04</v>
      </c>
      <c r="G247" s="29">
        <v>-0.02</v>
      </c>
      <c r="H247" s="29">
        <v>0.09</v>
      </c>
      <c r="I247" s="29">
        <v>0.08</v>
      </c>
    </row>
    <row r="248" spans="1:9" x14ac:dyDescent="0.3">
      <c r="A248" s="30" t="s">
        <v>115</v>
      </c>
      <c r="B248" s="29">
        <v>-0.15</v>
      </c>
      <c r="C248" s="29">
        <v>-0.03</v>
      </c>
      <c r="D248" s="29">
        <v>-0.01</v>
      </c>
      <c r="E248" s="29">
        <v>-0.09</v>
      </c>
      <c r="F248" s="29">
        <v>-0.03</v>
      </c>
      <c r="G248" s="29">
        <v>-0.1</v>
      </c>
      <c r="H248" s="29">
        <v>-0.11</v>
      </c>
      <c r="I248" s="29">
        <v>0.23</v>
      </c>
    </row>
    <row r="249" spans="1:9" x14ac:dyDescent="0.3">
      <c r="A249" s="32" t="s">
        <v>107</v>
      </c>
      <c r="B249" s="33">
        <v>-0.08</v>
      </c>
      <c r="C249" s="33">
        <v>-0.37</v>
      </c>
      <c r="D249" s="33">
        <v>0</v>
      </c>
      <c r="E249" s="33">
        <v>0.21</v>
      </c>
      <c r="F249" s="33">
        <v>-0.52</v>
      </c>
      <c r="G249" s="33">
        <v>-0.28999999999999998</v>
      </c>
      <c r="H249" s="33">
        <v>-0.17</v>
      </c>
      <c r="I249" s="33">
        <v>3.08</v>
      </c>
    </row>
    <row r="250" spans="1:9" x14ac:dyDescent="0.3">
      <c r="A250" s="34" t="s">
        <v>103</v>
      </c>
      <c r="B250" s="56">
        <v>0.1</v>
      </c>
      <c r="C250" s="56">
        <v>0.06</v>
      </c>
      <c r="D250" s="56">
        <v>0.06</v>
      </c>
      <c r="E250" s="56">
        <v>7.0000000000000007E-2</v>
      </c>
      <c r="F250" s="56">
        <v>0.08</v>
      </c>
      <c r="G250" s="56">
        <v>-0.04</v>
      </c>
      <c r="H250" s="56">
        <v>0.17</v>
      </c>
      <c r="I250" s="56">
        <v>0.05</v>
      </c>
    </row>
    <row r="251" spans="1:9" x14ac:dyDescent="0.3">
      <c r="A251" s="32" t="s">
        <v>104</v>
      </c>
      <c r="B251" s="33">
        <v>0.18</v>
      </c>
      <c r="C251" s="33">
        <v>-0.01</v>
      </c>
      <c r="D251" s="33">
        <v>0.04</v>
      </c>
      <c r="E251" s="33">
        <v>-0.08</v>
      </c>
      <c r="F251" s="29">
        <v>0.01</v>
      </c>
      <c r="G251" s="33">
        <v>-0.03</v>
      </c>
      <c r="H251" s="33">
        <v>0.19</v>
      </c>
      <c r="I251" s="33">
        <v>0.06</v>
      </c>
    </row>
    <row r="252" spans="1:9" x14ac:dyDescent="0.3">
      <c r="A252" s="30" t="s">
        <v>113</v>
      </c>
      <c r="B252" s="29"/>
      <c r="C252" s="29"/>
      <c r="D252" s="29"/>
      <c r="E252" s="29"/>
      <c r="F252" s="29">
        <v>0.03</v>
      </c>
      <c r="G252" s="29">
        <v>-0.01</v>
      </c>
      <c r="H252" s="29">
        <v>0.21</v>
      </c>
      <c r="I252" s="29">
        <v>0.05</v>
      </c>
    </row>
    <row r="253" spans="1:9" x14ac:dyDescent="0.3">
      <c r="A253" s="30" t="s">
        <v>114</v>
      </c>
      <c r="B253" s="29"/>
      <c r="C253" s="29"/>
      <c r="D253" s="29"/>
      <c r="E253" s="29"/>
      <c r="F253" s="29">
        <v>-0.18</v>
      </c>
      <c r="G253" s="29">
        <v>-0.25</v>
      </c>
      <c r="H253" s="29">
        <v>0.17</v>
      </c>
      <c r="I253" s="29">
        <v>-0.01</v>
      </c>
    </row>
    <row r="254" spans="1:9" x14ac:dyDescent="0.3">
      <c r="A254" s="30" t="s">
        <v>115</v>
      </c>
      <c r="B254" s="29"/>
      <c r="C254" s="29"/>
      <c r="D254" s="29"/>
      <c r="E254" s="29"/>
      <c r="F254" s="29">
        <v>-0.14000000000000001</v>
      </c>
      <c r="G254" s="29">
        <v>0.04</v>
      </c>
      <c r="H254" s="29">
        <v>0.16</v>
      </c>
      <c r="I254" s="29">
        <v>-0.1</v>
      </c>
    </row>
    <row r="255" spans="1:9" x14ac:dyDescent="0.3">
      <c r="A255" s="30" t="s">
        <v>121</v>
      </c>
      <c r="B255" s="29"/>
      <c r="C255" s="29"/>
      <c r="D255" s="29"/>
      <c r="E255" s="29"/>
      <c r="F255" s="29">
        <v>0.03</v>
      </c>
      <c r="G255" s="29">
        <v>-0.15</v>
      </c>
      <c r="H255" s="29">
        <v>-0.04</v>
      </c>
      <c r="I255" s="29">
        <v>0.43</v>
      </c>
    </row>
    <row r="256" spans="1:9" x14ac:dyDescent="0.3">
      <c r="A256" s="28" t="s">
        <v>108</v>
      </c>
      <c r="B256" s="29">
        <v>0</v>
      </c>
      <c r="C256" s="29">
        <v>0</v>
      </c>
      <c r="D256" s="29">
        <v>0</v>
      </c>
      <c r="E256" s="29">
        <v>0</v>
      </c>
      <c r="F256" s="29">
        <v>0</v>
      </c>
      <c r="G256" s="29">
        <v>0</v>
      </c>
      <c r="H256" s="29">
        <v>0</v>
      </c>
      <c r="I256" s="29">
        <v>0</v>
      </c>
    </row>
    <row r="257" spans="1:9" ht="15" thickBot="1" x14ac:dyDescent="0.35">
      <c r="A257" s="31" t="s">
        <v>105</v>
      </c>
      <c r="B257" s="35">
        <v>0.1</v>
      </c>
      <c r="C257" s="35">
        <v>0.06</v>
      </c>
      <c r="D257" s="35">
        <v>0.06</v>
      </c>
      <c r="E257" s="35">
        <v>0.06</v>
      </c>
      <c r="F257" s="35">
        <v>7.0000000000000007E-2</v>
      </c>
      <c r="G257" s="35">
        <v>-0.04</v>
      </c>
      <c r="H257" s="57">
        <v>0.19</v>
      </c>
      <c r="I257" s="35">
        <v>0.05</v>
      </c>
    </row>
    <row r="258"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191" zoomScale="90" zoomScaleNormal="90" workbookViewId="0">
      <selection activeCell="J211" sqref="J211"/>
    </sheetView>
  </sheetViews>
  <sheetFormatPr defaultRowHeight="14.4" x14ac:dyDescent="0.3"/>
  <cols>
    <col min="1" max="1" width="48.6640625" customWidth="1"/>
    <col min="2" max="14" width="11.6640625" customWidth="1"/>
    <col min="15" max="15" width="16.33203125" customWidth="1"/>
    <col min="19" max="19" width="8.5546875" customWidth="1"/>
  </cols>
  <sheetData>
    <row r="1" spans="1:21"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37" t="s">
        <v>222</v>
      </c>
    </row>
    <row r="2" spans="1:21" x14ac:dyDescent="0.3">
      <c r="A2" s="38" t="s">
        <v>128</v>
      </c>
      <c r="B2" s="38"/>
      <c r="C2" s="38"/>
      <c r="D2" s="38"/>
      <c r="E2" s="38"/>
      <c r="F2" s="38"/>
      <c r="G2" s="38"/>
      <c r="H2" s="38"/>
      <c r="I2" s="38"/>
      <c r="J2" s="37"/>
      <c r="K2" s="37"/>
      <c r="L2" s="37"/>
      <c r="M2" s="37"/>
      <c r="N2" s="37"/>
      <c r="O2" s="37"/>
    </row>
    <row r="3" spans="1:21" x14ac:dyDescent="0.3">
      <c r="A3" s="39" t="s">
        <v>139</v>
      </c>
      <c r="B3" s="69">
        <f>Historicals!B133</f>
        <v>30601</v>
      </c>
      <c r="C3" s="69">
        <f>Historicals!C133</f>
        <v>32376</v>
      </c>
      <c r="D3" s="69">
        <f>Historicals!D133</f>
        <v>34350</v>
      </c>
      <c r="E3" s="69">
        <f>Historicals!E133</f>
        <v>36397</v>
      </c>
      <c r="F3" s="69">
        <f>Historicals!F133</f>
        <v>39117</v>
      </c>
      <c r="G3" s="69">
        <f>Historicals!G133</f>
        <v>37403</v>
      </c>
      <c r="H3" s="69">
        <f>Historicals!H133</f>
        <v>44538</v>
      </c>
      <c r="I3" s="69">
        <f>Historicals!I133</f>
        <v>46710</v>
      </c>
      <c r="J3" s="69">
        <f>SUM(J21,J51,J81,J111,J141,J159,J192)</f>
        <v>51040.36400695359</v>
      </c>
      <c r="K3" s="69">
        <f t="shared" ref="K3:N3" si="2">SUM(K21,K51,K81,K111,K141,K159,K192)</f>
        <v>55561.256504157267</v>
      </c>
      <c r="L3" s="69">
        <f t="shared" si="2"/>
        <v>58538.524996838321</v>
      </c>
      <c r="M3" s="69">
        <f t="shared" si="2"/>
        <v>61475.575719132823</v>
      </c>
      <c r="N3" s="69">
        <f t="shared" si="2"/>
        <v>64490.509223470508</v>
      </c>
      <c r="Q3" s="63"/>
      <c r="R3" s="63"/>
      <c r="S3" s="63"/>
      <c r="T3" s="63"/>
      <c r="U3" s="63"/>
    </row>
    <row r="4" spans="1:21" x14ac:dyDescent="0.3">
      <c r="A4" s="40" t="s">
        <v>129</v>
      </c>
      <c r="B4" s="60" t="str">
        <f>IFERROR((B3-A3)/A3,"nm")</f>
        <v>nm</v>
      </c>
      <c r="C4" s="59">
        <f>IFERROR((C3-B3)/B3,"nm")</f>
        <v>5.8004640371229696E-2</v>
      </c>
      <c r="D4" s="59">
        <f t="shared" ref="D4:I4" si="3">IFERROR((D3-C3)/C3,"nm")</f>
        <v>6.0971089696071165E-2</v>
      </c>
      <c r="E4" s="59">
        <f t="shared" si="3"/>
        <v>5.9592430858806403E-2</v>
      </c>
      <c r="F4" s="59">
        <f t="shared" si="3"/>
        <v>7.4731433909388134E-2</v>
      </c>
      <c r="G4" s="59">
        <f t="shared" si="3"/>
        <v>-4.3817266150267146E-2</v>
      </c>
      <c r="H4" s="59">
        <f t="shared" si="3"/>
        <v>0.1907600994572628</v>
      </c>
      <c r="I4" s="59">
        <f t="shared" si="3"/>
        <v>4.8767344739323724E-2</v>
      </c>
      <c r="J4" s="70">
        <f t="shared" ref="J4" si="4">IFERROR((J3-I3)/I3,"nm")</f>
        <v>9.2707428964966615E-2</v>
      </c>
      <c r="K4" s="70">
        <f t="shared" ref="K4" si="5">IFERROR((K3-J3)/J3,"nm")</f>
        <v>8.8574848262989725E-2</v>
      </c>
      <c r="L4" s="70">
        <f t="shared" ref="L4" si="6">IFERROR((L3-K3)/K3,"nm")</f>
        <v>5.3585334098020007E-2</v>
      </c>
      <c r="M4" s="70">
        <f t="shared" ref="M4" si="7">IFERROR((M3-L3)/L3,"nm")</f>
        <v>5.0172954006837932E-2</v>
      </c>
      <c r="N4" s="70">
        <f t="shared" ref="N4" si="8">IFERROR((N3-M3)/M3,"nm")</f>
        <v>4.9042786001910643E-2</v>
      </c>
    </row>
    <row r="5" spans="1:21" x14ac:dyDescent="0.3">
      <c r="A5" s="39" t="s">
        <v>130</v>
      </c>
      <c r="B5" s="58">
        <f>Historicals!B144+Historicals!B177</f>
        <v>4839</v>
      </c>
      <c r="C5" s="58">
        <f>Historicals!C144+Historicals!C177</f>
        <v>5291</v>
      </c>
      <c r="D5" s="58">
        <f>Historicals!D144+Historicals!D177</f>
        <v>5651</v>
      </c>
      <c r="E5" s="58">
        <f>Historicals!E144+Historicals!E177</f>
        <v>5126</v>
      </c>
      <c r="F5" s="58">
        <f>Historicals!F144+Historicals!F177</f>
        <v>5555</v>
      </c>
      <c r="G5" s="58">
        <f>Historicals!G144+Historicals!G177</f>
        <v>3697</v>
      </c>
      <c r="H5" s="58">
        <f>Historicals!H144+Historicals!H177</f>
        <v>7667</v>
      </c>
      <c r="I5" s="58">
        <f>Historicals!I144+Historicals!I177</f>
        <v>7573</v>
      </c>
      <c r="J5" s="69">
        <f>SUM(J35,J65,J95,J125,J143,J173)</f>
        <v>7870.7517029125293</v>
      </c>
      <c r="K5" s="69">
        <f t="shared" ref="K5:N5" si="9">SUM(K35,K65,K95,K125,K143,K173)</f>
        <v>9935.8088673127186</v>
      </c>
      <c r="L5" s="69">
        <f t="shared" si="9"/>
        <v>12017.479022396448</v>
      </c>
      <c r="M5" s="69">
        <f t="shared" si="9"/>
        <v>14779.740317908801</v>
      </c>
      <c r="N5" s="69">
        <f t="shared" si="9"/>
        <v>17350.893157316605</v>
      </c>
    </row>
    <row r="6" spans="1:21" x14ac:dyDescent="0.3">
      <c r="A6" s="40" t="s">
        <v>129</v>
      </c>
      <c r="B6" s="60" t="str">
        <f>IFERROR((B5-A5)/A5,"nm")</f>
        <v>nm</v>
      </c>
      <c r="C6" s="60">
        <f>IFERROR((C5-B5)/B5,"nm")</f>
        <v>9.340772886960115E-2</v>
      </c>
      <c r="D6" s="60">
        <f t="shared" ref="D6:I6" si="10">IFERROR((D5-C5)/C5,"nm")</f>
        <v>6.8040068040068041E-2</v>
      </c>
      <c r="E6" s="60">
        <f t="shared" si="10"/>
        <v>-9.2903910812245624E-2</v>
      </c>
      <c r="F6" s="60">
        <f t="shared" si="10"/>
        <v>8.3690987124463517E-2</v>
      </c>
      <c r="G6" s="60">
        <f t="shared" si="10"/>
        <v>-0.3344734473447345</v>
      </c>
      <c r="H6" s="60">
        <f t="shared" si="10"/>
        <v>1.0738436570192047</v>
      </c>
      <c r="I6" s="60">
        <f t="shared" si="10"/>
        <v>-1.2260336507108387E-2</v>
      </c>
      <c r="J6" s="83">
        <f t="shared" ref="J6" si="11">IFERROR((J5-I5)/I5,"nm")</f>
        <v>3.9317536367691704E-2</v>
      </c>
      <c r="K6" s="83">
        <f t="shared" ref="K6" si="12">IFERROR((K5-J5)/J5,"nm")</f>
        <v>0.26237102151704594</v>
      </c>
      <c r="L6" s="83">
        <f t="shared" ref="L6" si="13">IFERROR((L5-K5)/K5,"nm")</f>
        <v>0.20951189610058865</v>
      </c>
      <c r="M6" s="83">
        <f t="shared" ref="M6" si="14">IFERROR((M5-L5)/L5,"nm")</f>
        <v>0.22985363988274479</v>
      </c>
      <c r="N6" s="83">
        <f t="shared" ref="N6" si="15">IFERROR((N5-M5)/M5,"nm")</f>
        <v>0.17396468301221127</v>
      </c>
    </row>
    <row r="7" spans="1:21" ht="15.75" customHeight="1" x14ac:dyDescent="0.3">
      <c r="A7" s="40" t="s">
        <v>131</v>
      </c>
      <c r="B7" s="59">
        <f>IFERROR(B5/B$3, "nm")</f>
        <v>0.15813208718669325</v>
      </c>
      <c r="C7" s="59">
        <f t="shared" ref="C7:N7" si="16">IFERROR(C5/C$3, "nm")</f>
        <v>0.16342352359772672</v>
      </c>
      <c r="D7" s="59">
        <f t="shared" si="16"/>
        <v>0.16451237263464338</v>
      </c>
      <c r="E7" s="59">
        <f t="shared" si="16"/>
        <v>0.14083578316894249</v>
      </c>
      <c r="F7" s="59">
        <f t="shared" si="16"/>
        <v>0.14200986783240024</v>
      </c>
      <c r="G7" s="59">
        <f t="shared" si="16"/>
        <v>9.8842338849824879E-2</v>
      </c>
      <c r="H7" s="59">
        <f t="shared" si="16"/>
        <v>0.17214513449189456</v>
      </c>
      <c r="I7" s="59">
        <f t="shared" si="16"/>
        <v>0.16212802397773496</v>
      </c>
      <c r="J7" s="59">
        <f t="shared" si="16"/>
        <v>0.15420641792131892</v>
      </c>
      <c r="K7" s="59">
        <f t="shared" si="16"/>
        <v>0.17882620898915938</v>
      </c>
      <c r="L7" s="59">
        <f t="shared" si="16"/>
        <v>0.20529179754777754</v>
      </c>
      <c r="M7" s="59">
        <f t="shared" si="16"/>
        <v>0.24041646044005988</v>
      </c>
      <c r="N7" s="59">
        <f t="shared" si="16"/>
        <v>0.2690456838725343</v>
      </c>
    </row>
    <row r="8" spans="1:21" x14ac:dyDescent="0.3">
      <c r="A8" s="39" t="s">
        <v>132</v>
      </c>
      <c r="B8" s="46">
        <f>Historicals!B177</f>
        <v>606</v>
      </c>
      <c r="C8" s="46">
        <f>Historicals!C177</f>
        <v>649</v>
      </c>
      <c r="D8" s="46">
        <f>Historicals!D177</f>
        <v>706</v>
      </c>
      <c r="E8" s="46">
        <f>Historicals!E177</f>
        <v>747</v>
      </c>
      <c r="F8" s="46">
        <f>Historicals!F177</f>
        <v>705</v>
      </c>
      <c r="G8" s="46">
        <f>Historicals!G177</f>
        <v>721</v>
      </c>
      <c r="H8" s="46">
        <f>Historicals!H177</f>
        <v>744</v>
      </c>
      <c r="I8" s="46">
        <f>Historicals!I177</f>
        <v>717</v>
      </c>
      <c r="J8" s="72">
        <f>SUM(J38,J68,J98,J128,J146,J176,J199)</f>
        <v>749.63291420891494</v>
      </c>
      <c r="K8" s="72">
        <f t="shared" ref="K8:N8" si="17">SUM(K38,K68,K98,K128,K146,K176,K199)</f>
        <v>769.25061335262978</v>
      </c>
      <c r="L8" s="72">
        <f t="shared" si="17"/>
        <v>777.15373818243461</v>
      </c>
      <c r="M8" s="72">
        <f t="shared" si="17"/>
        <v>807.69621626010246</v>
      </c>
      <c r="N8" s="72">
        <f t="shared" si="17"/>
        <v>837.25221053191831</v>
      </c>
    </row>
    <row r="9" spans="1:21" x14ac:dyDescent="0.3">
      <c r="A9" s="40" t="s">
        <v>129</v>
      </c>
      <c r="B9" s="60" t="str">
        <f>IFERROR((B8-A8)/A8,"nm")</f>
        <v>nm</v>
      </c>
      <c r="C9" s="60">
        <f t="shared" ref="C9:I9" si="18">IFERROR((C8-B8)/B8,"nm")</f>
        <v>7.0957095709570955E-2</v>
      </c>
      <c r="D9" s="60">
        <f t="shared" si="18"/>
        <v>8.7827426810477657E-2</v>
      </c>
      <c r="E9" s="60">
        <f t="shared" si="18"/>
        <v>5.8073654390934842E-2</v>
      </c>
      <c r="F9" s="60">
        <f t="shared" si="18"/>
        <v>-5.6224899598393573E-2</v>
      </c>
      <c r="G9" s="60">
        <f t="shared" si="18"/>
        <v>2.2695035460992909E-2</v>
      </c>
      <c r="H9" s="60">
        <f t="shared" si="18"/>
        <v>3.1900138696255201E-2</v>
      </c>
      <c r="I9" s="60">
        <f t="shared" si="18"/>
        <v>-3.6290322580645164E-2</v>
      </c>
      <c r="J9" s="71">
        <f t="shared" ref="J9" si="19">IFERROR((J8-I8)/I8,"nm")</f>
        <v>4.5513129998486668E-2</v>
      </c>
      <c r="K9" s="71">
        <f t="shared" ref="K9" si="20">IFERROR((K8-J8)/J8,"nm")</f>
        <v>2.6169740911679867E-2</v>
      </c>
      <c r="L9" s="71">
        <f t="shared" ref="L9" si="21">IFERROR((L8-K8)/K8,"nm")</f>
        <v>1.02737972419165E-2</v>
      </c>
      <c r="M9" s="71">
        <f t="shared" ref="M9" si="22">IFERROR((M8-L8)/L8,"nm")</f>
        <v>3.9300432561900758E-2</v>
      </c>
      <c r="N9" s="71">
        <f t="shared" ref="N9" si="23">IFERROR((N8-M8)/M8,"nm")</f>
        <v>3.6592958685221735E-2</v>
      </c>
      <c r="O9" s="71"/>
    </row>
    <row r="10" spans="1:21" x14ac:dyDescent="0.3">
      <c r="A10" s="40" t="s">
        <v>133</v>
      </c>
      <c r="B10" s="59">
        <f>IFERROR(B8/B$3, "nm")</f>
        <v>1.9803274402797295E-2</v>
      </c>
      <c r="C10" s="59">
        <f t="shared" ref="C10:H10" si="24">IFERROR(C8/C$3, "nm")</f>
        <v>2.0045712873733631E-2</v>
      </c>
      <c r="D10" s="59">
        <f t="shared" si="24"/>
        <v>2.0553129548762736E-2</v>
      </c>
      <c r="E10" s="59">
        <f t="shared" si="24"/>
        <v>2.0523669533203285E-2</v>
      </c>
      <c r="F10" s="59">
        <f t="shared" si="24"/>
        <v>1.8022854513382928E-2</v>
      </c>
      <c r="G10" s="59">
        <f t="shared" si="24"/>
        <v>1.9276528620698875E-2</v>
      </c>
      <c r="H10" s="59">
        <f t="shared" si="24"/>
        <v>1.6704836319547355E-2</v>
      </c>
      <c r="I10" s="59">
        <f t="shared" ref="I10:N10" si="25">I8/I3</f>
        <v>1.5350032113037893E-2</v>
      </c>
      <c r="J10" s="59">
        <f t="shared" si="25"/>
        <v>1.4687060501895855E-2</v>
      </c>
      <c r="K10" s="59">
        <f t="shared" si="25"/>
        <v>1.384509029768022E-2</v>
      </c>
      <c r="L10" s="59">
        <f t="shared" si="25"/>
        <v>1.3275936457647486E-2</v>
      </c>
      <c r="M10" s="59">
        <f t="shared" si="25"/>
        <v>1.3138489665396108E-2</v>
      </c>
      <c r="N10" s="59">
        <f t="shared" si="25"/>
        <v>1.2982564731047447E-2</v>
      </c>
      <c r="O10" s="84"/>
    </row>
    <row r="11" spans="1:21" x14ac:dyDescent="0.3">
      <c r="A11" s="39" t="s">
        <v>134</v>
      </c>
      <c r="B11" s="58">
        <f>Historicals!B144</f>
        <v>4233</v>
      </c>
      <c r="C11" s="58">
        <f>Historicals!C144</f>
        <v>4642</v>
      </c>
      <c r="D11" s="58">
        <f>Historicals!D144</f>
        <v>4945</v>
      </c>
      <c r="E11" s="58">
        <f>Historicals!E144</f>
        <v>4379</v>
      </c>
      <c r="F11" s="58">
        <f>Historicals!F144</f>
        <v>4850</v>
      </c>
      <c r="G11" s="58">
        <f>Historicals!G144</f>
        <v>2976</v>
      </c>
      <c r="H11" s="58">
        <f>Historicals!H144</f>
        <v>6923</v>
      </c>
      <c r="I11" s="58">
        <f>Historicals!I144</f>
        <v>6856</v>
      </c>
      <c r="J11" s="69">
        <f>J5-J8</f>
        <v>7121.118788703614</v>
      </c>
      <c r="K11" s="69">
        <f t="shared" ref="K11:N11" si="26">K5-K8</f>
        <v>9166.5582539600891</v>
      </c>
      <c r="L11" s="69">
        <f t="shared" si="26"/>
        <v>11240.325284214014</v>
      </c>
      <c r="M11" s="69">
        <f t="shared" si="26"/>
        <v>13972.044101648698</v>
      </c>
      <c r="N11" s="69">
        <f t="shared" si="26"/>
        <v>16513.640946784686</v>
      </c>
      <c r="O11" s="69"/>
    </row>
    <row r="12" spans="1:21" x14ac:dyDescent="0.3">
      <c r="A12" s="40" t="s">
        <v>129</v>
      </c>
      <c r="B12" s="60" t="str">
        <f>IFERROR((B11-A11)/A11,"nm")</f>
        <v>nm</v>
      </c>
      <c r="C12" s="60">
        <f t="shared" ref="C12:I12" si="27">IFERROR((C11-B11)/B11,"nm")</f>
        <v>9.6621781242617527E-2</v>
      </c>
      <c r="D12" s="60">
        <f t="shared" si="27"/>
        <v>6.527358897027144E-2</v>
      </c>
      <c r="E12" s="60">
        <f t="shared" si="27"/>
        <v>-0.11445904954499495</v>
      </c>
      <c r="F12" s="60">
        <f t="shared" si="27"/>
        <v>0.10755880337976707</v>
      </c>
      <c r="G12" s="60">
        <f t="shared" si="27"/>
        <v>-0.38639175257731961</v>
      </c>
      <c r="H12" s="60">
        <f t="shared" si="27"/>
        <v>1.32627688172043</v>
      </c>
      <c r="I12" s="60">
        <f t="shared" si="27"/>
        <v>-9.6778853098367767E-3</v>
      </c>
      <c r="J12" s="71">
        <f t="shared" ref="J12" si="28">IFERROR((J11-I11)/I11,"nm")</f>
        <v>3.866960161954696E-2</v>
      </c>
      <c r="K12" s="71">
        <f t="shared" ref="K12" si="29">IFERROR((K11-J11)/J11,"nm")</f>
        <v>0.28723568949603823</v>
      </c>
      <c r="L12" s="71">
        <f t="shared" ref="L12" si="30">IFERROR((L11-K11)/K11,"nm")</f>
        <v>0.22623180618069236</v>
      </c>
      <c r="M12" s="71">
        <f t="shared" ref="M12" si="31">IFERROR((M11-L11)/L11,"nm")</f>
        <v>0.24302844876483498</v>
      </c>
      <c r="N12" s="71">
        <f t="shared" ref="N12" si="32">IFERROR((N11-M11)/M11,"nm")</f>
        <v>0.18190587051153667</v>
      </c>
      <c r="O12" s="71"/>
    </row>
    <row r="13" spans="1:21" x14ac:dyDescent="0.3">
      <c r="A13" s="40" t="s">
        <v>131</v>
      </c>
      <c r="B13" s="59">
        <f>IFERROR(B11/B$3, "nm")</f>
        <v>0.13832881278389594</v>
      </c>
      <c r="C13" s="59">
        <f t="shared" ref="C13:N13" si="33">IFERROR(C11/C$3, "nm")</f>
        <v>0.14337781072399308</v>
      </c>
      <c r="D13" s="59">
        <f t="shared" si="33"/>
        <v>0.14395924308588065</v>
      </c>
      <c r="E13" s="59">
        <f t="shared" si="33"/>
        <v>0.12031211363573921</v>
      </c>
      <c r="F13" s="59">
        <f t="shared" si="33"/>
        <v>0.12398701331901731</v>
      </c>
      <c r="G13" s="59">
        <f t="shared" si="33"/>
        <v>7.9565810229126011E-2</v>
      </c>
      <c r="H13" s="59">
        <f t="shared" si="33"/>
        <v>0.1554402981723472</v>
      </c>
      <c r="I13" s="59">
        <f t="shared" si="33"/>
        <v>0.14677799186469706</v>
      </c>
      <c r="J13" s="59">
        <f t="shared" si="33"/>
        <v>0.13951935741942306</v>
      </c>
      <c r="K13" s="59">
        <f t="shared" si="33"/>
        <v>0.16498111869147916</v>
      </c>
      <c r="L13" s="59">
        <f t="shared" si="33"/>
        <v>0.19201586109013005</v>
      </c>
      <c r="M13" s="59">
        <f t="shared" si="33"/>
        <v>0.22727797077466375</v>
      </c>
      <c r="N13" s="59">
        <f t="shared" si="33"/>
        <v>0.25606311914148688</v>
      </c>
      <c r="O13" s="70"/>
    </row>
    <row r="14" spans="1:21" x14ac:dyDescent="0.3">
      <c r="A14" s="39" t="s">
        <v>135</v>
      </c>
      <c r="B14" s="46">
        <f>Historicals!B166</f>
        <v>963</v>
      </c>
      <c r="C14" s="46">
        <f>Historicals!C166</f>
        <v>1143</v>
      </c>
      <c r="D14" s="46">
        <f>Historicals!D166</f>
        <v>1105</v>
      </c>
      <c r="E14" s="46">
        <f>Historicals!E166</f>
        <v>1028</v>
      </c>
      <c r="F14" s="46">
        <f>Historicals!F166</f>
        <v>1119</v>
      </c>
      <c r="G14" s="46">
        <f>Historicals!G166</f>
        <v>1086</v>
      </c>
      <c r="H14" s="46">
        <f>Historicals!H166</f>
        <v>695</v>
      </c>
      <c r="I14" s="46">
        <f>Historicals!I166</f>
        <v>758</v>
      </c>
      <c r="J14" s="72">
        <f>SUM(J44,J74,J104,J134,J152,J182)</f>
        <v>739.98761279347923</v>
      </c>
      <c r="K14" s="72">
        <f t="shared" ref="K14:N14" si="34">SUM(K44,K74,K104,K134,K152,K182)</f>
        <v>776.35100409996085</v>
      </c>
      <c r="L14" s="72">
        <f t="shared" si="34"/>
        <v>793.1308565882531</v>
      </c>
      <c r="M14" s="72">
        <f t="shared" si="34"/>
        <v>830.56348775891195</v>
      </c>
      <c r="N14" s="72">
        <f t="shared" si="34"/>
        <v>868.465491370515</v>
      </c>
      <c r="O14" s="72"/>
    </row>
    <row r="15" spans="1:21" x14ac:dyDescent="0.3">
      <c r="A15" s="40" t="s">
        <v>129</v>
      </c>
      <c r="B15" s="60" t="str">
        <f>IFERROR((B14-A14)/A14,"nm")</f>
        <v>nm</v>
      </c>
      <c r="C15" s="60">
        <f t="shared" ref="C15:I15" si="35">IFERROR((C14-B14)/B14,"nm")</f>
        <v>0.18691588785046728</v>
      </c>
      <c r="D15" s="60">
        <f t="shared" si="35"/>
        <v>-3.3245844269466314E-2</v>
      </c>
      <c r="E15" s="60">
        <f t="shared" si="35"/>
        <v>-6.9683257918552038E-2</v>
      </c>
      <c r="F15" s="60">
        <f t="shared" si="35"/>
        <v>8.8521400778210121E-2</v>
      </c>
      <c r="G15" s="60">
        <f t="shared" si="35"/>
        <v>-2.9490616621983913E-2</v>
      </c>
      <c r="H15" s="60">
        <f t="shared" si="35"/>
        <v>-0.36003683241252304</v>
      </c>
      <c r="I15" s="60">
        <f t="shared" si="35"/>
        <v>9.0647482014388492E-2</v>
      </c>
      <c r="J15" s="83">
        <f t="shared" ref="J15" si="36">IFERROR((J14-I14)/I14,"nm")</f>
        <v>-2.3763043808074896E-2</v>
      </c>
      <c r="K15" s="83">
        <f t="shared" ref="K15" si="37">IFERROR((K14-J14)/J14,"nm")</f>
        <v>4.9140540568251595E-2</v>
      </c>
      <c r="L15" s="83">
        <f t="shared" ref="L15" si="38">IFERROR((L14-K14)/K14,"nm")</f>
        <v>2.1613744813462909E-2</v>
      </c>
      <c r="M15" s="83">
        <f t="shared" ref="M15" si="39">IFERROR((M14-L14)/L14,"nm")</f>
        <v>4.7196034374049921E-2</v>
      </c>
      <c r="N15" s="83">
        <f t="shared" ref="N15" si="40">IFERROR((N14-M14)/M14,"nm")</f>
        <v>4.5634083571230721E-2</v>
      </c>
      <c r="O15" s="83"/>
    </row>
    <row r="16" spans="1:21" x14ac:dyDescent="0.3">
      <c r="A16" s="40" t="s">
        <v>133</v>
      </c>
      <c r="B16" s="59">
        <f>IFERROR(B14/B$3, "nm")</f>
        <v>3.146955981830659E-2</v>
      </c>
      <c r="C16" s="59">
        <f t="shared" ref="C16:N16" si="41">IFERROR(C14/C$3, "nm")</f>
        <v>3.5303928836174947E-2</v>
      </c>
      <c r="D16" s="59">
        <f t="shared" si="41"/>
        <v>3.2168850072780204E-2</v>
      </c>
      <c r="E16" s="59">
        <f t="shared" si="41"/>
        <v>2.8244086051048164E-2</v>
      </c>
      <c r="F16" s="59">
        <f t="shared" si="41"/>
        <v>2.8606488227624818E-2</v>
      </c>
      <c r="G16" s="59">
        <f t="shared" si="41"/>
        <v>2.9035104136031869E-2</v>
      </c>
      <c r="H16" s="59">
        <f t="shared" si="41"/>
        <v>1.5604652207104046E-2</v>
      </c>
      <c r="I16" s="59">
        <f t="shared" si="41"/>
        <v>1.6227788482123744E-2</v>
      </c>
      <c r="J16" s="59">
        <f t="shared" si="41"/>
        <v>1.4498086508408628E-2</v>
      </c>
      <c r="K16" s="59">
        <f t="shared" si="41"/>
        <v>1.3972884217293967E-2</v>
      </c>
      <c r="L16" s="59">
        <f t="shared" si="41"/>
        <v>1.3548869853333173E-2</v>
      </c>
      <c r="M16" s="59">
        <f t="shared" si="41"/>
        <v>1.3510462944723894E-2</v>
      </c>
      <c r="N16" s="59">
        <f t="shared" si="41"/>
        <v>1.3466562783077668E-2</v>
      </c>
      <c r="O16" s="84"/>
    </row>
    <row r="17" spans="1:15" x14ac:dyDescent="0.3">
      <c r="A17" s="9" t="s">
        <v>146</v>
      </c>
      <c r="B17" s="46">
        <f>Historicals!B155</f>
        <v>3011</v>
      </c>
      <c r="C17" s="46">
        <f>Historicals!C155</f>
        <v>3520</v>
      </c>
      <c r="D17" s="46">
        <f>Historicals!D155</f>
        <v>3989</v>
      </c>
      <c r="E17" s="46">
        <f>Historicals!E155</f>
        <v>4454</v>
      </c>
      <c r="F17" s="46">
        <f>Historicals!F155</f>
        <v>4744</v>
      </c>
      <c r="G17" s="46">
        <f>Historicals!G155</f>
        <v>4866</v>
      </c>
      <c r="H17" s="46">
        <f>Historicals!H155</f>
        <v>4904</v>
      </c>
      <c r="I17" s="46">
        <f>Historicals!I155</f>
        <v>4791</v>
      </c>
      <c r="J17" s="72">
        <f>SUM(J47,J77,J107,J137,J155,J185,J208)</f>
        <v>4984.1945278503899</v>
      </c>
      <c r="K17" s="72">
        <f t="shared" ref="K17:N17" si="42">SUM(K47,K77,K107,K137,K155,K185,K208)</f>
        <v>5216.5760481988582</v>
      </c>
      <c r="L17" s="72">
        <f t="shared" si="42"/>
        <v>5370.6795512873305</v>
      </c>
      <c r="M17" s="72">
        <f t="shared" si="42"/>
        <v>5613.7607383231989</v>
      </c>
      <c r="N17" s="72">
        <f t="shared" si="42"/>
        <v>5875.7609523751125</v>
      </c>
      <c r="O17" s="135"/>
    </row>
    <row r="18" spans="1:15" x14ac:dyDescent="0.3">
      <c r="A18" s="40" t="s">
        <v>129</v>
      </c>
      <c r="B18" s="45" t="str">
        <f>+IFERROR((B17-A17)/A17,"nm")</f>
        <v>nm</v>
      </c>
      <c r="C18" s="45">
        <f t="shared" ref="C18:I18" si="43">+IFERROR((C17-B17)/B17,"nm")</f>
        <v>0.16904682829624709</v>
      </c>
      <c r="D18" s="45">
        <f t="shared" si="43"/>
        <v>0.13323863636363636</v>
      </c>
      <c r="E18" s="45">
        <f t="shared" si="43"/>
        <v>0.11657056906492855</v>
      </c>
      <c r="F18" s="45">
        <f t="shared" si="43"/>
        <v>6.5110013471037273E-2</v>
      </c>
      <c r="G18" s="45">
        <f t="shared" si="43"/>
        <v>2.5716694772344013E-2</v>
      </c>
      <c r="H18" s="45">
        <f t="shared" si="43"/>
        <v>7.8092889436909164E-3</v>
      </c>
      <c r="I18" s="45">
        <f t="shared" si="43"/>
        <v>-2.3042414355628059E-2</v>
      </c>
      <c r="J18" s="62">
        <f t="shared" ref="J18" si="44">+IFERROR((J17-I17)/I17,"nm")</f>
        <v>4.0324468346981827E-2</v>
      </c>
      <c r="K18" s="62">
        <f t="shared" ref="K18" si="45">+IFERROR((K17-J17)/J17,"nm")</f>
        <v>4.6623685943632504E-2</v>
      </c>
      <c r="L18" s="62">
        <f t="shared" ref="L18" si="46">+IFERROR((L17-K17)/K17,"nm")</f>
        <v>2.9541120778193205E-2</v>
      </c>
      <c r="M18" s="62">
        <f t="shared" ref="M18" si="47">+IFERROR((M17-L17)/L17,"nm")</f>
        <v>4.5260787711231598E-2</v>
      </c>
      <c r="N18" s="62">
        <f t="shared" ref="N18" si="48">+IFERROR((N17-M17)/M17,"nm")</f>
        <v>4.6671068872481326E-2</v>
      </c>
      <c r="O18" s="62"/>
    </row>
    <row r="19" spans="1:15" x14ac:dyDescent="0.3">
      <c r="A19" s="40" t="s">
        <v>133</v>
      </c>
      <c r="B19" s="45">
        <f>+IFERROR(B17/B$3,"nm")</f>
        <v>9.8395477271984569E-2</v>
      </c>
      <c r="C19" s="45">
        <f t="shared" ref="C19:N19" si="49">+IFERROR(C17/C$3,"nm")</f>
        <v>0.10872251050160613</v>
      </c>
      <c r="D19" s="45">
        <f t="shared" si="49"/>
        <v>0.11612809315866085</v>
      </c>
      <c r="E19" s="45">
        <f t="shared" si="49"/>
        <v>0.12237272302662307</v>
      </c>
      <c r="F19" s="45">
        <f t="shared" si="49"/>
        <v>0.1212771940588491</v>
      </c>
      <c r="G19" s="45">
        <f t="shared" si="49"/>
        <v>0.13009651632222013</v>
      </c>
      <c r="H19" s="45">
        <f t="shared" si="49"/>
        <v>0.11010822219228523</v>
      </c>
      <c r="I19" s="45">
        <f t="shared" si="49"/>
        <v>0.10256904303147078</v>
      </c>
      <c r="J19" s="45">
        <f t="shared" si="49"/>
        <v>9.7652017669218771E-2</v>
      </c>
      <c r="K19" s="45">
        <f t="shared" si="49"/>
        <v>9.3888734280308042E-2</v>
      </c>
      <c r="L19" s="45">
        <f t="shared" si="49"/>
        <v>9.1746068961891372E-2</v>
      </c>
      <c r="M19" s="45">
        <f t="shared" si="49"/>
        <v>9.1316928270361003E-2</v>
      </c>
      <c r="N19" s="45">
        <f t="shared" si="49"/>
        <v>9.1110475372656902E-2</v>
      </c>
      <c r="O19" s="84"/>
    </row>
    <row r="20" spans="1:15" x14ac:dyDescent="0.3">
      <c r="A20" s="41" t="str">
        <f>+Historicals!A109</f>
        <v>North America</v>
      </c>
      <c r="B20" s="41"/>
      <c r="C20" s="41"/>
      <c r="D20" s="41"/>
      <c r="E20" s="41"/>
      <c r="F20" s="41"/>
      <c r="G20" s="41"/>
      <c r="H20" s="41"/>
      <c r="I20" s="41"/>
      <c r="J20" s="73"/>
      <c r="K20" s="73"/>
      <c r="L20" s="73"/>
      <c r="M20" s="73"/>
      <c r="N20" s="73"/>
      <c r="O20" s="73"/>
    </row>
    <row r="21" spans="1:15" x14ac:dyDescent="0.3">
      <c r="A21" s="9" t="s">
        <v>136</v>
      </c>
      <c r="B21" s="9">
        <f>SUM(B23,B27,B31)</f>
        <v>13740</v>
      </c>
      <c r="C21" s="9">
        <f t="shared" ref="C21:I21" si="50">SUM(C23,C27,C31)</f>
        <v>14764</v>
      </c>
      <c r="D21" s="9">
        <f t="shared" si="50"/>
        <v>15216</v>
      </c>
      <c r="E21" s="9">
        <f t="shared" si="50"/>
        <v>14855</v>
      </c>
      <c r="F21" s="9">
        <f t="shared" si="50"/>
        <v>15902</v>
      </c>
      <c r="G21" s="9">
        <f t="shared" si="50"/>
        <v>14484</v>
      </c>
      <c r="H21" s="9">
        <f t="shared" si="50"/>
        <v>17179</v>
      </c>
      <c r="I21" s="9">
        <f t="shared" si="50"/>
        <v>18353</v>
      </c>
      <c r="J21" s="69">
        <f>SUM(J23,J27,J31)</f>
        <v>19473.149771428576</v>
      </c>
      <c r="K21" s="69">
        <f t="shared" ref="K21:N21" si="51">SUM(K23,K27,K31)</f>
        <v>20718.31924183304</v>
      </c>
      <c r="L21" s="69">
        <f t="shared" si="51"/>
        <v>21747.812066097846</v>
      </c>
      <c r="M21" s="69">
        <f t="shared" si="51"/>
        <v>22758.719166537529</v>
      </c>
      <c r="N21" s="69">
        <f t="shared" si="51"/>
        <v>23736.754326137172</v>
      </c>
      <c r="O21" s="135"/>
    </row>
    <row r="22" spans="1:15" x14ac:dyDescent="0.3">
      <c r="A22" s="42" t="s">
        <v>129</v>
      </c>
      <c r="B22" s="45" t="str">
        <f>+IFERROR((B21-A21)/A21,"nm")</f>
        <v>nm</v>
      </c>
      <c r="C22" s="45">
        <f>+IFERROR((C21-B21)/B21,"nm")</f>
        <v>7.4526928675400297E-2</v>
      </c>
      <c r="D22" s="45">
        <f t="shared" ref="D22:I22" si="52">+IFERROR((D21-C21)/C21,"nm")</f>
        <v>3.061500948252506E-2</v>
      </c>
      <c r="E22" s="45">
        <f t="shared" si="52"/>
        <v>-2.3725026288117772E-2</v>
      </c>
      <c r="F22" s="45">
        <f t="shared" si="52"/>
        <v>7.0481319421070346E-2</v>
      </c>
      <c r="G22" s="45">
        <f t="shared" si="52"/>
        <v>-8.9171173437303478E-2</v>
      </c>
      <c r="H22" s="45">
        <f t="shared" si="52"/>
        <v>0.18606738470035902</v>
      </c>
      <c r="I22" s="45">
        <f t="shared" si="52"/>
        <v>6.8339251411607196E-2</v>
      </c>
      <c r="J22" s="62">
        <f t="shared" ref="J22" si="53">+IFERROR((J21-I21)/I21,"nm")</f>
        <v>6.1033606027819758E-2</v>
      </c>
      <c r="K22" s="62">
        <f t="shared" ref="K22" si="54">+IFERROR((K21-J21)/J21,"nm")</f>
        <v>6.3942889826246976E-2</v>
      </c>
      <c r="L22" s="62">
        <f t="shared" ref="L22" si="55">+IFERROR((L21-K21)/K21,"nm")</f>
        <v>4.9689977852359901E-2</v>
      </c>
      <c r="M22" s="62">
        <f t="shared" ref="M22" si="56">+IFERROR((M21-L21)/L21,"nm")</f>
        <v>4.6483163334649288E-2</v>
      </c>
      <c r="N22" s="62">
        <f t="shared" ref="N22" si="57">+IFERROR((N21-M21)/M21,"nm")</f>
        <v>4.2974086214731394E-2</v>
      </c>
      <c r="O22" s="62">
        <v>0.01</v>
      </c>
    </row>
    <row r="23" spans="1:15" x14ac:dyDescent="0.3">
      <c r="A23" s="43" t="s">
        <v>113</v>
      </c>
      <c r="B23" s="9">
        <f>+Historicals!B110</f>
        <v>8506</v>
      </c>
      <c r="C23" s="9">
        <f>+Historicals!C110</f>
        <v>9299</v>
      </c>
      <c r="D23" s="9">
        <f>+Historicals!D110</f>
        <v>9684</v>
      </c>
      <c r="E23" s="9">
        <f>+Historicals!E110</f>
        <v>9322</v>
      </c>
      <c r="F23" s="9">
        <f>+Historicals!F110</f>
        <v>10045</v>
      </c>
      <c r="G23" s="9">
        <f>+Historicals!G110</f>
        <v>9329</v>
      </c>
      <c r="H23" s="9">
        <f>+Historicals!H110</f>
        <v>11644</v>
      </c>
      <c r="I23" s="9">
        <f>+Historicals!I110</f>
        <v>12228</v>
      </c>
      <c r="J23" s="69">
        <f>I23*(1+J24)</f>
        <v>12857.742000000002</v>
      </c>
      <c r="K23" s="69">
        <f t="shared" ref="K23:N23" si="58">J23*(1+K24)</f>
        <v>13539.780924390003</v>
      </c>
      <c r="L23" s="69">
        <f t="shared" si="58"/>
        <v>14230.309751533892</v>
      </c>
      <c r="M23" s="69">
        <f t="shared" si="58"/>
        <v>14899.134309855985</v>
      </c>
      <c r="N23" s="69">
        <f t="shared" si="58"/>
        <v>15539.797085179791</v>
      </c>
      <c r="O23" s="69"/>
    </row>
    <row r="24" spans="1:15" x14ac:dyDescent="0.3">
      <c r="A24" s="42" t="s">
        <v>129</v>
      </c>
      <c r="B24" s="45" t="str">
        <f>+IFERROR((B23-A23)/A23,"nm")</f>
        <v>nm</v>
      </c>
      <c r="C24" s="45">
        <f>+IFERROR((C23-B23)/B23,"nm")</f>
        <v>9.3228309428638606E-2</v>
      </c>
      <c r="D24" s="45">
        <f t="shared" ref="D24:I24" si="59">+IFERROR((D23-C23)/C23,"nm")</f>
        <v>4.1402301322722872E-2</v>
      </c>
      <c r="E24" s="45">
        <f t="shared" si="59"/>
        <v>-3.7381247418422137E-2</v>
      </c>
      <c r="F24" s="45">
        <f t="shared" si="59"/>
        <v>7.7558463848959452E-2</v>
      </c>
      <c r="G24" s="45">
        <f t="shared" si="59"/>
        <v>-7.1279243404678949E-2</v>
      </c>
      <c r="H24" s="45">
        <f t="shared" si="59"/>
        <v>0.24815092721620752</v>
      </c>
      <c r="I24" s="45">
        <f t="shared" si="59"/>
        <v>5.015458605290278E-2</v>
      </c>
      <c r="J24" s="62">
        <f>J25+J26</f>
        <v>5.1500000000000004E-2</v>
      </c>
      <c r="K24" s="62">
        <f t="shared" ref="K24:N24" si="60">K25+K26</f>
        <v>5.3045000000000009E-2</v>
      </c>
      <c r="L24" s="62">
        <f t="shared" si="60"/>
        <v>5.0999999999999997E-2</v>
      </c>
      <c r="M24" s="62">
        <f t="shared" si="60"/>
        <v>4.7E-2</v>
      </c>
      <c r="N24" s="62">
        <f t="shared" si="60"/>
        <v>4.2999999999999997E-2</v>
      </c>
    </row>
    <row r="25" spans="1:15" x14ac:dyDescent="0.3">
      <c r="A25" s="42" t="s">
        <v>137</v>
      </c>
      <c r="B25" s="45">
        <f>+Historicals!B182</f>
        <v>0.14000000000000001</v>
      </c>
      <c r="C25" s="45">
        <f>+Historicals!C182</f>
        <v>0.09</v>
      </c>
      <c r="D25" s="45">
        <f>+Historicals!D182</f>
        <v>0.04</v>
      </c>
      <c r="E25" s="45">
        <f>+Historicals!E182</f>
        <v>-0.04</v>
      </c>
      <c r="F25" s="45">
        <f>+Historicals!F182</f>
        <v>0.08</v>
      </c>
      <c r="G25" s="45">
        <f>+Historicals!G182</f>
        <v>-7.0000000000000007E-2</v>
      </c>
      <c r="H25" s="45">
        <f>+Historicals!H182</f>
        <v>0.25</v>
      </c>
      <c r="I25" s="45">
        <f>+Historicals!I182</f>
        <v>0.05</v>
      </c>
      <c r="J25" s="82">
        <f>I25*(1+$O$25)</f>
        <v>5.1500000000000004E-2</v>
      </c>
      <c r="K25" s="82">
        <f>J25*(1+$O$25)</f>
        <v>5.3045000000000009E-2</v>
      </c>
      <c r="L25" s="82">
        <v>5.0999999999999997E-2</v>
      </c>
      <c r="M25" s="82">
        <f>L25-0.4%</f>
        <v>4.7E-2</v>
      </c>
      <c r="N25" s="82">
        <f>M25-0.4%</f>
        <v>4.2999999999999997E-2</v>
      </c>
      <c r="O25" s="136">
        <v>0.03</v>
      </c>
    </row>
    <row r="26" spans="1:15" x14ac:dyDescent="0.3">
      <c r="A26" s="42" t="s">
        <v>138</v>
      </c>
      <c r="B26" s="45" t="str">
        <f t="shared" ref="B26:H26" si="61">+IFERROR(B24-B25,"nm")</f>
        <v>nm</v>
      </c>
      <c r="C26" s="45">
        <f t="shared" si="61"/>
        <v>3.2283094286386094E-3</v>
      </c>
      <c r="D26" s="45">
        <f t="shared" si="61"/>
        <v>1.4023013227228709E-3</v>
      </c>
      <c r="E26" s="45">
        <f t="shared" si="61"/>
        <v>2.6187525815778642E-3</v>
      </c>
      <c r="F26" s="45">
        <f t="shared" si="61"/>
        <v>-2.4415361510405492E-3</v>
      </c>
      <c r="G26" s="45">
        <f t="shared" si="61"/>
        <v>-1.2792434046789425E-3</v>
      </c>
      <c r="H26" s="45">
        <f t="shared" si="61"/>
        <v>-1.8490727837924825E-3</v>
      </c>
      <c r="I26" s="45">
        <f>+IFERROR(I24-I25,"nm")</f>
        <v>1.545860529027776E-4</v>
      </c>
      <c r="J26" s="82">
        <v>0</v>
      </c>
      <c r="K26" s="82">
        <v>0</v>
      </c>
      <c r="L26" s="82">
        <v>0</v>
      </c>
      <c r="M26" s="82">
        <v>0</v>
      </c>
      <c r="N26" s="82">
        <v>0</v>
      </c>
    </row>
    <row r="27" spans="1:15" x14ac:dyDescent="0.3">
      <c r="A27" s="43" t="s">
        <v>114</v>
      </c>
      <c r="B27" s="9">
        <f>+Historicals!B111</f>
        <v>4410</v>
      </c>
      <c r="C27" s="9">
        <f>+Historicals!C111</f>
        <v>4746</v>
      </c>
      <c r="D27" s="9">
        <f>+Historicals!D111</f>
        <v>4886</v>
      </c>
      <c r="E27" s="9">
        <f>+Historicals!E111</f>
        <v>4938</v>
      </c>
      <c r="F27" s="9">
        <f>+Historicals!F111</f>
        <v>5260</v>
      </c>
      <c r="G27" s="9">
        <f>+Historicals!G111</f>
        <v>4639</v>
      </c>
      <c r="H27" s="9">
        <f>+Historicals!H111</f>
        <v>5028</v>
      </c>
      <c r="I27" s="9">
        <f>+Historicals!I111</f>
        <v>5492</v>
      </c>
      <c r="J27" s="69">
        <f>I27*(1+J28)</f>
        <v>6001.1084000000001</v>
      </c>
      <c r="K27" s="69">
        <f t="shared" ref="K27:N27" si="62">J27*(1+K28)</f>
        <v>6574.1002311404</v>
      </c>
      <c r="L27" s="69">
        <f t="shared" si="62"/>
        <v>6915.9534431597012</v>
      </c>
      <c r="M27" s="69">
        <f t="shared" si="62"/>
        <v>7254.8351618745264</v>
      </c>
      <c r="N27" s="69">
        <f t="shared" si="62"/>
        <v>7588.5575793207545</v>
      </c>
    </row>
    <row r="28" spans="1:15" x14ac:dyDescent="0.3">
      <c r="A28" s="42" t="s">
        <v>129</v>
      </c>
      <c r="B28" s="45" t="str">
        <f>+IFERROR((B27-A27)/A27,"nm")</f>
        <v>nm</v>
      </c>
      <c r="C28" s="45">
        <f>+IFERROR((C27-B27)/B27,"nm")</f>
        <v>7.6190476190476197E-2</v>
      </c>
      <c r="D28" s="45">
        <f t="shared" ref="D28:I28" si="63">+IFERROR((D27-C27)/C27,"nm")</f>
        <v>2.9498525073746312E-2</v>
      </c>
      <c r="E28" s="45">
        <f t="shared" si="63"/>
        <v>1.0642652476463364E-2</v>
      </c>
      <c r="F28" s="45">
        <f t="shared" si="63"/>
        <v>6.5208586472255969E-2</v>
      </c>
      <c r="G28" s="45">
        <f t="shared" si="63"/>
        <v>-0.11806083650190113</v>
      </c>
      <c r="H28" s="45">
        <f t="shared" si="63"/>
        <v>8.3854278939426596E-2</v>
      </c>
      <c r="I28" s="45">
        <f t="shared" si="63"/>
        <v>9.2283214001591091E-2</v>
      </c>
      <c r="J28" s="62">
        <f>J29+J30</f>
        <v>9.2700000000000005E-2</v>
      </c>
      <c r="K28" s="62">
        <f t="shared" ref="K28:N28" si="64">K29+K30</f>
        <v>9.548100000000001E-2</v>
      </c>
      <c r="L28" s="62">
        <f t="shared" si="64"/>
        <v>5.1999999999999998E-2</v>
      </c>
      <c r="M28" s="62">
        <f t="shared" si="64"/>
        <v>4.8999999999999995E-2</v>
      </c>
      <c r="N28" s="62">
        <f t="shared" si="64"/>
        <v>4.5999999999999992E-2</v>
      </c>
      <c r="O28" s="62"/>
    </row>
    <row r="29" spans="1:15" x14ac:dyDescent="0.3">
      <c r="A29" s="42" t="s">
        <v>137</v>
      </c>
      <c r="B29" s="45">
        <f>+Historicals!B186</f>
        <v>0</v>
      </c>
      <c r="C29" s="45">
        <f>+Historicals!C186</f>
        <v>0</v>
      </c>
      <c r="D29" s="45">
        <f>+Historicals!D186</f>
        <v>0.03</v>
      </c>
      <c r="E29" s="45">
        <f>+Historicals!E186</f>
        <v>0.06</v>
      </c>
      <c r="F29" s="45">
        <f>+Historicals!F186</f>
        <v>0.12</v>
      </c>
      <c r="G29" s="45">
        <f>+Historicals!G186</f>
        <v>-0.03</v>
      </c>
      <c r="H29" s="45">
        <f>+Historicals!H186</f>
        <v>0.13</v>
      </c>
      <c r="I29" s="62">
        <f>+Historicals!I186</f>
        <v>0.09</v>
      </c>
      <c r="J29" s="82">
        <f>I29*(1+$O$29)</f>
        <v>9.2700000000000005E-2</v>
      </c>
      <c r="K29" s="82">
        <f>J29*(1+$O$29)</f>
        <v>9.548100000000001E-2</v>
      </c>
      <c r="L29" s="82">
        <v>5.1999999999999998E-2</v>
      </c>
      <c r="M29" s="82">
        <f>L29-0.3%</f>
        <v>4.8999999999999995E-2</v>
      </c>
      <c r="N29" s="82">
        <f>M29-0.3%</f>
        <v>4.5999999999999992E-2</v>
      </c>
      <c r="O29" s="136">
        <v>0.03</v>
      </c>
    </row>
    <row r="30" spans="1:15" x14ac:dyDescent="0.3">
      <c r="A30" s="42" t="s">
        <v>138</v>
      </c>
      <c r="B30" s="45" t="str">
        <f t="shared" ref="B30" si="65">+IFERROR(B28-B29,"nm")</f>
        <v>nm</v>
      </c>
      <c r="C30" s="45">
        <f t="shared" ref="C30" si="66">+IFERROR(C28-C29,"nm")</f>
        <v>7.6190476190476197E-2</v>
      </c>
      <c r="D30" s="45">
        <f t="shared" ref="D30" si="67">+IFERROR(D28-D29,"nm")</f>
        <v>-5.0147492625368661E-4</v>
      </c>
      <c r="E30" s="45">
        <f t="shared" ref="E30" si="68">+IFERROR(E28-E29,"nm")</f>
        <v>-4.9357347523536634E-2</v>
      </c>
      <c r="F30" s="45">
        <f t="shared" ref="F30" si="69">+IFERROR(F28-F29,"nm")</f>
        <v>-5.4791413527744026E-2</v>
      </c>
      <c r="G30" s="45">
        <f t="shared" ref="G30" si="70">+IFERROR(G28-G29,"nm")</f>
        <v>-8.8060836501901135E-2</v>
      </c>
      <c r="H30" s="45">
        <f t="shared" ref="H30" si="71">+IFERROR(H28-H29,"nm")</f>
        <v>-4.6145721060573408E-2</v>
      </c>
      <c r="I30" s="45">
        <f>+IFERROR(I28-I29,"nm")</f>
        <v>2.283214001591094E-3</v>
      </c>
      <c r="J30" s="82">
        <v>0</v>
      </c>
      <c r="K30" s="82">
        <v>0</v>
      </c>
      <c r="L30" s="82">
        <v>0</v>
      </c>
      <c r="M30" s="82">
        <v>0</v>
      </c>
      <c r="N30" s="82">
        <v>0</v>
      </c>
      <c r="O30" s="82"/>
    </row>
    <row r="31" spans="1:15" x14ac:dyDescent="0.3">
      <c r="A31" s="43" t="s">
        <v>115</v>
      </c>
      <c r="B31" s="9">
        <f>+Historicals!B112</f>
        <v>824</v>
      </c>
      <c r="C31" s="9">
        <f>+Historicals!C112</f>
        <v>719</v>
      </c>
      <c r="D31" s="9">
        <f>+Historicals!D112</f>
        <v>646</v>
      </c>
      <c r="E31" s="9">
        <f>+Historicals!E112</f>
        <v>595</v>
      </c>
      <c r="F31" s="9">
        <f>+Historicals!F112</f>
        <v>597</v>
      </c>
      <c r="G31" s="9">
        <f>+Historicals!G112</f>
        <v>516</v>
      </c>
      <c r="H31" s="9">
        <f>+Historicals!H112</f>
        <v>507</v>
      </c>
      <c r="I31" s="9">
        <f>+Historicals!I112</f>
        <v>633</v>
      </c>
      <c r="J31" s="69">
        <f>I31*(1+J32)</f>
        <v>614.29937142857148</v>
      </c>
      <c r="K31" s="69">
        <f t="shared" ref="K31:N31" si="72">J31*(1+K32)</f>
        <v>604.438086302638</v>
      </c>
      <c r="L31" s="69">
        <f t="shared" si="72"/>
        <v>601.54887140425046</v>
      </c>
      <c r="M31" s="69">
        <f t="shared" si="72"/>
        <v>604.74969480702021</v>
      </c>
      <c r="N31" s="69">
        <f t="shared" si="72"/>
        <v>608.39966163662734</v>
      </c>
      <c r="O31" s="69"/>
    </row>
    <row r="32" spans="1:15" x14ac:dyDescent="0.3">
      <c r="A32" s="42" t="s">
        <v>129</v>
      </c>
      <c r="B32" s="45" t="str">
        <f>+IFERROR((B31-A31)/A31,"nm")</f>
        <v>nm</v>
      </c>
      <c r="C32" s="45">
        <f>+IFERROR((C31-B31)/B31,"nm")</f>
        <v>-0.12742718446601942</v>
      </c>
      <c r="D32" s="45">
        <f t="shared" ref="D32:I32" si="73">+IFERROR((D31-C31)/C31,"nm")</f>
        <v>-0.10152990264255911</v>
      </c>
      <c r="E32" s="45">
        <f t="shared" si="73"/>
        <v>-7.8947368421052627E-2</v>
      </c>
      <c r="F32" s="45">
        <f t="shared" si="73"/>
        <v>3.3613445378151263E-3</v>
      </c>
      <c r="G32" s="45">
        <f t="shared" si="73"/>
        <v>-0.135678391959799</v>
      </c>
      <c r="H32" s="45">
        <f t="shared" si="73"/>
        <v>-1.7441860465116279E-2</v>
      </c>
      <c r="I32" s="45">
        <f t="shared" si="73"/>
        <v>0.24852071005917159</v>
      </c>
      <c r="J32" s="62">
        <f>J33+J34</f>
        <v>-2.9542857142857142E-2</v>
      </c>
      <c r="K32" s="62">
        <f t="shared" ref="K32:N32" si="74">K33+K34</f>
        <v>-1.6052897959183677E-2</v>
      </c>
      <c r="L32" s="62">
        <f t="shared" si="74"/>
        <v>-4.7800013994169126E-3</v>
      </c>
      <c r="M32" s="62">
        <f t="shared" si="74"/>
        <v>5.320969841232817E-3</v>
      </c>
      <c r="N32" s="62">
        <f t="shared" si="74"/>
        <v>6.0355000770555096E-3</v>
      </c>
      <c r="O32" s="62"/>
    </row>
    <row r="33" spans="1:15" x14ac:dyDescent="0.3">
      <c r="A33" s="42" t="s">
        <v>137</v>
      </c>
      <c r="B33" s="45">
        <f>+Historicals!B184</f>
        <v>-0.05</v>
      </c>
      <c r="C33" s="45">
        <f>+Historicals!C184</f>
        <v>-0.13</v>
      </c>
      <c r="D33" s="45">
        <f>+Historicals!D184</f>
        <v>-0.1</v>
      </c>
      <c r="E33" s="45">
        <f>+Historicals!E184</f>
        <v>-0.08</v>
      </c>
      <c r="F33" s="45">
        <f>+Historicals!F184</f>
        <v>0</v>
      </c>
      <c r="G33" s="45">
        <f>+Historicals!G184</f>
        <v>-0.14000000000000001</v>
      </c>
      <c r="H33" s="45">
        <f>+Historicals!H184</f>
        <v>-0.02</v>
      </c>
      <c r="I33" s="45">
        <f>+Historicals!I184</f>
        <v>0.25</v>
      </c>
      <c r="J33" s="82">
        <f>AVERAGE(C33:I33)*(1+$O$33)</f>
        <v>-2.9542857142857142E-2</v>
      </c>
      <c r="K33" s="82">
        <f>AVERAGE(D33:J33)*(1+$O$33)</f>
        <v>-1.6052897959183677E-2</v>
      </c>
      <c r="L33" s="82">
        <f>AVERAGE(E33:K33)*(1+$O$33)</f>
        <v>-4.7800013994169126E-3</v>
      </c>
      <c r="M33" s="82">
        <f>AVERAGE(F33:L33)*(1+$O$33)</f>
        <v>5.320969841232817E-3</v>
      </c>
      <c r="N33" s="82">
        <f>AVERAGE(G33:M33)*(1+$O$33)</f>
        <v>6.0355000770555096E-3</v>
      </c>
      <c r="O33" s="82">
        <v>-0.06</v>
      </c>
    </row>
    <row r="34" spans="1:15" x14ac:dyDescent="0.3">
      <c r="A34" s="42" t="s">
        <v>138</v>
      </c>
      <c r="B34" s="45" t="str">
        <f t="shared" ref="B34" si="75">+IFERROR(B32-B33,"nm")</f>
        <v>nm</v>
      </c>
      <c r="C34" s="45">
        <f t="shared" ref="C34" si="76">+IFERROR(C32-C33,"nm")</f>
        <v>2.572815533980588E-3</v>
      </c>
      <c r="D34" s="45">
        <f t="shared" ref="D34" si="77">+IFERROR(D32-D33,"nm")</f>
        <v>-1.5299026425591028E-3</v>
      </c>
      <c r="E34" s="45">
        <f t="shared" ref="E34" si="78">+IFERROR(E32-E33,"nm")</f>
        <v>1.0526315789473745E-3</v>
      </c>
      <c r="F34" s="45">
        <f t="shared" ref="F34" si="79">+IFERROR(F32-F33,"nm")</f>
        <v>3.3613445378151263E-3</v>
      </c>
      <c r="G34" s="45">
        <f t="shared" ref="G34" si="80">+IFERROR(G32-G33,"nm")</f>
        <v>4.3216080402010137E-3</v>
      </c>
      <c r="H34" s="45">
        <f t="shared" ref="H34" si="81">+IFERROR(H32-H33,"nm")</f>
        <v>2.5581395348837216E-3</v>
      </c>
      <c r="I34" s="45">
        <f>+IFERROR(I32-I33,"nm")</f>
        <v>-1.4792899408284099E-3</v>
      </c>
      <c r="J34" s="82">
        <v>0</v>
      </c>
      <c r="K34" s="82">
        <v>0</v>
      </c>
      <c r="L34" s="82">
        <v>0</v>
      </c>
      <c r="M34" s="82">
        <v>0</v>
      </c>
      <c r="N34" s="82">
        <v>0</v>
      </c>
      <c r="O34" s="82"/>
    </row>
    <row r="35" spans="1:15" x14ac:dyDescent="0.3">
      <c r="A35" s="9" t="s">
        <v>130</v>
      </c>
      <c r="B35" s="46">
        <f>Historicals!B136+Historicals!B169</f>
        <v>3766</v>
      </c>
      <c r="C35" s="46">
        <f>Historicals!C136+Historicals!C169</f>
        <v>3896</v>
      </c>
      <c r="D35" s="46">
        <f>Historicals!D136+Historicals!D169</f>
        <v>4015</v>
      </c>
      <c r="E35" s="46">
        <f>Historicals!E136+Historicals!E169</f>
        <v>3760</v>
      </c>
      <c r="F35" s="46">
        <f>Historicals!F136+Historicals!F169</f>
        <v>4074</v>
      </c>
      <c r="G35" s="46">
        <f>Historicals!G136+Historicals!G169</f>
        <v>3047</v>
      </c>
      <c r="H35" s="46">
        <f>Historicals!H136+Historicals!H169</f>
        <v>5219</v>
      </c>
      <c r="I35" s="46">
        <f>Historicals!I136+Historicals!I169</f>
        <v>5238</v>
      </c>
      <c r="J35" s="69">
        <f>J21*J36</f>
        <v>3209.8494927502352</v>
      </c>
      <c r="K35" s="69">
        <f t="shared" ref="K35:N35" si="82">K21*K36</f>
        <v>4225.0704237058326</v>
      </c>
      <c r="L35" s="69">
        <f t="shared" si="82"/>
        <v>5566.2377872210163</v>
      </c>
      <c r="M35" s="69">
        <f t="shared" si="82"/>
        <v>8006.1007408302858</v>
      </c>
      <c r="N35" s="69">
        <f t="shared" si="82"/>
        <v>10260.520834135066</v>
      </c>
      <c r="O35" s="69"/>
    </row>
    <row r="36" spans="1:15" x14ac:dyDescent="0.3">
      <c r="A36" s="44" t="s">
        <v>129</v>
      </c>
      <c r="B36" s="45" t="str">
        <f>+IFERROR((B35-A35)/A35,"nm")</f>
        <v>nm</v>
      </c>
      <c r="C36" s="45">
        <f t="shared" ref="C36:I36" si="83">+IFERROR((C35-B35)/B35,"nm")</f>
        <v>3.4519383961763142E-2</v>
      </c>
      <c r="D36" s="45">
        <f t="shared" si="83"/>
        <v>3.0544147843942507E-2</v>
      </c>
      <c r="E36" s="45">
        <f t="shared" si="83"/>
        <v>-6.351183063511831E-2</v>
      </c>
      <c r="F36" s="45">
        <f t="shared" si="83"/>
        <v>8.3510638297872336E-2</v>
      </c>
      <c r="G36" s="45">
        <f t="shared" si="83"/>
        <v>-0.25208640157093765</v>
      </c>
      <c r="H36" s="45">
        <f t="shared" si="83"/>
        <v>0.71283229405973092</v>
      </c>
      <c r="I36" s="45">
        <f t="shared" si="83"/>
        <v>3.640544165548956E-3</v>
      </c>
      <c r="J36" s="82">
        <f>AVERAGE(C36:I36)*(1+$O$36)</f>
        <v>0.16483463283684058</v>
      </c>
      <c r="K36" s="82">
        <f t="shared" ref="K36:N36" si="84">AVERAGE(D36:J36)*(1+$O$36)</f>
        <v>0.20392920749936383</v>
      </c>
      <c r="L36" s="82">
        <f t="shared" si="84"/>
        <v>0.25594472539599022</v>
      </c>
      <c r="M36" s="82">
        <f t="shared" si="84"/>
        <v>0.35178169220532279</v>
      </c>
      <c r="N36" s="82">
        <f t="shared" si="84"/>
        <v>0.43226300837755793</v>
      </c>
      <c r="O36" s="82">
        <v>1.1000000000000001</v>
      </c>
    </row>
    <row r="37" spans="1:15" x14ac:dyDescent="0.3">
      <c r="A37" s="44" t="s">
        <v>131</v>
      </c>
      <c r="B37" s="45">
        <f t="shared" ref="B37:H37" si="85">+IFERROR(B35/B$21,"nm")</f>
        <v>0.27409024745269289</v>
      </c>
      <c r="C37" s="45">
        <f t="shared" si="85"/>
        <v>0.26388512598211866</v>
      </c>
      <c r="D37" s="45">
        <f t="shared" si="85"/>
        <v>0.26386698212407994</v>
      </c>
      <c r="E37" s="45">
        <f t="shared" si="85"/>
        <v>0.25311342982160889</v>
      </c>
      <c r="F37" s="45">
        <f t="shared" si="85"/>
        <v>0.25619418941013711</v>
      </c>
      <c r="G37" s="45">
        <f t="shared" si="85"/>
        <v>0.2103700635183651</v>
      </c>
      <c r="H37" s="45">
        <f t="shared" si="85"/>
        <v>0.30380115256999823</v>
      </c>
      <c r="I37" s="45">
        <f>+IFERROR(I35/I$21,"nm")</f>
        <v>0.28540293140086087</v>
      </c>
      <c r="J37" s="45">
        <f t="shared" ref="J37:N37" si="86">+IFERROR(J35/J$21,"nm")</f>
        <v>0.16483463283684058</v>
      </c>
      <c r="K37" s="45">
        <f t="shared" si="86"/>
        <v>0.20392920749936383</v>
      </c>
      <c r="L37" s="45">
        <f t="shared" si="86"/>
        <v>0.25594472539599022</v>
      </c>
      <c r="M37" s="45">
        <f t="shared" si="86"/>
        <v>0.35178169220532279</v>
      </c>
      <c r="N37" s="45">
        <f t="shared" si="86"/>
        <v>0.43226300837755788</v>
      </c>
    </row>
    <row r="38" spans="1:15" x14ac:dyDescent="0.3">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69">
        <f>J21*J39</f>
        <v>138.76743566292009</v>
      </c>
      <c r="K38" s="69">
        <f t="shared" ref="K38:N38" si="87">K21*K39</f>
        <v>143.21140771759548</v>
      </c>
      <c r="L38" s="69">
        <f t="shared" si="87"/>
        <v>145.81775201342944</v>
      </c>
      <c r="M38" s="69">
        <f t="shared" si="87"/>
        <v>148.01794772544022</v>
      </c>
      <c r="N38" s="69">
        <f t="shared" si="87"/>
        <v>149.74751725915127</v>
      </c>
      <c r="O38" s="69"/>
    </row>
    <row r="39" spans="1:15" x14ac:dyDescent="0.3">
      <c r="A39" s="44" t="s">
        <v>129</v>
      </c>
      <c r="B39" s="45" t="str">
        <f>+IFERROR((B38-A38)/A38,"nm")</f>
        <v>nm</v>
      </c>
      <c r="C39" s="45">
        <f t="shared" ref="C39:I39" si="88">+IFERROR((C38-B38)/B38,"nm")</f>
        <v>9.9173553719008267E-2</v>
      </c>
      <c r="D39" s="45">
        <f t="shared" si="88"/>
        <v>5.2631578947368418E-2</v>
      </c>
      <c r="E39" s="45">
        <f t="shared" si="88"/>
        <v>0.14285714285714285</v>
      </c>
      <c r="F39" s="45">
        <f t="shared" si="88"/>
        <v>-6.8750000000000006E-2</v>
      </c>
      <c r="G39" s="45">
        <f t="shared" si="88"/>
        <v>-6.7114093959731542E-3</v>
      </c>
      <c r="H39" s="45">
        <f t="shared" si="88"/>
        <v>-0.12162162162162163</v>
      </c>
      <c r="I39" s="45">
        <f t="shared" si="88"/>
        <v>-4.6153846153846156E-2</v>
      </c>
      <c r="J39" s="82">
        <f>AVERAGE(C39:I39)*(1+$O$39)</f>
        <v>7.1260909145023201E-3</v>
      </c>
      <c r="K39" s="82">
        <f t="shared" ref="K39:N39" si="89">J39*(1+$O$39)</f>
        <v>6.9123081870672504E-3</v>
      </c>
      <c r="L39" s="82">
        <f t="shared" si="89"/>
        <v>6.7049389414552329E-3</v>
      </c>
      <c r="M39" s="82">
        <f t="shared" si="89"/>
        <v>6.5037907732115761E-3</v>
      </c>
      <c r="N39" s="82">
        <f t="shared" si="89"/>
        <v>6.3086770500152285E-3</v>
      </c>
      <c r="O39" s="82">
        <v>-0.03</v>
      </c>
    </row>
    <row r="40" spans="1:15" x14ac:dyDescent="0.3">
      <c r="A40" s="44" t="s">
        <v>133</v>
      </c>
      <c r="B40" s="45">
        <f t="shared" ref="B40:H40" si="90">+IFERROR(B38/B$21,"nm")</f>
        <v>8.8064046579330417E-3</v>
      </c>
      <c r="C40" s="45">
        <f t="shared" si="90"/>
        <v>9.0083988079111346E-3</v>
      </c>
      <c r="D40" s="45">
        <f t="shared" si="90"/>
        <v>9.2008412197686646E-3</v>
      </c>
      <c r="E40" s="45">
        <f t="shared" si="90"/>
        <v>1.0770784247728038E-2</v>
      </c>
      <c r="F40" s="45">
        <f t="shared" si="90"/>
        <v>9.3698905798012821E-3</v>
      </c>
      <c r="G40" s="45">
        <f t="shared" si="90"/>
        <v>1.0218171775752554E-2</v>
      </c>
      <c r="H40" s="45">
        <f t="shared" si="90"/>
        <v>7.5673787764130628E-3</v>
      </c>
      <c r="I40" s="45">
        <f>+IFERROR(I38/I$21,"nm")</f>
        <v>6.7563886013185855E-3</v>
      </c>
      <c r="J40" s="45">
        <f t="shared" ref="J40:N40" si="91">+IFERROR(J38/J$21,"nm")</f>
        <v>7.1260909145023192E-3</v>
      </c>
      <c r="K40" s="45">
        <f t="shared" si="91"/>
        <v>6.9123081870672504E-3</v>
      </c>
      <c r="L40" s="45">
        <f t="shared" si="91"/>
        <v>6.7049389414552338E-3</v>
      </c>
      <c r="M40" s="45">
        <f t="shared" si="91"/>
        <v>6.5037907732115761E-3</v>
      </c>
      <c r="N40" s="45">
        <f t="shared" si="91"/>
        <v>6.3086770500152285E-3</v>
      </c>
    </row>
    <row r="41" spans="1:15" x14ac:dyDescent="0.3">
      <c r="A41" s="9" t="s">
        <v>134</v>
      </c>
      <c r="B41" s="9">
        <f>B35-B38</f>
        <v>3645</v>
      </c>
      <c r="C41" s="9">
        <f>C35-C38</f>
        <v>3763</v>
      </c>
      <c r="D41" s="9">
        <f t="shared" ref="D41:I41" si="92">D35-D38</f>
        <v>3875</v>
      </c>
      <c r="E41" s="9">
        <f t="shared" si="92"/>
        <v>3600</v>
      </c>
      <c r="F41" s="9">
        <f t="shared" si="92"/>
        <v>3925</v>
      </c>
      <c r="G41" s="9">
        <f t="shared" si="92"/>
        <v>2899</v>
      </c>
      <c r="H41" s="9">
        <f t="shared" si="92"/>
        <v>5089</v>
      </c>
      <c r="I41" s="9">
        <f t="shared" si="92"/>
        <v>5114</v>
      </c>
      <c r="J41" s="69">
        <f>J35-J38</f>
        <v>3071.0820570873152</v>
      </c>
      <c r="K41" s="69">
        <f t="shared" ref="K41:N41" si="93">K35-K38</f>
        <v>4081.8590159882369</v>
      </c>
      <c r="L41" s="69">
        <f t="shared" si="93"/>
        <v>5420.4200352075868</v>
      </c>
      <c r="M41" s="69">
        <f t="shared" si="93"/>
        <v>7858.0827931048452</v>
      </c>
      <c r="N41" s="69">
        <f t="shared" si="93"/>
        <v>10110.773316875915</v>
      </c>
      <c r="O41" s="69"/>
    </row>
    <row r="42" spans="1:15" x14ac:dyDescent="0.3">
      <c r="A42" s="44" t="s">
        <v>129</v>
      </c>
      <c r="B42" s="45" t="str">
        <f>+IFERROR((B41-A41)/A41,"nm")</f>
        <v>nm</v>
      </c>
      <c r="C42" s="45">
        <f t="shared" ref="C42:H42" si="94">+IFERROR((C41-B41)/B41,"nm")</f>
        <v>3.2373113854595334E-2</v>
      </c>
      <c r="D42" s="45">
        <f t="shared" si="94"/>
        <v>2.9763486579856498E-2</v>
      </c>
      <c r="E42" s="45">
        <f t="shared" si="94"/>
        <v>-7.0967741935483872E-2</v>
      </c>
      <c r="F42" s="45">
        <f t="shared" si="94"/>
        <v>9.0277777777777776E-2</v>
      </c>
      <c r="G42" s="45">
        <f t="shared" si="94"/>
        <v>-0.26140127388535034</v>
      </c>
      <c r="H42" s="45">
        <f t="shared" si="94"/>
        <v>0.75543290789927564</v>
      </c>
      <c r="I42" s="45">
        <f>+IFERROR(I41/H41-1,"nm")</f>
        <v>4.9125564943997002E-3</v>
      </c>
      <c r="J42" s="62">
        <f t="shared" ref="J42:N42" si="95">+IFERROR(J41/I41-1,"nm")</f>
        <v>-0.39947554613075575</v>
      </c>
      <c r="K42" s="62">
        <f t="shared" si="95"/>
        <v>0.32912730435459792</v>
      </c>
      <c r="L42" s="62">
        <f t="shared" si="95"/>
        <v>0.3279292631069175</v>
      </c>
      <c r="M42" s="62">
        <f t="shared" si="95"/>
        <v>0.44971842441429954</v>
      </c>
      <c r="N42" s="62">
        <f t="shared" si="95"/>
        <v>0.28667177262979671</v>
      </c>
      <c r="O42" s="62"/>
    </row>
    <row r="43" spans="1:15" x14ac:dyDescent="0.3">
      <c r="A43" s="44" t="s">
        <v>131</v>
      </c>
      <c r="B43" s="45">
        <f t="shared" ref="B43:H43" si="96">+IFERROR(B41/B$21,"nm")</f>
        <v>0.26528384279475981</v>
      </c>
      <c r="C43" s="45">
        <f t="shared" si="96"/>
        <v>0.25487672717420751</v>
      </c>
      <c r="D43" s="45">
        <f t="shared" si="96"/>
        <v>0.25466614090431128</v>
      </c>
      <c r="E43" s="45">
        <f t="shared" si="96"/>
        <v>0.24234264557388085</v>
      </c>
      <c r="F43" s="45">
        <f t="shared" si="96"/>
        <v>0.2468242988303358</v>
      </c>
      <c r="G43" s="45">
        <f t="shared" si="96"/>
        <v>0.20015189174261253</v>
      </c>
      <c r="H43" s="45">
        <f t="shared" si="96"/>
        <v>0.29623377379358518</v>
      </c>
      <c r="I43" s="45">
        <f>+IFERROR(I41/I$21,"nm")</f>
        <v>0.27864654279954232</v>
      </c>
      <c r="J43" s="62">
        <f>I43*(1+$O$43)</f>
        <v>0.26750068108756064</v>
      </c>
      <c r="K43" s="62">
        <f>J43*(1+$O$43)</f>
        <v>0.2568006538440582</v>
      </c>
      <c r="L43" s="62">
        <f>K43*(1+$O$43)</f>
        <v>0.24652862769029588</v>
      </c>
      <c r="M43" s="62">
        <f>L43*(1+$O$43)</f>
        <v>0.23666748258268402</v>
      </c>
      <c r="N43" s="62">
        <f>M43*(1+$O$43)</f>
        <v>0.22720078327937665</v>
      </c>
      <c r="O43" s="62">
        <v>-0.04</v>
      </c>
    </row>
    <row r="44" spans="1:15" x14ac:dyDescent="0.3">
      <c r="A44" s="9" t="s">
        <v>135</v>
      </c>
      <c r="B44" s="9">
        <f>+Historicals!B158</f>
        <v>208</v>
      </c>
      <c r="C44" s="9">
        <f>+Historicals!C158</f>
        <v>242</v>
      </c>
      <c r="D44" s="9">
        <f>+Historicals!D158</f>
        <v>223</v>
      </c>
      <c r="E44" s="9">
        <f>+Historicals!E158</f>
        <v>196</v>
      </c>
      <c r="F44" s="9">
        <f>+Historicals!F158</f>
        <v>117</v>
      </c>
      <c r="G44" s="9">
        <f>+Historicals!G158</f>
        <v>110</v>
      </c>
      <c r="H44" s="9">
        <f>+Historicals!H158</f>
        <v>98</v>
      </c>
      <c r="I44" s="9">
        <f>+Historicals!I158</f>
        <v>146</v>
      </c>
      <c r="J44" s="69">
        <f>J21*J46</f>
        <v>150.26357928565986</v>
      </c>
      <c r="K44" s="69">
        <f t="shared" ref="K44:N44" si="97">K21*K46</f>
        <v>155.0757107773957</v>
      </c>
      <c r="L44" s="69">
        <f t="shared" si="97"/>
        <v>157.89797682902255</v>
      </c>
      <c r="M44" s="69">
        <f t="shared" si="97"/>
        <v>160.28044704789139</v>
      </c>
      <c r="N44" s="69">
        <f t="shared" si="97"/>
        <v>162.15330221392725</v>
      </c>
      <c r="O44" s="69"/>
    </row>
    <row r="45" spans="1:15" x14ac:dyDescent="0.3">
      <c r="A45" s="44" t="s">
        <v>129</v>
      </c>
      <c r="B45" s="45" t="str">
        <f>+IFERROR((B44-A44)/A44,"nm")</f>
        <v>nm</v>
      </c>
      <c r="C45" s="45">
        <f t="shared" ref="C45:I45" si="98">+IFERROR((C44-B44)/B44,"nm")</f>
        <v>0.16346153846153846</v>
      </c>
      <c r="D45" s="45">
        <f t="shared" si="98"/>
        <v>-7.8512396694214878E-2</v>
      </c>
      <c r="E45" s="45">
        <f t="shared" si="98"/>
        <v>-0.1210762331838565</v>
      </c>
      <c r="F45" s="45">
        <f t="shared" si="98"/>
        <v>-0.40306122448979592</v>
      </c>
      <c r="G45" s="45">
        <f t="shared" si="98"/>
        <v>-5.9829059829059832E-2</v>
      </c>
      <c r="H45" s="45">
        <f t="shared" si="98"/>
        <v>-0.10909090909090909</v>
      </c>
      <c r="I45" s="45">
        <f t="shared" si="98"/>
        <v>0.48979591836734693</v>
      </c>
      <c r="J45" s="62">
        <f t="shared" ref="J45" si="99">+IFERROR((J44-I44)/I44,"nm")</f>
        <v>2.9202597846985333E-2</v>
      </c>
      <c r="K45" s="62">
        <f t="shared" ref="K45" si="100">+IFERROR((K44-J44)/J44,"nm")</f>
        <v>3.2024603131459398E-2</v>
      </c>
      <c r="L45" s="62">
        <f t="shared" ref="L45" si="101">+IFERROR((L44-K44)/K44,"nm")</f>
        <v>1.8199278516789083E-2</v>
      </c>
      <c r="M45" s="62">
        <f t="shared" ref="M45" si="102">+IFERROR((M44-L44)/L44,"nm")</f>
        <v>1.5088668434609862E-2</v>
      </c>
      <c r="N45" s="62">
        <f t="shared" ref="N45" si="103">+IFERROR((N44-M44)/M44,"nm")</f>
        <v>1.1684863628289343E-2</v>
      </c>
      <c r="O45" s="62"/>
    </row>
    <row r="46" spans="1:15" x14ac:dyDescent="0.3">
      <c r="A46" s="44" t="s">
        <v>133</v>
      </c>
      <c r="B46" s="45">
        <f t="shared" ref="B46:I46" si="104">+IFERROR(B44/B$21,"nm")</f>
        <v>1.5138282387190683E-2</v>
      </c>
      <c r="C46" s="45">
        <f t="shared" si="104"/>
        <v>1.6391221891086428E-2</v>
      </c>
      <c r="D46" s="45">
        <f t="shared" si="104"/>
        <v>1.4655625657202945E-2</v>
      </c>
      <c r="E46" s="45">
        <f t="shared" si="104"/>
        <v>1.3194210703466847E-2</v>
      </c>
      <c r="F46" s="45">
        <f t="shared" si="104"/>
        <v>7.3575650861526856E-3</v>
      </c>
      <c r="G46" s="45">
        <f t="shared" si="104"/>
        <v>7.5945871306268989E-3</v>
      </c>
      <c r="H46" s="45">
        <f t="shared" si="104"/>
        <v>5.7046393852960009E-3</v>
      </c>
      <c r="I46" s="45">
        <f t="shared" si="104"/>
        <v>7.9551027080041418E-3</v>
      </c>
      <c r="J46" s="82">
        <f>I46*(1+$O$46)</f>
        <v>7.7164496267640176E-3</v>
      </c>
      <c r="K46" s="82">
        <f>J46*(1+$O$46)</f>
        <v>7.4849561379610966E-3</v>
      </c>
      <c r="L46" s="82">
        <f>K46*(1+$O$46)</f>
        <v>7.2604074538222636E-3</v>
      </c>
      <c r="M46" s="82">
        <f>L46*(1+$O$46)</f>
        <v>7.0425952302075956E-3</v>
      </c>
      <c r="N46" s="82">
        <f>M46*(1+$O$46)</f>
        <v>6.8313173733013672E-3</v>
      </c>
      <c r="O46" s="82">
        <v>-0.03</v>
      </c>
    </row>
    <row r="47" spans="1:15" x14ac:dyDescent="0.3">
      <c r="A47" s="66" t="s">
        <v>146</v>
      </c>
      <c r="B47" s="67">
        <f>Historicals!B147</f>
        <v>632</v>
      </c>
      <c r="C47" s="67">
        <f>Historicals!C147</f>
        <v>742</v>
      </c>
      <c r="D47" s="67">
        <f>Historicals!D147</f>
        <v>819</v>
      </c>
      <c r="E47" s="67">
        <f>Historicals!E147</f>
        <v>848</v>
      </c>
      <c r="F47" s="67">
        <f>Historicals!F147</f>
        <v>814</v>
      </c>
      <c r="G47" s="67">
        <f>Historicals!G147</f>
        <v>645</v>
      </c>
      <c r="H47" s="67">
        <f>Historicals!H147</f>
        <v>617</v>
      </c>
      <c r="I47" s="67">
        <f>Historicals!I147</f>
        <v>639</v>
      </c>
      <c r="J47" s="69">
        <f>J21*J49</f>
        <v>711.90049796436574</v>
      </c>
      <c r="K47" s="69">
        <f t="shared" ref="K47:N47" si="105">K21*K49</f>
        <v>795.2925467265992</v>
      </c>
      <c r="L47" s="69">
        <f t="shared" si="105"/>
        <v>876.5511465475704</v>
      </c>
      <c r="M47" s="69">
        <f t="shared" si="105"/>
        <v>963.16081749690102</v>
      </c>
      <c r="N47" s="69">
        <f t="shared" si="105"/>
        <v>1054.7793621819974</v>
      </c>
      <c r="O47" s="69"/>
    </row>
    <row r="48" spans="1:15" x14ac:dyDescent="0.3">
      <c r="A48" s="65" t="s">
        <v>129</v>
      </c>
      <c r="B48" s="45" t="str">
        <f>+IFERROR((B47-A47)/A47,"nm")</f>
        <v>nm</v>
      </c>
      <c r="C48" s="45">
        <f t="shared" ref="C48:I48" si="106">+IFERROR((C47-B47)/B47,"nm")</f>
        <v>0.17405063291139242</v>
      </c>
      <c r="D48" s="45">
        <f t="shared" si="106"/>
        <v>0.10377358490566038</v>
      </c>
      <c r="E48" s="45">
        <f t="shared" si="106"/>
        <v>3.5409035409035408E-2</v>
      </c>
      <c r="F48" s="45">
        <f t="shared" si="106"/>
        <v>-4.0094339622641507E-2</v>
      </c>
      <c r="G48" s="45">
        <f t="shared" si="106"/>
        <v>-0.20761670761670761</v>
      </c>
      <c r="H48" s="45">
        <f t="shared" si="106"/>
        <v>-4.3410852713178294E-2</v>
      </c>
      <c r="I48" s="45">
        <f t="shared" si="106"/>
        <v>3.5656401944894653E-2</v>
      </c>
      <c r="J48" s="62">
        <f t="shared" ref="J48" si="107">+IFERROR((J47-I47)/I47,"nm")</f>
        <v>0.11408528632921086</v>
      </c>
      <c r="K48" s="62">
        <f t="shared" ref="K48" si="108">+IFERROR((K47-J47)/J47,"nm")</f>
        <v>0.11714003431755944</v>
      </c>
      <c r="L48" s="62">
        <f t="shared" ref="L48" si="109">+IFERROR((L47-K47)/K47,"nm")</f>
        <v>0.10217447674497795</v>
      </c>
      <c r="M48" s="62">
        <f t="shared" ref="M48" si="110">+IFERROR((M47-L47)/L47,"nm")</f>
        <v>9.8807321501381801E-2</v>
      </c>
      <c r="N48" s="62">
        <f t="shared" ref="N48" si="111">+IFERROR((N47-M47)/M47,"nm")</f>
        <v>9.512279052546814E-2</v>
      </c>
      <c r="O48" s="62"/>
    </row>
    <row r="49" spans="1:15" x14ac:dyDescent="0.3">
      <c r="A49" s="65" t="s">
        <v>133</v>
      </c>
      <c r="B49" s="45">
        <f>+IFERROR(B47/B$21,"nm")</f>
        <v>4.599708879184862E-2</v>
      </c>
      <c r="C49" s="45">
        <f t="shared" ref="C49:I49" si="112">+IFERROR(C47/C$21,"nm")</f>
        <v>5.0257382823083174E-2</v>
      </c>
      <c r="D49" s="45">
        <f t="shared" si="112"/>
        <v>5.3824921135646686E-2</v>
      </c>
      <c r="E49" s="45">
        <f t="shared" si="112"/>
        <v>5.7085156512958597E-2</v>
      </c>
      <c r="F49" s="45">
        <f t="shared" si="112"/>
        <v>5.1188529744686205E-2</v>
      </c>
      <c r="G49" s="45">
        <f t="shared" si="112"/>
        <v>4.4531897265948632E-2</v>
      </c>
      <c r="H49" s="45">
        <f t="shared" si="112"/>
        <v>3.5915943884975841E-2</v>
      </c>
      <c r="I49" s="45">
        <f t="shared" si="112"/>
        <v>3.4817196098730456E-2</v>
      </c>
      <c r="J49" s="82">
        <f>I49*(1+$O$49)</f>
        <v>3.6558055903666981E-2</v>
      </c>
      <c r="K49" s="82">
        <f>J49*(1+$O$49)</f>
        <v>3.838595869885033E-2</v>
      </c>
      <c r="L49" s="82">
        <f>K49*(1+$O$49)</f>
        <v>4.0305256633792849E-2</v>
      </c>
      <c r="M49" s="82">
        <f>L49*(1+$O$49)</f>
        <v>4.2320519465482494E-2</v>
      </c>
      <c r="N49" s="82">
        <f>M49*(1+$O$49)</f>
        <v>4.4436545438756622E-2</v>
      </c>
      <c r="O49" s="82">
        <v>0.05</v>
      </c>
    </row>
    <row r="50" spans="1:15" x14ac:dyDescent="0.3">
      <c r="A50" s="41" t="str">
        <f>+Historicals!A113</f>
        <v>Europe, Middle East &amp; Africa</v>
      </c>
      <c r="B50" s="41"/>
      <c r="C50" s="41"/>
      <c r="D50" s="41"/>
      <c r="E50" s="41"/>
      <c r="F50" s="41"/>
      <c r="G50" s="41"/>
      <c r="H50" s="41"/>
      <c r="I50" s="41"/>
      <c r="J50" s="73"/>
      <c r="K50" s="73"/>
      <c r="L50" s="73"/>
      <c r="M50" s="73"/>
      <c r="N50" s="73"/>
      <c r="O50" s="73"/>
    </row>
    <row r="51" spans="1:15" x14ac:dyDescent="0.3">
      <c r="A51" s="9" t="s">
        <v>136</v>
      </c>
      <c r="B51" s="1">
        <f>+B53+B57+B61</f>
        <v>11024</v>
      </c>
      <c r="C51" s="1">
        <f>+C53+C57+C61</f>
        <v>11016</v>
      </c>
      <c r="D51" s="1">
        <f t="shared" ref="D51:I51" si="113">+D53+D57+D61</f>
        <v>7970</v>
      </c>
      <c r="E51" s="1">
        <f t="shared" si="113"/>
        <v>9242</v>
      </c>
      <c r="F51" s="1">
        <f t="shared" si="113"/>
        <v>9812</v>
      </c>
      <c r="G51" s="1">
        <f t="shared" si="113"/>
        <v>9347</v>
      </c>
      <c r="H51" s="1">
        <f t="shared" si="113"/>
        <v>11456</v>
      </c>
      <c r="I51" s="1">
        <f t="shared" si="113"/>
        <v>12479</v>
      </c>
      <c r="J51" s="69">
        <f>SUM(J53,J57,J61)</f>
        <v>13879.34676</v>
      </c>
      <c r="K51" s="69">
        <f t="shared" ref="K51:N51" si="114">SUM(K53,K57,K61)</f>
        <v>15481.125292191065</v>
      </c>
      <c r="L51" s="69">
        <f t="shared" si="114"/>
        <v>16269.033967746551</v>
      </c>
      <c r="M51" s="69">
        <f t="shared" si="114"/>
        <v>17065.853277435021</v>
      </c>
      <c r="N51" s="69">
        <f t="shared" si="114"/>
        <v>17901.745221828671</v>
      </c>
    </row>
    <row r="52" spans="1:15" x14ac:dyDescent="0.3">
      <c r="A52" s="42" t="s">
        <v>129</v>
      </c>
      <c r="B52" s="60" t="str">
        <f>IFERROR((B51-A51)/A51,"nm")</f>
        <v>nm</v>
      </c>
      <c r="C52" s="60">
        <f>IFERROR((C51-B51)/B51,"nm")</f>
        <v>-7.2568940493468795E-4</v>
      </c>
      <c r="D52" s="60">
        <f t="shared" ref="D52:I52" si="115">IFERROR((D51-C51)/C51,"nm")</f>
        <v>-0.27650689905591869</v>
      </c>
      <c r="E52" s="60">
        <f t="shared" si="115"/>
        <v>0.15959849435382686</v>
      </c>
      <c r="F52" s="60">
        <f t="shared" si="115"/>
        <v>6.1674962129409219E-2</v>
      </c>
      <c r="G52" s="60">
        <f t="shared" si="115"/>
        <v>-4.7390949857317573E-2</v>
      </c>
      <c r="H52" s="60">
        <f t="shared" si="115"/>
        <v>0.22563389322777361</v>
      </c>
      <c r="I52" s="60">
        <f t="shared" si="115"/>
        <v>8.9298184357541902E-2</v>
      </c>
      <c r="J52" s="71">
        <f>IFERROR((J51-I51)/I51,"nm")</f>
        <v>0.11221626412372789</v>
      </c>
      <c r="K52" s="71">
        <f t="shared" ref="K52" si="116">IFERROR((K51-J51)/J51,"nm")</f>
        <v>0.11540734300315622</v>
      </c>
      <c r="L52" s="71">
        <f t="shared" ref="L52" si="117">IFERROR((L51-K51)/K51,"nm")</f>
        <v>5.0894793542748437E-2</v>
      </c>
      <c r="M52" s="71">
        <f t="shared" ref="M52" si="118">IFERROR((M51-L51)/L51,"nm")</f>
        <v>4.8977665869293065E-2</v>
      </c>
      <c r="N52" s="71">
        <f t="shared" ref="N52" si="119">IFERROR((N51-M51)/M51,"nm")</f>
        <v>4.8980377998379454E-2</v>
      </c>
    </row>
    <row r="53" spans="1:15" x14ac:dyDescent="0.3">
      <c r="A53" s="43" t="s">
        <v>113</v>
      </c>
      <c r="B53" s="1">
        <f>Historicals!B114</f>
        <v>7344</v>
      </c>
      <c r="C53" s="1">
        <f>Historicals!C114</f>
        <v>7403</v>
      </c>
      <c r="D53" s="1">
        <f>Historicals!D114</f>
        <v>5192</v>
      </c>
      <c r="E53" s="1">
        <f>Historicals!E114</f>
        <v>5875</v>
      </c>
      <c r="F53" s="1">
        <f>Historicals!F114</f>
        <v>6293</v>
      </c>
      <c r="G53" s="1">
        <f>Historicals!G114</f>
        <v>5892</v>
      </c>
      <c r="H53" s="1">
        <f>Historicals!H114</f>
        <v>6970</v>
      </c>
      <c r="I53" s="1">
        <f>Historicals!I114</f>
        <v>7388</v>
      </c>
      <c r="J53" s="69">
        <f>I53*(1+J54)</f>
        <v>8073.237000000001</v>
      </c>
      <c r="K53" s="69">
        <f t="shared" ref="K53:N53" si="120">J53*(1+K54)</f>
        <v>8882.4276360562508</v>
      </c>
      <c r="L53" s="69">
        <f t="shared" si="120"/>
        <v>9344.3138731311756</v>
      </c>
      <c r="M53" s="69">
        <f t="shared" si="120"/>
        <v>9802.1852529146017</v>
      </c>
      <c r="N53" s="69">
        <f t="shared" si="120"/>
        <v>10282.492330307417</v>
      </c>
    </row>
    <row r="54" spans="1:15" x14ac:dyDescent="0.3">
      <c r="A54" s="42" t="s">
        <v>129</v>
      </c>
      <c r="B54" s="60" t="str">
        <f>IFERROR((B53-A53)/A53,"nm")</f>
        <v>nm</v>
      </c>
      <c r="C54" s="60">
        <f t="shared" ref="C54:I54" si="121">IFERROR((C53-B53)/B53,"nm")</f>
        <v>8.0337690631808283E-3</v>
      </c>
      <c r="D54" s="60">
        <f t="shared" si="121"/>
        <v>-0.29866270430906389</v>
      </c>
      <c r="E54" s="60">
        <f t="shared" si="121"/>
        <v>0.13154853620955315</v>
      </c>
      <c r="F54" s="60">
        <f t="shared" si="121"/>
        <v>7.114893617021277E-2</v>
      </c>
      <c r="G54" s="60">
        <f t="shared" si="121"/>
        <v>-6.3721595423486418E-2</v>
      </c>
      <c r="H54" s="60">
        <f t="shared" si="121"/>
        <v>0.18295994568906992</v>
      </c>
      <c r="I54" s="60">
        <f t="shared" si="121"/>
        <v>5.9971305595408898E-2</v>
      </c>
      <c r="J54" s="83">
        <f>J55+J56</f>
        <v>9.2749999999999999E-2</v>
      </c>
      <c r="K54" s="83">
        <f t="shared" ref="K54:N54" si="122">K55+K56</f>
        <v>0.10023124999999999</v>
      </c>
      <c r="L54" s="83">
        <f t="shared" si="122"/>
        <v>5.1999999999999998E-2</v>
      </c>
      <c r="M54" s="83">
        <f t="shared" si="122"/>
        <v>4.9000000000000002E-2</v>
      </c>
      <c r="N54" s="83">
        <f t="shared" si="122"/>
        <v>4.9000000000000002E-2</v>
      </c>
      <c r="O54" s="83">
        <v>0.05</v>
      </c>
    </row>
    <row r="55" spans="1:15" x14ac:dyDescent="0.3">
      <c r="A55" s="42" t="s">
        <v>137</v>
      </c>
      <c r="D55" s="59">
        <f>Historicals!D185</f>
        <v>0.05</v>
      </c>
      <c r="E55" s="59">
        <f>Historicals!E185</f>
        <v>0.09</v>
      </c>
      <c r="F55" s="59">
        <f>Historicals!F185</f>
        <v>0.11</v>
      </c>
      <c r="G55" s="59">
        <f>Historicals!G185</f>
        <v>-0.01</v>
      </c>
      <c r="H55" s="59">
        <f>Historicals!H185</f>
        <v>0.17</v>
      </c>
      <c r="I55" s="59">
        <f>Historicals!I185</f>
        <v>0.12</v>
      </c>
      <c r="J55" s="82">
        <f>AVERAGE(D55:I55)*(1+$O$54)</f>
        <v>9.2749999999999999E-2</v>
      </c>
      <c r="K55" s="82">
        <f t="shared" ref="K55" si="123">AVERAGE(E55:J55)*(1+$O$54)</f>
        <v>0.10023124999999999</v>
      </c>
      <c r="L55" s="82">
        <v>5.1999999999999998E-2</v>
      </c>
      <c r="M55" s="82">
        <v>4.9000000000000002E-2</v>
      </c>
      <c r="N55" s="82">
        <v>4.9000000000000002E-2</v>
      </c>
    </row>
    <row r="56" spans="1:15" x14ac:dyDescent="0.3">
      <c r="A56" s="42" t="s">
        <v>138</v>
      </c>
      <c r="D56" s="59">
        <f>IFERROR(D54-D55, "nm")</f>
        <v>-0.34866270430906388</v>
      </c>
      <c r="E56" s="59">
        <f t="shared" ref="E56:I56" si="124">IFERROR(E54-E55, "nm")</f>
        <v>4.154853620955315E-2</v>
      </c>
      <c r="F56" s="59">
        <f t="shared" si="124"/>
        <v>-3.885106382978723E-2</v>
      </c>
      <c r="G56" s="59">
        <f t="shared" si="124"/>
        <v>-5.3721595423486417E-2</v>
      </c>
      <c r="H56" s="59">
        <f t="shared" si="124"/>
        <v>1.2959945689069913E-2</v>
      </c>
      <c r="I56" s="59">
        <f t="shared" si="124"/>
        <v>-6.0028694404591097E-2</v>
      </c>
      <c r="J56" s="70">
        <v>0</v>
      </c>
      <c r="K56" s="70">
        <v>0</v>
      </c>
      <c r="L56" s="70">
        <v>0</v>
      </c>
      <c r="M56" s="70">
        <v>0</v>
      </c>
      <c r="N56" s="70">
        <v>0</v>
      </c>
      <c r="O56" s="70"/>
    </row>
    <row r="57" spans="1:15" x14ac:dyDescent="0.3">
      <c r="A57" s="43" t="s">
        <v>114</v>
      </c>
      <c r="B57" s="1">
        <f>Historicals!B115</f>
        <v>3072</v>
      </c>
      <c r="C57" s="1">
        <f>Historicals!C115</f>
        <v>3038</v>
      </c>
      <c r="D57" s="1">
        <f>Historicals!D115</f>
        <v>2395</v>
      </c>
      <c r="E57" s="1">
        <f>Historicals!E115</f>
        <v>2940</v>
      </c>
      <c r="F57" s="1">
        <f>Historicals!F115</f>
        <v>3087</v>
      </c>
      <c r="G57" s="1">
        <f>Historicals!G115</f>
        <v>3053</v>
      </c>
      <c r="H57" s="1">
        <f>Historicals!H115</f>
        <v>3996</v>
      </c>
      <c r="I57" s="1">
        <f>Historicals!I115</f>
        <v>4527</v>
      </c>
      <c r="J57" s="69">
        <f>I57*(1+J58)</f>
        <v>5145.75036</v>
      </c>
      <c r="K57" s="69">
        <f t="shared" ref="K57:N57" si="125">J57*(1+K58)</f>
        <v>5824.9517406273644</v>
      </c>
      <c r="L57" s="69">
        <f t="shared" si="125"/>
        <v>6104.5494241774777</v>
      </c>
      <c r="M57" s="69">
        <f t="shared" si="125"/>
        <v>6397.5677965379973</v>
      </c>
      <c r="N57" s="69">
        <f t="shared" si="125"/>
        <v>6704.6510507718212</v>
      </c>
    </row>
    <row r="58" spans="1:15" ht="16.5" customHeight="1" x14ac:dyDescent="0.3">
      <c r="A58" s="42" t="s">
        <v>129</v>
      </c>
      <c r="B58" s="60" t="str">
        <f>IFERROR((B57-A57)/A57,"nm")</f>
        <v>nm</v>
      </c>
      <c r="C58" s="60">
        <f t="shared" ref="C58:I58" si="126">IFERROR((C57-B57)/B57,"nm")</f>
        <v>-1.1067708333333334E-2</v>
      </c>
      <c r="D58" s="60">
        <f t="shared" si="126"/>
        <v>-0.21165240289664253</v>
      </c>
      <c r="E58" s="60">
        <f t="shared" si="126"/>
        <v>0.22755741127348644</v>
      </c>
      <c r="F58" s="60">
        <f t="shared" si="126"/>
        <v>0.05</v>
      </c>
      <c r="G58" s="60">
        <f t="shared" si="126"/>
        <v>-1.101392938127632E-2</v>
      </c>
      <c r="H58" s="60">
        <f t="shared" si="126"/>
        <v>0.30887651490337376</v>
      </c>
      <c r="I58" s="60">
        <f t="shared" si="126"/>
        <v>0.13288288288288289</v>
      </c>
      <c r="J58" s="71">
        <f>J59+J60</f>
        <v>0.13668</v>
      </c>
      <c r="K58" s="71">
        <f t="shared" ref="K58:N58" si="127">K59+K60</f>
        <v>0.13199268</v>
      </c>
      <c r="L58" s="71">
        <f t="shared" si="127"/>
        <v>4.8000000000000001E-2</v>
      </c>
      <c r="M58" s="71">
        <f t="shared" si="127"/>
        <v>4.8000000000000001E-2</v>
      </c>
      <c r="N58" s="71">
        <f t="shared" si="127"/>
        <v>4.8000000000000001E-2</v>
      </c>
      <c r="O58" s="19"/>
    </row>
    <row r="59" spans="1:15" x14ac:dyDescent="0.3">
      <c r="A59" s="42" t="s">
        <v>137</v>
      </c>
      <c r="D59" s="59">
        <f>Historicals!D187</f>
        <v>0.11</v>
      </c>
      <c r="E59" s="59">
        <f>Historicals!E187</f>
        <v>0.16</v>
      </c>
      <c r="F59" s="59">
        <f>Historicals!F187</f>
        <v>0.09</v>
      </c>
      <c r="G59" s="59">
        <f>Historicals!G187</f>
        <v>0.02</v>
      </c>
      <c r="H59" s="59">
        <f>Historicals!H187</f>
        <v>0.25</v>
      </c>
      <c r="I59" s="59">
        <f>Historicals!I187</f>
        <v>0.16</v>
      </c>
      <c r="J59" s="82">
        <f>AVERAGE(E59:I59)*(1+$O$59)</f>
        <v>0.13668</v>
      </c>
      <c r="K59" s="82">
        <f t="shared" ref="K59" si="128">AVERAGE(F59:J59)*(1+$O$59)</f>
        <v>0.13199268</v>
      </c>
      <c r="L59" s="82">
        <v>4.8000000000000001E-2</v>
      </c>
      <c r="M59" s="82">
        <v>4.8000000000000001E-2</v>
      </c>
      <c r="N59" s="82">
        <v>4.8000000000000001E-2</v>
      </c>
      <c r="O59" s="82">
        <v>5.0000000000000001E-3</v>
      </c>
    </row>
    <row r="60" spans="1:15" x14ac:dyDescent="0.3">
      <c r="A60" s="42" t="s">
        <v>138</v>
      </c>
      <c r="D60" s="59">
        <f>IFERROR(D58-D59, "nm")</f>
        <v>-0.32165240289664254</v>
      </c>
      <c r="E60" s="59">
        <f t="shared" ref="E60:I60" si="129">IFERROR(E58-E59, "nm")</f>
        <v>6.755741127348644E-2</v>
      </c>
      <c r="F60" s="59">
        <f t="shared" si="129"/>
        <v>-3.9999999999999994E-2</v>
      </c>
      <c r="G60" s="59">
        <f t="shared" si="129"/>
        <v>-3.1013929381276319E-2</v>
      </c>
      <c r="H60" s="59">
        <f t="shared" si="129"/>
        <v>5.8876514903373756E-2</v>
      </c>
      <c r="I60" s="59">
        <f t="shared" si="129"/>
        <v>-2.7117117117117118E-2</v>
      </c>
      <c r="J60" s="84">
        <v>0</v>
      </c>
      <c r="K60" s="84">
        <v>0</v>
      </c>
      <c r="L60" s="84">
        <v>0</v>
      </c>
      <c r="M60" s="84">
        <v>0</v>
      </c>
      <c r="N60" s="84">
        <v>0</v>
      </c>
      <c r="O60" s="84"/>
    </row>
    <row r="61" spans="1:15" x14ac:dyDescent="0.3">
      <c r="A61" s="43" t="s">
        <v>115</v>
      </c>
      <c r="B61" s="1">
        <f>Historicals!B116</f>
        <v>608</v>
      </c>
      <c r="C61" s="1">
        <f>Historicals!C116</f>
        <v>575</v>
      </c>
      <c r="D61" s="1">
        <f>Historicals!D116</f>
        <v>383</v>
      </c>
      <c r="E61" s="1">
        <f>Historicals!E116</f>
        <v>427</v>
      </c>
      <c r="F61" s="1">
        <f>Historicals!F116</f>
        <v>432</v>
      </c>
      <c r="G61" s="1">
        <f>Historicals!G116</f>
        <v>402</v>
      </c>
      <c r="H61" s="1">
        <f>Historicals!H116</f>
        <v>490</v>
      </c>
      <c r="I61" s="1">
        <f>Historicals!I116</f>
        <v>564</v>
      </c>
      <c r="J61" s="69">
        <f>I61*(1+J62)</f>
        <v>660.35939999999994</v>
      </c>
      <c r="K61" s="69">
        <f t="shared" ref="K61:N61" si="130">J61*(1+K62)</f>
        <v>773.74591550744981</v>
      </c>
      <c r="L61" s="69">
        <f t="shared" si="130"/>
        <v>820.17067043789689</v>
      </c>
      <c r="M61" s="69">
        <f t="shared" si="130"/>
        <v>866.10022798241914</v>
      </c>
      <c r="N61" s="69">
        <f t="shared" si="130"/>
        <v>914.6018407494347</v>
      </c>
      <c r="O61" s="69"/>
    </row>
    <row r="62" spans="1:15" x14ac:dyDescent="0.3">
      <c r="A62" s="42" t="s">
        <v>129</v>
      </c>
      <c r="B62" s="60" t="str">
        <f>IFERROR((B61-A61)/A61,"nm")</f>
        <v>nm</v>
      </c>
      <c r="C62" s="60">
        <f t="shared" ref="C62:I62" si="131">IFERROR((C61-B61)/B61,"nm")</f>
        <v>-5.4276315789473686E-2</v>
      </c>
      <c r="D62" s="60">
        <f t="shared" si="131"/>
        <v>-0.3339130434782609</v>
      </c>
      <c r="E62" s="60">
        <f t="shared" si="131"/>
        <v>0.11488250652741515</v>
      </c>
      <c r="F62" s="60">
        <f t="shared" si="131"/>
        <v>1.1709601873536301E-2</v>
      </c>
      <c r="G62" s="60">
        <f t="shared" si="131"/>
        <v>-6.9444444444444448E-2</v>
      </c>
      <c r="H62" s="60">
        <f t="shared" si="131"/>
        <v>0.21890547263681592</v>
      </c>
      <c r="I62" s="60">
        <f t="shared" si="131"/>
        <v>0.15102040816326531</v>
      </c>
      <c r="J62" s="71">
        <f>J63+J64</f>
        <v>0.17085</v>
      </c>
      <c r="K62" s="71">
        <f t="shared" ref="K62:N62" si="132">K63+K64</f>
        <v>0.17170424999999997</v>
      </c>
      <c r="L62" s="71">
        <f t="shared" si="132"/>
        <v>0.06</v>
      </c>
      <c r="M62" s="71">
        <f t="shared" si="132"/>
        <v>5.6000000000000001E-2</v>
      </c>
      <c r="N62" s="71">
        <f t="shared" si="132"/>
        <v>5.6000000000000001E-2</v>
      </c>
      <c r="O62" s="71"/>
    </row>
    <row r="63" spans="1:15" x14ac:dyDescent="0.3">
      <c r="A63" s="42" t="s">
        <v>137</v>
      </c>
      <c r="D63" s="59">
        <f>Historicals!D188</f>
        <v>0.02</v>
      </c>
      <c r="E63" s="59">
        <f>Historicals!E188</f>
        <v>0.06</v>
      </c>
      <c r="F63" s="59">
        <f>Historicals!F188</f>
        <v>0.05</v>
      </c>
      <c r="G63" s="59">
        <f>Historicals!G188</f>
        <v>-0.03</v>
      </c>
      <c r="H63" s="59">
        <f>Historicals!H188</f>
        <v>0.19</v>
      </c>
      <c r="I63" s="59">
        <f>Historicals!I188</f>
        <v>0.17</v>
      </c>
      <c r="J63" s="82">
        <f>I63*(1+$O$63)</f>
        <v>0.17085</v>
      </c>
      <c r="K63" s="82">
        <f>J63*(1+$O$63)</f>
        <v>0.17170424999999997</v>
      </c>
      <c r="L63" s="82">
        <v>0.06</v>
      </c>
      <c r="M63" s="82">
        <v>5.6000000000000001E-2</v>
      </c>
      <c r="N63" s="82">
        <v>5.6000000000000001E-2</v>
      </c>
      <c r="O63" s="82">
        <v>5.0000000000000001E-3</v>
      </c>
    </row>
    <row r="64" spans="1:15" x14ac:dyDescent="0.3">
      <c r="A64" s="42" t="s">
        <v>138</v>
      </c>
      <c r="D64" s="59">
        <f>IFERROR(D62-D63, "nm")</f>
        <v>-0.35391304347826091</v>
      </c>
      <c r="E64" s="59">
        <f t="shared" ref="E64:I64" si="133">IFERROR(E62-E63, "nm")</f>
        <v>5.4882506527415151E-2</v>
      </c>
      <c r="F64" s="59">
        <f t="shared" si="133"/>
        <v>-3.8290398126463704E-2</v>
      </c>
      <c r="G64" s="59">
        <f t="shared" si="133"/>
        <v>-3.9444444444444449E-2</v>
      </c>
      <c r="H64" s="59">
        <f t="shared" si="133"/>
        <v>2.8905472636815921E-2</v>
      </c>
      <c r="I64" s="59">
        <f t="shared" si="133"/>
        <v>-1.8979591836734699E-2</v>
      </c>
      <c r="J64" s="70">
        <v>0</v>
      </c>
      <c r="K64" s="70">
        <v>0</v>
      </c>
      <c r="L64" s="70">
        <v>0</v>
      </c>
      <c r="M64" s="70">
        <v>0</v>
      </c>
      <c r="N64" s="70">
        <v>0</v>
      </c>
      <c r="O64" s="70"/>
    </row>
    <row r="65" spans="1:15" x14ac:dyDescent="0.3">
      <c r="A65" s="9" t="s">
        <v>130</v>
      </c>
      <c r="B65" s="1">
        <f>Historicals!B137+Historicals!B170</f>
        <v>2456</v>
      </c>
      <c r="C65" s="1">
        <f>Historicals!C137+Historicals!C170</f>
        <v>2724</v>
      </c>
      <c r="D65" s="1">
        <f>Historicals!D137+Historicals!D170</f>
        <v>1613</v>
      </c>
      <c r="E65" s="1">
        <f>Historicals!E137+Historicals!E170</f>
        <v>1703</v>
      </c>
      <c r="F65" s="1">
        <f>Historicals!F137+Historicals!F170</f>
        <v>2106</v>
      </c>
      <c r="G65" s="1">
        <f>Historicals!G137+Historicals!G170</f>
        <v>1673</v>
      </c>
      <c r="H65" s="1">
        <f>Historicals!H137+Historicals!H170</f>
        <v>2571</v>
      </c>
      <c r="I65" s="1">
        <f>Historicals!I137+Historicals!I170</f>
        <v>3427</v>
      </c>
      <c r="J65" s="69">
        <f>J51*J67</f>
        <v>3178.2241209252925</v>
      </c>
      <c r="K65" s="69">
        <f t="shared" ref="K65:N65" si="134">K51*K67</f>
        <v>3502.5484911510775</v>
      </c>
      <c r="L65" s="69">
        <f t="shared" si="134"/>
        <v>3739.0427908971178</v>
      </c>
      <c r="M65" s="69">
        <f t="shared" si="134"/>
        <v>4038.7959835588354</v>
      </c>
      <c r="N65" s="69">
        <f t="shared" si="134"/>
        <v>4295.7588575963364</v>
      </c>
      <c r="O65" s="69"/>
    </row>
    <row r="66" spans="1:15" x14ac:dyDescent="0.3">
      <c r="A66" s="44" t="s">
        <v>129</v>
      </c>
      <c r="B66" s="60" t="str">
        <f>IFERROR((B65-A65)/A65,"nm")</f>
        <v>nm</v>
      </c>
      <c r="C66" s="60">
        <f t="shared" ref="C66:I66" si="135">IFERROR((C65-B65)/B65,"nm")</f>
        <v>0.10912052117263844</v>
      </c>
      <c r="D66" s="60">
        <f t="shared" si="135"/>
        <v>-0.407856093979442</v>
      </c>
      <c r="E66" s="60">
        <f t="shared" si="135"/>
        <v>5.5796652200867949E-2</v>
      </c>
      <c r="F66" s="60">
        <f t="shared" si="135"/>
        <v>0.23664122137404581</v>
      </c>
      <c r="G66" s="60">
        <f t="shared" si="135"/>
        <v>-0.20560303893637227</v>
      </c>
      <c r="H66" s="60">
        <f t="shared" si="135"/>
        <v>0.5367603108188882</v>
      </c>
      <c r="I66" s="60">
        <f t="shared" si="135"/>
        <v>0.33294437961882534</v>
      </c>
      <c r="J66" s="83">
        <f t="shared" ref="J66" si="136">IFERROR((J65-I65)/I65,"nm")</f>
        <v>-7.2592903144064053E-2</v>
      </c>
      <c r="K66" s="83">
        <f t="shared" ref="K66" si="137">IFERROR((K65-J65)/J65,"nm")</f>
        <v>0.1020457833953393</v>
      </c>
      <c r="L66" s="83">
        <f t="shared" ref="L66" si="138">IFERROR((L65-K65)/K65,"nm")</f>
        <v>6.7520635429752118E-2</v>
      </c>
      <c r="M66" s="83">
        <f t="shared" ref="M66" si="139">IFERROR((M65-L65)/L65,"nm")</f>
        <v>8.0168430645266034E-2</v>
      </c>
      <c r="N66" s="83">
        <f t="shared" ref="N66" si="140">IFERROR((N65-M65)/M65,"nm")</f>
        <v>6.3623633152936579E-2</v>
      </c>
      <c r="O66" s="83"/>
    </row>
    <row r="67" spans="1:15" x14ac:dyDescent="0.3">
      <c r="A67" s="44" t="s">
        <v>131</v>
      </c>
      <c r="B67" s="59">
        <f>IFERROR(B65/B$51, "nm")</f>
        <v>0.22278664731494921</v>
      </c>
      <c r="C67" s="59">
        <f>IFERROR(C65/C$51, "nm")</f>
        <v>0.24727668845315903</v>
      </c>
      <c r="D67" s="59">
        <f t="shared" ref="D67:I67" si="141">IFERROR(D65/D$51, "nm")</f>
        <v>0.20238393977415309</v>
      </c>
      <c r="E67" s="59">
        <f t="shared" si="141"/>
        <v>0.18426747457260334</v>
      </c>
      <c r="F67" s="59">
        <f t="shared" si="141"/>
        <v>0.21463514064410924</v>
      </c>
      <c r="G67" s="59">
        <f t="shared" si="141"/>
        <v>0.17898791055953783</v>
      </c>
      <c r="H67" s="59">
        <f t="shared" si="141"/>
        <v>0.22442388268156424</v>
      </c>
      <c r="I67" s="59">
        <f t="shared" si="141"/>
        <v>0.27462136389133746</v>
      </c>
      <c r="J67" s="84">
        <f>AVERAGE(C67:I67)*(1+$O$67)</f>
        <v>0.2289894600864697</v>
      </c>
      <c r="K67" s="84">
        <f>AVERAGE(D67:J67)*(1+$O$67)</f>
        <v>0.22624637583146626</v>
      </c>
      <c r="L67" s="84">
        <f>AVERAGE(E67:K67)*(1+$O$67)</f>
        <v>0.22982574124006322</v>
      </c>
      <c r="M67" s="84">
        <f>AVERAGE(F67:L67)*(1+$O$67)</f>
        <v>0.23665948124018221</v>
      </c>
      <c r="N67" s="84">
        <f>AVERAGE(G67:M67)*(1+$O$67)</f>
        <v>0.23996313232959321</v>
      </c>
      <c r="O67" s="84">
        <v>0.05</v>
      </c>
    </row>
    <row r="68" spans="1:15" x14ac:dyDescent="0.3">
      <c r="A68" s="9" t="s">
        <v>132</v>
      </c>
      <c r="B68" s="1">
        <f>Historicals!B170</f>
        <v>114</v>
      </c>
      <c r="C68" s="1">
        <f>Historicals!C170</f>
        <v>109</v>
      </c>
      <c r="D68" s="1">
        <f>Historicals!D170</f>
        <v>106</v>
      </c>
      <c r="E68" s="1">
        <f>Historicals!E170</f>
        <v>116</v>
      </c>
      <c r="F68" s="1">
        <f>Historicals!F170</f>
        <v>111</v>
      </c>
      <c r="G68" s="1">
        <f>Historicals!G170</f>
        <v>132</v>
      </c>
      <c r="H68" s="1">
        <f>Historicals!H170</f>
        <v>136</v>
      </c>
      <c r="I68" s="1">
        <f>Historicals!I170</f>
        <v>134</v>
      </c>
      <c r="J68" s="69">
        <f>J51*J70</f>
        <v>152.01771898043114</v>
      </c>
      <c r="K68" s="69">
        <f t="shared" ref="K68:N68" si="142">K51*K70</f>
        <v>172.95291361771044</v>
      </c>
      <c r="L68" s="69">
        <f t="shared" si="142"/>
        <v>185.39042277787863</v>
      </c>
      <c r="M68" s="69">
        <f t="shared" si="142"/>
        <v>198.35982121926176</v>
      </c>
      <c r="N68" s="69">
        <f t="shared" si="142"/>
        <v>212.23707144711761</v>
      </c>
      <c r="O68" s="69"/>
    </row>
    <row r="69" spans="1:15" x14ac:dyDescent="0.3">
      <c r="A69" s="44" t="s">
        <v>129</v>
      </c>
      <c r="B69" s="60" t="str">
        <f>IFERROR((B68-A68)/A68,"nm")</f>
        <v>nm</v>
      </c>
      <c r="C69" s="60">
        <f t="shared" ref="C69:I69" si="143">IFERROR((C68-B68)/B68,"nm")</f>
        <v>-4.3859649122807015E-2</v>
      </c>
      <c r="D69" s="60">
        <f t="shared" si="143"/>
        <v>-2.7522935779816515E-2</v>
      </c>
      <c r="E69" s="60">
        <f t="shared" si="143"/>
        <v>9.4339622641509441E-2</v>
      </c>
      <c r="F69" s="60">
        <f t="shared" si="143"/>
        <v>-4.3103448275862072E-2</v>
      </c>
      <c r="G69" s="60">
        <f t="shared" si="143"/>
        <v>0.1891891891891892</v>
      </c>
      <c r="H69" s="60">
        <f t="shared" si="143"/>
        <v>3.0303030303030304E-2</v>
      </c>
      <c r="I69" s="60">
        <f t="shared" si="143"/>
        <v>-1.4705882352941176E-2</v>
      </c>
      <c r="J69" s="71">
        <f t="shared" ref="J69" si="144">IFERROR((J68-I68)/I68,"nm")</f>
        <v>0.13446058940620254</v>
      </c>
      <c r="K69" s="71">
        <f t="shared" ref="K69" si="145">IFERROR((K68-J68)/J68,"nm")</f>
        <v>0.13771548986321935</v>
      </c>
      <c r="L69" s="71">
        <f t="shared" ref="L69" si="146">IFERROR((L68-K68)/K68,"nm")</f>
        <v>7.1912689413603403E-2</v>
      </c>
      <c r="M69" s="71">
        <f t="shared" ref="M69" si="147">IFERROR((M68-L68)/L68,"nm")</f>
        <v>6.9957219186678965E-2</v>
      </c>
      <c r="N69" s="71">
        <f t="shared" ref="N69" si="148">IFERROR((N68-M68)/M68,"nm")</f>
        <v>6.9959985558347038E-2</v>
      </c>
      <c r="O69" s="71"/>
    </row>
    <row r="70" spans="1:15" x14ac:dyDescent="0.3">
      <c r="A70" s="44" t="s">
        <v>133</v>
      </c>
      <c r="B70" s="59">
        <f>IFERROR(B68/B$51, "nm")</f>
        <v>1.0341074020319304E-2</v>
      </c>
      <c r="C70" s="59">
        <f t="shared" ref="C70:I70" si="149">IFERROR(C68/C$51, "nm")</f>
        <v>9.8946986201888156E-3</v>
      </c>
      <c r="D70" s="59">
        <f t="shared" si="149"/>
        <v>1.3299874529485571E-2</v>
      </c>
      <c r="E70" s="59">
        <f t="shared" si="149"/>
        <v>1.2551395801774508E-2</v>
      </c>
      <c r="F70" s="59">
        <f t="shared" si="149"/>
        <v>1.1312678353037097E-2</v>
      </c>
      <c r="G70" s="59">
        <f t="shared" si="149"/>
        <v>1.4122178239007167E-2</v>
      </c>
      <c r="H70" s="59">
        <f t="shared" si="149"/>
        <v>1.1871508379888268E-2</v>
      </c>
      <c r="I70" s="59">
        <f t="shared" si="149"/>
        <v>1.0738039907043834E-2</v>
      </c>
      <c r="J70" s="70">
        <f>I70*(1+$O$70)</f>
        <v>1.0952800705184711E-2</v>
      </c>
      <c r="K70" s="70">
        <f>J70*(1+$O$70)</f>
        <v>1.1171856719288406E-2</v>
      </c>
      <c r="L70" s="70">
        <f>K70*(1+$O$70)</f>
        <v>1.1395293853674174E-2</v>
      </c>
      <c r="M70" s="70">
        <f>L70*(1+$O$70)</f>
        <v>1.1623199730747658E-2</v>
      </c>
      <c r="N70" s="70">
        <f>M70*(1+$O$70)</f>
        <v>1.1855663725362611E-2</v>
      </c>
      <c r="O70" s="70">
        <v>0.02</v>
      </c>
    </row>
    <row r="71" spans="1:15" x14ac:dyDescent="0.3">
      <c r="A71" s="9" t="s">
        <v>134</v>
      </c>
      <c r="B71" s="1">
        <f>B65-B68</f>
        <v>2342</v>
      </c>
      <c r="C71" s="1">
        <f t="shared" ref="C71:I71" si="150">C65-C68</f>
        <v>2615</v>
      </c>
      <c r="D71" s="1">
        <f t="shared" si="150"/>
        <v>1507</v>
      </c>
      <c r="E71" s="1">
        <f t="shared" si="150"/>
        <v>1587</v>
      </c>
      <c r="F71" s="1">
        <f t="shared" si="150"/>
        <v>1995</v>
      </c>
      <c r="G71" s="1">
        <f t="shared" si="150"/>
        <v>1541</v>
      </c>
      <c r="H71" s="1">
        <f t="shared" si="150"/>
        <v>2435</v>
      </c>
      <c r="I71" s="1">
        <f t="shared" si="150"/>
        <v>3293</v>
      </c>
      <c r="J71" s="69">
        <f>J65-J68</f>
        <v>3026.2064019448612</v>
      </c>
      <c r="K71" s="69">
        <f t="shared" ref="K71:N71" si="151">K65-K68</f>
        <v>3329.5955775333673</v>
      </c>
      <c r="L71" s="69">
        <f t="shared" si="151"/>
        <v>3553.6523681192393</v>
      </c>
      <c r="M71" s="69">
        <f t="shared" si="151"/>
        <v>3840.4361623395735</v>
      </c>
      <c r="N71" s="69">
        <f t="shared" si="151"/>
        <v>4083.5217861492188</v>
      </c>
      <c r="O71" s="50"/>
    </row>
    <row r="72" spans="1:15" x14ac:dyDescent="0.3">
      <c r="A72" s="44" t="s">
        <v>129</v>
      </c>
      <c r="B72" s="60" t="str">
        <f>IFERROR((B71-A71)/A71,"nm")</f>
        <v>nm</v>
      </c>
      <c r="C72" s="60">
        <f t="shared" ref="C72:I72" si="152">IFERROR((C71-B71)/B71,"nm")</f>
        <v>0.1165670367207515</v>
      </c>
      <c r="D72" s="60">
        <f t="shared" si="152"/>
        <v>-0.42370936902485662</v>
      </c>
      <c r="E72" s="60">
        <f t="shared" si="152"/>
        <v>5.3085600530856009E-2</v>
      </c>
      <c r="F72" s="60">
        <f t="shared" si="152"/>
        <v>0.25708884688090738</v>
      </c>
      <c r="G72" s="60">
        <f t="shared" si="152"/>
        <v>-0.22756892230576442</v>
      </c>
      <c r="H72" s="60">
        <f t="shared" si="152"/>
        <v>0.58014276443867618</v>
      </c>
      <c r="I72" s="60">
        <f t="shared" si="152"/>
        <v>0.35236139630390145</v>
      </c>
      <c r="J72" s="83">
        <f t="shared" ref="J72" si="153">IFERROR((J71-I71)/I71,"nm")</f>
        <v>-8.101840208173057E-2</v>
      </c>
      <c r="K72" s="83">
        <f t="shared" ref="K72" si="154">IFERROR((K71-J71)/J71,"nm")</f>
        <v>0.1002539600053473</v>
      </c>
      <c r="L72" s="83">
        <f t="shared" ref="L72" si="155">IFERROR((L71-K71)/K71,"nm")</f>
        <v>6.7292494048739063E-2</v>
      </c>
      <c r="M72" s="83">
        <f t="shared" ref="M72" si="156">IFERROR((M71-L71)/L71,"nm")</f>
        <v>8.0701139141562586E-2</v>
      </c>
      <c r="N72" s="83">
        <f t="shared" ref="N72" si="157">IFERROR((N71-M71)/M71,"nm")</f>
        <v>6.3296358417154058E-2</v>
      </c>
      <c r="O72" s="83"/>
    </row>
    <row r="73" spans="1:15" x14ac:dyDescent="0.3">
      <c r="A73" s="44" t="s">
        <v>131</v>
      </c>
      <c r="B73" s="59">
        <f>IFERROR(B71/B$51, "nm")</f>
        <v>0.2124455732946299</v>
      </c>
      <c r="C73" s="59">
        <f t="shared" ref="C73:I73" si="158">IFERROR(C71/C$51, "nm")</f>
        <v>0.23738198983297024</v>
      </c>
      <c r="D73" s="59">
        <f t="shared" si="158"/>
        <v>0.1890840652446675</v>
      </c>
      <c r="E73" s="59">
        <f t="shared" si="158"/>
        <v>0.17171607877082881</v>
      </c>
      <c r="F73" s="59">
        <f t="shared" si="158"/>
        <v>0.20332246229107215</v>
      </c>
      <c r="G73" s="59">
        <f t="shared" si="158"/>
        <v>0.16486573232053064</v>
      </c>
      <c r="H73" s="59">
        <f t="shared" si="158"/>
        <v>0.21255237430167598</v>
      </c>
      <c r="I73" s="59">
        <f t="shared" si="158"/>
        <v>0.26388332398429359</v>
      </c>
      <c r="J73" s="70">
        <f>AVERAGE(C73:I73)*(1+$O$73)</f>
        <v>0.21642090401190583</v>
      </c>
      <c r="K73" s="70">
        <f>AVERAGE(D73:J73)*(1+$O$73)</f>
        <v>0.21327674113874623</v>
      </c>
      <c r="L73" s="70">
        <f>AVERAGE(E73:K73)*(1+$O$73)</f>
        <v>0.21690564252285799</v>
      </c>
      <c r="M73" s="70">
        <f>AVERAGE(F73:L73)*(1+$O$73)</f>
        <v>0.22368407708566238</v>
      </c>
      <c r="N73" s="70">
        <f>AVERAGE(G73:M73)*(1+$O$73)</f>
        <v>0.22673831930485089</v>
      </c>
      <c r="O73" s="70">
        <v>0.05</v>
      </c>
    </row>
    <row r="74" spans="1:15" x14ac:dyDescent="0.3">
      <c r="A74" s="9" t="s">
        <v>135</v>
      </c>
      <c r="B74" s="1">
        <f>Historicals!B159</f>
        <v>273</v>
      </c>
      <c r="C74" s="1">
        <f>Historicals!C159</f>
        <v>234</v>
      </c>
      <c r="D74" s="1">
        <f>Historicals!D159</f>
        <v>173</v>
      </c>
      <c r="E74" s="1">
        <f>Historicals!E159</f>
        <v>240</v>
      </c>
      <c r="F74" s="1">
        <f>Historicals!F159</f>
        <v>233</v>
      </c>
      <c r="G74" s="1">
        <f>Historicals!G159</f>
        <v>139</v>
      </c>
      <c r="H74" s="1">
        <f>Historicals!H159</f>
        <v>153</v>
      </c>
      <c r="I74" s="1">
        <f>Historicals!I159</f>
        <v>197</v>
      </c>
      <c r="J74" s="69">
        <f>J51*J76</f>
        <v>223.48873611302184</v>
      </c>
      <c r="K74" s="69">
        <f t="shared" ref="K74:N74" si="159">K51*K76</f>
        <v>254.26659688573844</v>
      </c>
      <c r="L74" s="69">
        <f t="shared" si="159"/>
        <v>272.55159169583646</v>
      </c>
      <c r="M74" s="69">
        <f t="shared" si="159"/>
        <v>291.61854313578027</v>
      </c>
      <c r="N74" s="69">
        <f t="shared" si="159"/>
        <v>312.0201722021057</v>
      </c>
      <c r="O74" s="69"/>
    </row>
    <row r="75" spans="1:15" x14ac:dyDescent="0.3">
      <c r="A75" s="44" t="s">
        <v>129</v>
      </c>
      <c r="B75" s="60" t="str">
        <f>IFERROR((B74-A74)/A74,"nm")</f>
        <v>nm</v>
      </c>
      <c r="C75" s="60">
        <f t="shared" ref="C75:I75" si="160">IFERROR((C74-B74)/B74,"nm")</f>
        <v>-0.14285714285714285</v>
      </c>
      <c r="D75" s="60">
        <f t="shared" si="160"/>
        <v>-0.2606837606837607</v>
      </c>
      <c r="E75" s="60">
        <f t="shared" si="160"/>
        <v>0.38728323699421963</v>
      </c>
      <c r="F75" s="60">
        <f t="shared" si="160"/>
        <v>-2.9166666666666667E-2</v>
      </c>
      <c r="G75" s="60">
        <f t="shared" si="160"/>
        <v>-0.40343347639484978</v>
      </c>
      <c r="H75" s="60">
        <f t="shared" si="160"/>
        <v>0.10071942446043165</v>
      </c>
      <c r="I75" s="60">
        <f t="shared" si="160"/>
        <v>0.28758169934640521</v>
      </c>
      <c r="J75" s="83">
        <f t="shared" ref="J75" si="161">IFERROR((J74-I74)/I74,"nm")</f>
        <v>0.13446058940620226</v>
      </c>
      <c r="K75" s="83">
        <f t="shared" ref="K75" si="162">IFERROR((K74-J74)/J74,"nm")</f>
        <v>0.13771548986321949</v>
      </c>
      <c r="L75" s="83">
        <f t="shared" ref="L75" si="163">IFERROR((L74-K74)/K74,"nm")</f>
        <v>7.1912689413603487E-2</v>
      </c>
      <c r="M75" s="83">
        <f t="shared" ref="M75" si="164">IFERROR((M74-L74)/L74,"nm")</f>
        <v>6.9957219186678771E-2</v>
      </c>
      <c r="N75" s="83">
        <f t="shared" ref="N75" si="165">IFERROR((N74-M74)/M74,"nm")</f>
        <v>6.9959985558347162E-2</v>
      </c>
      <c r="O75" s="83"/>
    </row>
    <row r="76" spans="1:15" x14ac:dyDescent="0.3">
      <c r="A76" s="44" t="s">
        <v>133</v>
      </c>
      <c r="B76" s="59">
        <f>IFERROR(B74/B$51, "nm")</f>
        <v>2.4764150943396228E-2</v>
      </c>
      <c r="C76" s="59">
        <f t="shared" ref="C76:I76" si="166">IFERROR(C74/C$51, "nm")</f>
        <v>2.1241830065359478E-2</v>
      </c>
      <c r="D76" s="59">
        <f t="shared" si="166"/>
        <v>2.1706398996235884E-2</v>
      </c>
      <c r="E76" s="59">
        <f t="shared" si="166"/>
        <v>2.5968405107119671E-2</v>
      </c>
      <c r="F76" s="59">
        <f t="shared" si="166"/>
        <v>2.3746432939258051E-2</v>
      </c>
      <c r="G76" s="59">
        <f t="shared" si="166"/>
        <v>1.4871081630469669E-2</v>
      </c>
      <c r="H76" s="59">
        <f t="shared" si="166"/>
        <v>1.3355446927374302E-2</v>
      </c>
      <c r="I76" s="59">
        <f t="shared" si="166"/>
        <v>1.5786521355877874E-2</v>
      </c>
      <c r="J76" s="84">
        <f>I76*(1+$O$76)</f>
        <v>1.610225178299543E-2</v>
      </c>
      <c r="K76" s="84">
        <f>J76*(1+$O$76)</f>
        <v>1.6424296818655339E-2</v>
      </c>
      <c r="L76" s="84">
        <f>K76*(1+$O$76)</f>
        <v>1.6752782755028447E-2</v>
      </c>
      <c r="M76" s="84">
        <f>L76*(1+$O$76)</f>
        <v>1.7087838410129015E-2</v>
      </c>
      <c r="N76" s="84">
        <f>M76*(1+$O$76)</f>
        <v>1.7429595178331595E-2</v>
      </c>
      <c r="O76" s="84">
        <v>0.02</v>
      </c>
    </row>
    <row r="77" spans="1:15" x14ac:dyDescent="0.3">
      <c r="A77" s="66" t="s">
        <v>146</v>
      </c>
      <c r="B77" s="68">
        <f>Historicals!B148</f>
        <v>601</v>
      </c>
      <c r="C77" s="68">
        <f>Historicals!C148</f>
        <v>748</v>
      </c>
      <c r="D77" s="68">
        <f>Historicals!D148</f>
        <v>709</v>
      </c>
      <c r="E77" s="68">
        <f>Historicals!E148</f>
        <v>849</v>
      </c>
      <c r="F77" s="68">
        <f>Historicals!F148</f>
        <v>929</v>
      </c>
      <c r="G77" s="68">
        <f>Historicals!G148</f>
        <v>885</v>
      </c>
      <c r="H77" s="68">
        <f>Historicals!H148</f>
        <v>982</v>
      </c>
      <c r="I77" s="68">
        <f>Historicals!I148</f>
        <v>920</v>
      </c>
      <c r="J77" s="124">
        <f>J51*J79</f>
        <v>1074.4009111435212</v>
      </c>
      <c r="K77" s="124">
        <f t="shared" ref="K77:N77" si="167">K51*K79</f>
        <v>1258.3143988997033</v>
      </c>
      <c r="L77" s="124">
        <f t="shared" si="167"/>
        <v>1388.47385296575</v>
      </c>
      <c r="M77" s="124">
        <f t="shared" si="167"/>
        <v>1529.3019644747842</v>
      </c>
      <c r="N77" s="124">
        <f t="shared" si="167"/>
        <v>1684.4181404068447</v>
      </c>
      <c r="O77" s="124"/>
    </row>
    <row r="78" spans="1:15" x14ac:dyDescent="0.3">
      <c r="A78" s="65" t="s">
        <v>129</v>
      </c>
      <c r="B78" s="60" t="str">
        <f>IFERROR((B77-A77)/A77,"nm")</f>
        <v>nm</v>
      </c>
      <c r="C78" s="60">
        <f t="shared" ref="C78:I78" si="168">IFERROR((C77-B77)/B77,"nm")</f>
        <v>0.24459234608985025</v>
      </c>
      <c r="D78" s="60">
        <f t="shared" si="168"/>
        <v>-5.213903743315508E-2</v>
      </c>
      <c r="E78" s="60">
        <f t="shared" si="168"/>
        <v>0.19746121297602257</v>
      </c>
      <c r="F78" s="60">
        <f t="shared" si="168"/>
        <v>9.4228504122497059E-2</v>
      </c>
      <c r="G78" s="60">
        <f t="shared" si="168"/>
        <v>-4.7362755651237889E-2</v>
      </c>
      <c r="H78" s="60">
        <f t="shared" si="168"/>
        <v>0.1096045197740113</v>
      </c>
      <c r="I78" s="60">
        <f t="shared" si="168"/>
        <v>-6.313645621181263E-2</v>
      </c>
      <c r="J78" s="83">
        <f t="shared" ref="J78" si="169">IFERROR((J77-I77)/I77,"nm")</f>
        <v>0.16782707732991431</v>
      </c>
      <c r="K78" s="83">
        <f t="shared" ref="K78" si="170">IFERROR((K77-J77)/J77,"nm")</f>
        <v>0.17117771015331398</v>
      </c>
      <c r="L78" s="83">
        <f t="shared" ref="L78" si="171">IFERROR((L77-K77)/K77,"nm")</f>
        <v>0.10343953321988596</v>
      </c>
      <c r="M78" s="83">
        <f t="shared" ref="M78" si="172">IFERROR((M77-L77)/L77,"nm")</f>
        <v>0.10142654916275767</v>
      </c>
      <c r="N78" s="83">
        <f t="shared" ref="N78" si="173">IFERROR((N77-M77)/M77,"nm")</f>
        <v>0.10142939689829852</v>
      </c>
      <c r="O78" s="83"/>
    </row>
    <row r="79" spans="1:15" x14ac:dyDescent="0.3">
      <c r="A79" s="65" t="s">
        <v>133</v>
      </c>
      <c r="B79" s="59">
        <f>IFERROR(B77/B$51, "nm")</f>
        <v>5.4517416545718435E-2</v>
      </c>
      <c r="C79" s="59">
        <f t="shared" ref="C79:I79" si="174">IFERROR(C77/C$51, "nm")</f>
        <v>6.7901234567901231E-2</v>
      </c>
      <c r="D79" s="59">
        <f t="shared" si="174"/>
        <v>8.8958594730238399E-2</v>
      </c>
      <c r="E79" s="59">
        <f t="shared" si="174"/>
        <v>9.1863233066435832E-2</v>
      </c>
      <c r="F79" s="59">
        <f t="shared" si="174"/>
        <v>9.4679983693436609E-2</v>
      </c>
      <c r="G79" s="59">
        <f t="shared" si="174"/>
        <v>9.4682785920616241E-2</v>
      </c>
      <c r="H79" s="59">
        <f t="shared" si="174"/>
        <v>8.5719273743016758E-2</v>
      </c>
      <c r="I79" s="59">
        <f t="shared" si="174"/>
        <v>7.37238560782114E-2</v>
      </c>
      <c r="J79" s="74">
        <f>I79*(1+$O$79)</f>
        <v>7.7410048882121968E-2</v>
      </c>
      <c r="K79" s="74">
        <f>J79*(1+$O$79)</f>
        <v>8.1280551326228065E-2</v>
      </c>
      <c r="L79" s="74">
        <f>K79*(1+$O$79)</f>
        <v>8.5344578892539477E-2</v>
      </c>
      <c r="M79" s="74">
        <f>L79*(1+$O$79)</f>
        <v>8.9611807837166449E-2</v>
      </c>
      <c r="N79" s="74">
        <f>M79*(1+$O$79)</f>
        <v>9.4092398229024779E-2</v>
      </c>
      <c r="O79" s="74">
        <v>0.05</v>
      </c>
    </row>
    <row r="80" spans="1:15" x14ac:dyDescent="0.3">
      <c r="A80" s="41" t="str">
        <f>Historicals!A189</f>
        <v>Greater China</v>
      </c>
      <c r="B80" s="41"/>
      <c r="C80" s="41"/>
      <c r="D80" s="41"/>
      <c r="E80" s="41"/>
      <c r="F80" s="41"/>
      <c r="G80" s="41"/>
      <c r="H80" s="41"/>
      <c r="I80" s="41"/>
      <c r="J80" s="73"/>
      <c r="K80" s="73"/>
      <c r="L80" s="73"/>
      <c r="M80" s="73"/>
      <c r="N80" s="73"/>
      <c r="O80" s="73"/>
    </row>
    <row r="81" spans="1:15" x14ac:dyDescent="0.3">
      <c r="A81" s="9" t="s">
        <v>136</v>
      </c>
      <c r="B81" s="58">
        <f>+B83+B87+B91</f>
        <v>3067</v>
      </c>
      <c r="C81" s="58">
        <f t="shared" ref="C81:I81" si="175">+C83+C87+C91</f>
        <v>3785</v>
      </c>
      <c r="D81" s="58">
        <f t="shared" si="175"/>
        <v>4237</v>
      </c>
      <c r="E81" s="58">
        <f t="shared" si="175"/>
        <v>5134</v>
      </c>
      <c r="F81" s="58">
        <f t="shared" si="175"/>
        <v>6208</v>
      </c>
      <c r="G81" s="58">
        <f t="shared" si="175"/>
        <v>6679</v>
      </c>
      <c r="H81" s="58">
        <f t="shared" si="175"/>
        <v>8290</v>
      </c>
      <c r="I81" s="58">
        <f t="shared" si="175"/>
        <v>7547</v>
      </c>
      <c r="J81" s="69">
        <f>SUM(J83,J87,J91)</f>
        <v>8393.2978571428575</v>
      </c>
      <c r="K81" s="69">
        <f t="shared" ref="K81:N81" si="176">SUM(K83,K87,K91)</f>
        <v>9182.5838265943876</v>
      </c>
      <c r="L81" s="69">
        <f t="shared" si="176"/>
        <v>9657.353561899643</v>
      </c>
      <c r="M81" s="69">
        <f t="shared" si="176"/>
        <v>10125.284791332308</v>
      </c>
      <c r="N81" s="69">
        <f t="shared" si="176"/>
        <v>10582.991188380041</v>
      </c>
    </row>
    <row r="82" spans="1:15" x14ac:dyDescent="0.3">
      <c r="A82" s="42" t="s">
        <v>129</v>
      </c>
      <c r="B82" s="60" t="str">
        <f>IFERROR((B81-A81)/A81,"nm")</f>
        <v>nm</v>
      </c>
      <c r="C82" s="60">
        <f>IFERROR((C81-B81)/B81,"nm")</f>
        <v>0.23410498858819692</v>
      </c>
      <c r="D82" s="60">
        <f t="shared" ref="D82" si="177">IFERROR((D81-C81)/C81,"nm")</f>
        <v>0.11941875825627477</v>
      </c>
      <c r="E82" s="60">
        <f t="shared" ref="E82" si="178">IFERROR((E81-D81)/D81,"nm")</f>
        <v>0.21170639603493038</v>
      </c>
      <c r="F82" s="60">
        <f t="shared" ref="F82" si="179">IFERROR((F81-E81)/E81,"nm")</f>
        <v>0.20919361121932217</v>
      </c>
      <c r="G82" s="60">
        <f t="shared" ref="G82" si="180">IFERROR((G81-F81)/F81,"nm")</f>
        <v>7.5869845360824736E-2</v>
      </c>
      <c r="H82" s="60">
        <f t="shared" ref="H82" si="181">IFERROR((H81-G81)/G81,"nm")</f>
        <v>0.24120377301991316</v>
      </c>
      <c r="I82" s="60">
        <f t="shared" ref="I82" si="182">IFERROR((I81-H81)/H81,"nm")</f>
        <v>-8.9626055488540413E-2</v>
      </c>
      <c r="J82" s="71">
        <f t="shared" ref="J82" si="183">IFERROR((J81-I81)/I81,"nm")</f>
        <v>0.11213698915368459</v>
      </c>
      <c r="K82" s="71">
        <f t="shared" ref="K82" si="184">IFERROR((K81-J81)/J81,"nm")</f>
        <v>9.4037645617429444E-2</v>
      </c>
      <c r="L82" s="71">
        <f t="shared" ref="L82" si="185">IFERROR((L81-K81)/K81,"nm")</f>
        <v>5.1703283549695264E-2</v>
      </c>
      <c r="M82" s="71">
        <f t="shared" ref="M82" si="186">IFERROR((M81-L81)/L81,"nm")</f>
        <v>4.8453360067374454E-2</v>
      </c>
      <c r="N82" s="71">
        <f t="shared" ref="N82" si="187">IFERROR((N81-M81)/M81,"nm")</f>
        <v>4.5204298593117184E-2</v>
      </c>
    </row>
    <row r="83" spans="1:15" x14ac:dyDescent="0.3">
      <c r="A83" s="43" t="s">
        <v>113</v>
      </c>
      <c r="B83" s="58">
        <f>Historicals!B118</f>
        <v>2016</v>
      </c>
      <c r="C83" s="58">
        <f>Historicals!C118</f>
        <v>2599</v>
      </c>
      <c r="D83" s="58">
        <f>Historicals!D118</f>
        <v>2920</v>
      </c>
      <c r="E83" s="58">
        <f>Historicals!E118</f>
        <v>3496</v>
      </c>
      <c r="F83" s="58">
        <f>Historicals!F118</f>
        <v>4262</v>
      </c>
      <c r="G83" s="58">
        <f>Historicals!G118</f>
        <v>4635</v>
      </c>
      <c r="H83" s="58">
        <f>Historicals!H118</f>
        <v>5748</v>
      </c>
      <c r="I83" s="58">
        <f>Historicals!I118</f>
        <v>5416</v>
      </c>
      <c r="J83" s="69">
        <f>I83*(1+J84)</f>
        <v>6071.7228571428568</v>
      </c>
      <c r="K83" s="69">
        <f t="shared" ref="K83:N83" si="188">J83*(1+K84)</f>
        <v>6670.9182620626816</v>
      </c>
      <c r="L83" s="69">
        <f t="shared" si="188"/>
        <v>7017.8060116899414</v>
      </c>
      <c r="M83" s="69">
        <f t="shared" si="188"/>
        <v>7361.6785062627478</v>
      </c>
      <c r="N83" s="69">
        <f t="shared" si="188"/>
        <v>7700.3157175508341</v>
      </c>
    </row>
    <row r="84" spans="1:15" x14ac:dyDescent="0.3">
      <c r="A84" s="42" t="s">
        <v>129</v>
      </c>
      <c r="B84" s="60" t="str">
        <f>IFERROR((B83-A83)/A83,"nm")</f>
        <v>nm</v>
      </c>
      <c r="C84" s="60">
        <f t="shared" ref="C84" si="189">IFERROR((C83-B83)/B83,"nm")</f>
        <v>0.28918650793650796</v>
      </c>
      <c r="D84" s="60">
        <f t="shared" ref="D84" si="190">IFERROR((D83-C83)/C83,"nm")</f>
        <v>0.12350904193920739</v>
      </c>
      <c r="E84" s="60">
        <f t="shared" ref="E84" si="191">IFERROR((E83-D83)/D83,"nm")</f>
        <v>0.19726027397260273</v>
      </c>
      <c r="F84" s="60">
        <f t="shared" ref="F84" si="192">IFERROR((F83-E83)/E83,"nm")</f>
        <v>0.21910755148741418</v>
      </c>
      <c r="G84" s="60">
        <f t="shared" ref="G84" si="193">IFERROR((G83-F83)/F83,"nm")</f>
        <v>8.7517597372125763E-2</v>
      </c>
      <c r="H84" s="60">
        <f t="shared" ref="H84" si="194">IFERROR((H83-G83)/G83,"nm")</f>
        <v>0.24012944983818771</v>
      </c>
      <c r="I84" s="60">
        <f t="shared" ref="I84" si="195">IFERROR((I83-H83)/H83,"nm")</f>
        <v>-5.7759220598469031E-2</v>
      </c>
      <c r="J84" s="83">
        <f>J85+J86</f>
        <v>0.12107142857142857</v>
      </c>
      <c r="K84" s="83">
        <f t="shared" ref="K84:N84" si="196">K85+K86</f>
        <v>9.8686224489795915E-2</v>
      </c>
      <c r="L84" s="83">
        <f t="shared" si="196"/>
        <v>5.1999999999999998E-2</v>
      </c>
      <c r="M84" s="83">
        <f t="shared" si="196"/>
        <v>4.8999999999999995E-2</v>
      </c>
      <c r="N84" s="83">
        <f t="shared" si="196"/>
        <v>4.5999999999999992E-2</v>
      </c>
      <c r="O84" s="136">
        <v>-0.25</v>
      </c>
    </row>
    <row r="85" spans="1:15" x14ac:dyDescent="0.3">
      <c r="A85" s="42" t="s">
        <v>137</v>
      </c>
      <c r="B85" s="59">
        <f>Historicals!B190</f>
        <v>0.28000000000000003</v>
      </c>
      <c r="C85" s="59">
        <f>Historicals!C190</f>
        <v>0.33</v>
      </c>
      <c r="D85" s="59">
        <f>Historicals!D190</f>
        <v>0.18</v>
      </c>
      <c r="E85" s="59">
        <f>Historicals!E190</f>
        <v>0.16</v>
      </c>
      <c r="F85" s="59">
        <f>Historicals!F190</f>
        <v>0.25</v>
      </c>
      <c r="G85" s="59">
        <f>Historicals!G190</f>
        <v>0.12</v>
      </c>
      <c r="H85" s="59">
        <f>Historicals!H190</f>
        <v>0.19</v>
      </c>
      <c r="I85" s="59">
        <f>Historicals!I190</f>
        <v>-0.1</v>
      </c>
      <c r="J85" s="82">
        <f>AVERAGE(C85:I85)*(1+$O$84)</f>
        <v>0.12107142857142857</v>
      </c>
      <c r="K85" s="82">
        <f>AVERAGE(D85:J85)*(1+$O$84)</f>
        <v>9.8686224489795915E-2</v>
      </c>
      <c r="L85" s="82">
        <v>5.1999999999999998E-2</v>
      </c>
      <c r="M85" s="82">
        <f>L85-0.3%</f>
        <v>4.8999999999999995E-2</v>
      </c>
      <c r="N85" s="82">
        <f>M85-0.3%</f>
        <v>4.5999999999999992E-2</v>
      </c>
      <c r="O85" s="82"/>
    </row>
    <row r="86" spans="1:15" x14ac:dyDescent="0.3">
      <c r="A86" s="42" t="s">
        <v>138</v>
      </c>
      <c r="B86" s="61" t="str">
        <f>IFERROR(B84-B85, "nm")</f>
        <v>nm</v>
      </c>
      <c r="C86" s="59">
        <f t="shared" ref="C86:D86" si="197">IFERROR(C84-C85, "nm")</f>
        <v>-4.0813492063492052E-2</v>
      </c>
      <c r="D86" s="59">
        <f t="shared" si="197"/>
        <v>-5.6490958060792601E-2</v>
      </c>
      <c r="E86" s="59">
        <f t="shared" ref="E86:I86" si="198">IFERROR(E84-E85, "nm")</f>
        <v>3.7260273972602731E-2</v>
      </c>
      <c r="F86" s="59">
        <f t="shared" si="198"/>
        <v>-3.0892448512585824E-2</v>
      </c>
      <c r="G86" s="59">
        <f t="shared" si="198"/>
        <v>-3.2482402627874232E-2</v>
      </c>
      <c r="H86" s="59">
        <f t="shared" si="198"/>
        <v>5.0129449838187706E-2</v>
      </c>
      <c r="I86" s="59">
        <f t="shared" si="198"/>
        <v>4.2240779401530974E-2</v>
      </c>
      <c r="J86" s="70">
        <v>0</v>
      </c>
      <c r="K86" s="70">
        <v>0</v>
      </c>
      <c r="L86" s="70">
        <v>0</v>
      </c>
      <c r="M86" s="70">
        <v>0</v>
      </c>
      <c r="N86" s="70">
        <v>0</v>
      </c>
      <c r="O86" s="70"/>
    </row>
    <row r="87" spans="1:15" x14ac:dyDescent="0.3">
      <c r="A87" s="43" t="s">
        <v>114</v>
      </c>
      <c r="B87" s="1">
        <f>Historicals!B119</f>
        <v>925</v>
      </c>
      <c r="C87" s="1">
        <f>Historicals!C119</f>
        <v>1055</v>
      </c>
      <c r="D87" s="1">
        <f>Historicals!D119</f>
        <v>1188</v>
      </c>
      <c r="E87" s="1">
        <f>Historicals!E119</f>
        <v>1508</v>
      </c>
      <c r="F87" s="1">
        <f>Historicals!F119</f>
        <v>1808</v>
      </c>
      <c r="G87" s="1">
        <f>Historicals!G119</f>
        <v>1896</v>
      </c>
      <c r="H87" s="1">
        <f>Historicals!H119</f>
        <v>2347</v>
      </c>
      <c r="I87" s="1">
        <f>Historicals!I119</f>
        <v>1938</v>
      </c>
      <c r="J87" s="69">
        <f>I87*(1+J88)</f>
        <v>2118.6492857142857</v>
      </c>
      <c r="K87" s="69">
        <f t="shared" ref="K87:N87" si="199">J87*(1+K88)</f>
        <v>2298.7074514121718</v>
      </c>
      <c r="L87" s="69">
        <f t="shared" si="199"/>
        <v>2415.9415314341923</v>
      </c>
      <c r="M87" s="69">
        <f t="shared" si="199"/>
        <v>2529.4907834115993</v>
      </c>
      <c r="N87" s="69">
        <f t="shared" si="199"/>
        <v>2638.2588870982977</v>
      </c>
    </row>
    <row r="88" spans="1:15" x14ac:dyDescent="0.3">
      <c r="A88" s="42" t="s">
        <v>129</v>
      </c>
      <c r="B88" s="60" t="str">
        <f>IFERROR((B87-A87)/A87,"nm")</f>
        <v>nm</v>
      </c>
      <c r="C88" s="60">
        <f t="shared" ref="C88" si="200">IFERROR((C87-B87)/B87,"nm")</f>
        <v>0.14054054054054055</v>
      </c>
      <c r="D88" s="60">
        <f t="shared" ref="D88" si="201">IFERROR((D87-C87)/C87,"nm")</f>
        <v>0.12606635071090047</v>
      </c>
      <c r="E88" s="60">
        <f t="shared" ref="E88" si="202">IFERROR((E87-D87)/D87,"nm")</f>
        <v>0.26936026936026936</v>
      </c>
      <c r="F88" s="60">
        <f t="shared" ref="F88" si="203">IFERROR((F87-E87)/E87,"nm")</f>
        <v>0.19893899204244031</v>
      </c>
      <c r="G88" s="60">
        <f t="shared" ref="G88" si="204">IFERROR((G87-F87)/F87,"nm")</f>
        <v>4.8672566371681415E-2</v>
      </c>
      <c r="H88" s="60">
        <f t="shared" ref="H88" si="205">IFERROR((H87-G87)/G87,"nm")</f>
        <v>0.2378691983122363</v>
      </c>
      <c r="I88" s="60">
        <f t="shared" ref="I88" si="206">IFERROR((I87-H87)/H87,"nm")</f>
        <v>-0.17426501917341286</v>
      </c>
      <c r="J88" s="71">
        <f>J89+J90</f>
        <v>9.3214285714285694E-2</v>
      </c>
      <c r="K88" s="71">
        <f t="shared" ref="K88:M88" si="207">K89+K90</f>
        <v>8.4987244897959169E-2</v>
      </c>
      <c r="L88" s="71">
        <f t="shared" si="207"/>
        <v>5.0999999999999997E-2</v>
      </c>
      <c r="M88" s="71">
        <f t="shared" si="207"/>
        <v>4.7E-2</v>
      </c>
      <c r="N88" s="71">
        <f>N89+N90</f>
        <v>4.2999999999999997E-2</v>
      </c>
      <c r="O88" s="71"/>
    </row>
    <row r="89" spans="1:15" x14ac:dyDescent="0.3">
      <c r="A89" s="42" t="s">
        <v>137</v>
      </c>
      <c r="B89" s="59">
        <f>Historicals!B191</f>
        <v>7.0000000000000007E-2</v>
      </c>
      <c r="C89" s="59">
        <f>Historicals!C191</f>
        <v>0.17</v>
      </c>
      <c r="D89" s="59">
        <f>Historicals!D191</f>
        <v>0.18</v>
      </c>
      <c r="E89" s="59">
        <f>Historicals!E191</f>
        <v>0.23</v>
      </c>
      <c r="F89" s="59">
        <f>Historicals!F191</f>
        <v>0.23</v>
      </c>
      <c r="G89" s="59">
        <f>Historicals!G191</f>
        <v>0.08</v>
      </c>
      <c r="H89" s="59">
        <f>Historicals!H191</f>
        <v>0.19</v>
      </c>
      <c r="I89" s="59">
        <f>Historicals!I191</f>
        <v>-0.21</v>
      </c>
      <c r="J89" s="82">
        <f>AVERAGE(C89:I89)*(1+$O$89)</f>
        <v>9.3214285714285694E-2</v>
      </c>
      <c r="K89" s="82">
        <f>AVERAGE(D89:J89)*(1+$O$89)</f>
        <v>8.4987244897959169E-2</v>
      </c>
      <c r="L89" s="82">
        <v>5.0999999999999997E-2</v>
      </c>
      <c r="M89" s="82">
        <f>L89-0.4%</f>
        <v>4.7E-2</v>
      </c>
      <c r="N89" s="82">
        <f>M89-0.4%</f>
        <v>4.2999999999999997E-2</v>
      </c>
      <c r="O89" s="82">
        <v>-0.25</v>
      </c>
    </row>
    <row r="90" spans="1:15" x14ac:dyDescent="0.3">
      <c r="A90" s="42" t="s">
        <v>138</v>
      </c>
      <c r="B90" s="61" t="str">
        <f>IFERROR(B88-B89, "nm")</f>
        <v>nm</v>
      </c>
      <c r="C90" s="61">
        <f t="shared" ref="C90:I90" si="208">IFERROR(C88-C89, "nm")</f>
        <v>-2.9459459459459464E-2</v>
      </c>
      <c r="D90" s="61">
        <f t="shared" si="208"/>
        <v>-5.3933649289099522E-2</v>
      </c>
      <c r="E90" s="61">
        <f t="shared" si="208"/>
        <v>3.9360269360269345E-2</v>
      </c>
      <c r="F90" s="61">
        <f t="shared" si="208"/>
        <v>-3.10610079575597E-2</v>
      </c>
      <c r="G90" s="61">
        <f t="shared" si="208"/>
        <v>-3.1327433628318586E-2</v>
      </c>
      <c r="H90" s="61">
        <f t="shared" si="208"/>
        <v>4.7869198312236294E-2</v>
      </c>
      <c r="I90" s="61">
        <f t="shared" si="208"/>
        <v>3.5734980826587132E-2</v>
      </c>
      <c r="J90" s="75">
        <v>0</v>
      </c>
      <c r="K90" s="75">
        <v>0</v>
      </c>
      <c r="L90" s="75">
        <v>0</v>
      </c>
      <c r="M90" s="75">
        <v>0</v>
      </c>
      <c r="N90" s="75">
        <v>0</v>
      </c>
      <c r="O90" s="75"/>
    </row>
    <row r="91" spans="1:15" x14ac:dyDescent="0.3">
      <c r="A91" s="43" t="s">
        <v>115</v>
      </c>
      <c r="B91" s="1">
        <f>Historicals!B120</f>
        <v>126</v>
      </c>
      <c r="C91" s="1">
        <f>Historicals!C120</f>
        <v>131</v>
      </c>
      <c r="D91" s="1">
        <f>Historicals!D120</f>
        <v>129</v>
      </c>
      <c r="E91" s="1">
        <f>Historicals!E120</f>
        <v>130</v>
      </c>
      <c r="F91" s="1">
        <f>Historicals!F120</f>
        <v>138</v>
      </c>
      <c r="G91" s="1">
        <f>Historicals!G120</f>
        <v>148</v>
      </c>
      <c r="H91" s="1">
        <f>Historicals!H120</f>
        <v>195</v>
      </c>
      <c r="I91" s="1">
        <f>Historicals!I120</f>
        <v>193</v>
      </c>
      <c r="J91" s="69">
        <f>I91*(1+J92)</f>
        <v>202.92571428571426</v>
      </c>
      <c r="K91" s="69">
        <f t="shared" ref="K91:N91" si="209">J91*(1+K92)</f>
        <v>212.95811311953352</v>
      </c>
      <c r="L91" s="69">
        <f t="shared" si="209"/>
        <v>223.60601877551019</v>
      </c>
      <c r="M91" s="69">
        <f t="shared" si="209"/>
        <v>234.11550165795916</v>
      </c>
      <c r="N91" s="69">
        <f t="shared" si="209"/>
        <v>244.41658373090937</v>
      </c>
      <c r="O91" s="69"/>
    </row>
    <row r="92" spans="1:15" x14ac:dyDescent="0.3">
      <c r="A92" s="42" t="s">
        <v>129</v>
      </c>
      <c r="B92" s="60" t="str">
        <f>IFERROR((B91-A91)/A91,"nm")</f>
        <v>nm</v>
      </c>
      <c r="C92" s="60">
        <f t="shared" ref="C92" si="210">IFERROR((C91-B91)/B91,"nm")</f>
        <v>3.968253968253968E-2</v>
      </c>
      <c r="D92" s="60">
        <f t="shared" ref="D92" si="211">IFERROR((D91-C91)/C91,"nm")</f>
        <v>-1.5267175572519083E-2</v>
      </c>
      <c r="E92" s="60">
        <f t="shared" ref="E92" si="212">IFERROR((E91-D91)/D91,"nm")</f>
        <v>7.7519379844961239E-3</v>
      </c>
      <c r="F92" s="60">
        <f t="shared" ref="F92" si="213">IFERROR((F91-E91)/E91,"nm")</f>
        <v>6.1538461538461542E-2</v>
      </c>
      <c r="G92" s="60">
        <f t="shared" ref="G92" si="214">IFERROR((G91-F91)/F91,"nm")</f>
        <v>7.2463768115942032E-2</v>
      </c>
      <c r="H92" s="60">
        <f t="shared" ref="H92" si="215">IFERROR((H91-G91)/G91,"nm")</f>
        <v>0.31756756756756754</v>
      </c>
      <c r="I92" s="60">
        <f t="shared" ref="I92" si="216">IFERROR((I91-H91)/H91,"nm")</f>
        <v>-1.0256410256410256E-2</v>
      </c>
      <c r="J92" s="83">
        <f>J93+J94</f>
        <v>5.1428571428571435E-2</v>
      </c>
      <c r="K92" s="83">
        <f t="shared" ref="K92:N92" si="217">K93+K94</f>
        <v>4.9438775510204078E-2</v>
      </c>
      <c r="L92" s="83">
        <f t="shared" si="217"/>
        <v>0.05</v>
      </c>
      <c r="M92" s="83">
        <f t="shared" si="217"/>
        <v>4.7E-2</v>
      </c>
      <c r="N92" s="83">
        <f t="shared" si="217"/>
        <v>4.3999999999999997E-2</v>
      </c>
      <c r="O92" s="83"/>
    </row>
    <row r="93" spans="1:15" x14ac:dyDescent="0.3">
      <c r="A93" s="42" t="s">
        <v>137</v>
      </c>
      <c r="B93" s="59">
        <f>Historicals!B192</f>
        <v>0.01</v>
      </c>
      <c r="C93" s="59">
        <f>Historicals!C192</f>
        <v>7.0000000000000007E-2</v>
      </c>
      <c r="D93" s="59">
        <f>Historicals!D192</f>
        <v>0.03</v>
      </c>
      <c r="E93" s="59">
        <f>Historicals!E192</f>
        <v>-0.01</v>
      </c>
      <c r="F93" s="59">
        <f>Historicals!F192</f>
        <v>0.08</v>
      </c>
      <c r="G93" s="59">
        <f>Historicals!G192</f>
        <v>0.11</v>
      </c>
      <c r="H93" s="59">
        <f>Historicals!H192</f>
        <v>0.26</v>
      </c>
      <c r="I93" s="59">
        <f>Historicals!I192</f>
        <v>-0.06</v>
      </c>
      <c r="J93" s="82">
        <f>AVERAGE(C93:I93)*(1+$O$93)</f>
        <v>5.1428571428571435E-2</v>
      </c>
      <c r="K93" s="82">
        <f>AVERAGE(D93:J93)*(1+$O$93)</f>
        <v>4.9438775510204078E-2</v>
      </c>
      <c r="L93" s="82">
        <v>0.05</v>
      </c>
      <c r="M93" s="82">
        <f>L93-0.3%</f>
        <v>4.7E-2</v>
      </c>
      <c r="N93" s="82">
        <f>M93-0.3%</f>
        <v>4.3999999999999997E-2</v>
      </c>
      <c r="O93" s="82">
        <v>-0.25</v>
      </c>
    </row>
    <row r="94" spans="1:15" x14ac:dyDescent="0.3">
      <c r="A94" s="42" t="s">
        <v>138</v>
      </c>
      <c r="B94" s="61" t="str">
        <f>IFERROR(B92-B93, "nm")</f>
        <v>nm</v>
      </c>
      <c r="C94" s="61">
        <f t="shared" ref="C94:I94" si="218">IFERROR(C92-C93, "nm")</f>
        <v>-3.0317460317460326E-2</v>
      </c>
      <c r="D94" s="61">
        <f t="shared" si="218"/>
        <v>-4.5267175572519081E-2</v>
      </c>
      <c r="E94" s="61">
        <f t="shared" si="218"/>
        <v>1.7751937984496126E-2</v>
      </c>
      <c r="F94" s="61">
        <f t="shared" si="218"/>
        <v>-1.846153846153846E-2</v>
      </c>
      <c r="G94" s="61">
        <f t="shared" si="218"/>
        <v>-3.7536231884057969E-2</v>
      </c>
      <c r="H94" s="61">
        <f t="shared" si="218"/>
        <v>5.7567567567567535E-2</v>
      </c>
      <c r="I94" s="61">
        <f t="shared" si="218"/>
        <v>4.9743589743589743E-2</v>
      </c>
      <c r="J94" s="75">
        <v>0</v>
      </c>
      <c r="K94" s="75">
        <v>0</v>
      </c>
      <c r="L94" s="75">
        <v>0</v>
      </c>
      <c r="M94" s="75">
        <v>0</v>
      </c>
      <c r="N94" s="75">
        <v>0</v>
      </c>
      <c r="O94" s="75"/>
    </row>
    <row r="95" spans="1:15" x14ac:dyDescent="0.3">
      <c r="A95" s="9" t="s">
        <v>130</v>
      </c>
      <c r="B95" s="1">
        <f>Historicals!B138+Historicals!B171</f>
        <v>1039</v>
      </c>
      <c r="C95" s="1">
        <f>Historicals!C138+Historicals!C171</f>
        <v>1420</v>
      </c>
      <c r="D95" s="1">
        <f>Historicals!D138+Historicals!D171</f>
        <v>1561</v>
      </c>
      <c r="E95" s="1">
        <f>Historicals!E138+Historicals!E171</f>
        <v>1863</v>
      </c>
      <c r="F95" s="1">
        <f>Historicals!F138+Historicals!F171</f>
        <v>2426</v>
      </c>
      <c r="G95" s="1">
        <f>Historicals!G138+Historicals!G171</f>
        <v>2534</v>
      </c>
      <c r="H95" s="1">
        <f>Historicals!H138+Historicals!H171</f>
        <v>3289</v>
      </c>
      <c r="I95" s="1">
        <f>Historicals!I138+Historicals!I171</f>
        <v>2406</v>
      </c>
      <c r="J95" s="69">
        <f>J81*J97</f>
        <v>2782.8336597399152</v>
      </c>
      <c r="K95" s="69">
        <f t="shared" ref="K95:N95" si="219">K81*K97</f>
        <v>3166.3057766566635</v>
      </c>
      <c r="L95" s="69">
        <f t="shared" si="219"/>
        <v>3463.2147493134685</v>
      </c>
      <c r="M95" s="69">
        <f t="shared" si="219"/>
        <v>3776.2599061747001</v>
      </c>
      <c r="N95" s="69">
        <f t="shared" si="219"/>
        <v>4104.8416100001841</v>
      </c>
      <c r="O95" s="69"/>
    </row>
    <row r="96" spans="1:15" x14ac:dyDescent="0.3">
      <c r="A96" s="44" t="s">
        <v>129</v>
      </c>
      <c r="B96" s="60" t="str">
        <f>IFERROR((B95-A95)/A95,"nm")</f>
        <v>nm</v>
      </c>
      <c r="C96" s="60">
        <f t="shared" ref="C96" si="220">IFERROR((C95-B95)/B95,"nm")</f>
        <v>0.3666987487969201</v>
      </c>
      <c r="D96" s="60">
        <f t="shared" ref="D96" si="221">IFERROR((D95-C95)/C95,"nm")</f>
        <v>9.929577464788733E-2</v>
      </c>
      <c r="E96" s="60">
        <f t="shared" ref="E96" si="222">IFERROR((E95-D95)/D95,"nm")</f>
        <v>0.1934657270980141</v>
      </c>
      <c r="F96" s="60">
        <f t="shared" ref="F96" si="223">IFERROR((F95-E95)/E95,"nm")</f>
        <v>0.3022007514761138</v>
      </c>
      <c r="G96" s="60">
        <f t="shared" ref="G96" si="224">IFERROR((G95-F95)/F95,"nm")</f>
        <v>4.4517724649629019E-2</v>
      </c>
      <c r="H96" s="60">
        <f t="shared" ref="H96" si="225">IFERROR((H95-G95)/G95,"nm")</f>
        <v>0.29794790844514601</v>
      </c>
      <c r="I96" s="60">
        <f t="shared" ref="I96" si="226">IFERROR((I95-H95)/H95,"nm")</f>
        <v>-0.26847065977500761</v>
      </c>
      <c r="J96" s="71">
        <f t="shared" ref="J96" si="227">IFERROR((J95-I95)/I95,"nm")</f>
        <v>0.15662246871983176</v>
      </c>
      <c r="K96" s="71">
        <f t="shared" ref="K96" si="228">IFERROR((K95-J95)/J95,"nm")</f>
        <v>0.1377991514421267</v>
      </c>
      <c r="L96" s="71">
        <f t="shared" ref="L96" si="229">IFERROR((L95-K95)/K95,"nm")</f>
        <v>9.3771414891683127E-2</v>
      </c>
      <c r="M96" s="71">
        <f t="shared" ref="M96" si="230">IFERROR((M95-L95)/L95,"nm")</f>
        <v>9.0391494470069528E-2</v>
      </c>
      <c r="N96" s="71">
        <f t="shared" ref="N96" si="231">IFERROR((N95-M95)/M95,"nm")</f>
        <v>8.7012470536842065E-2</v>
      </c>
      <c r="O96" s="71"/>
    </row>
    <row r="97" spans="1:15" x14ac:dyDescent="0.3">
      <c r="A97" s="44" t="s">
        <v>131</v>
      </c>
      <c r="B97" s="59">
        <f>IFERROR(B95/B$81, "nm")</f>
        <v>0.33876752526899251</v>
      </c>
      <c r="C97" s="59">
        <f t="shared" ref="C97:I97" si="232">IFERROR(C95/C$81, "nm")</f>
        <v>0.37516512549537651</v>
      </c>
      <c r="D97" s="59">
        <f t="shared" si="232"/>
        <v>0.36842105263157893</v>
      </c>
      <c r="E97" s="59">
        <f t="shared" si="232"/>
        <v>0.36287495130502534</v>
      </c>
      <c r="F97" s="59">
        <f t="shared" si="232"/>
        <v>0.3907860824742268</v>
      </c>
      <c r="G97" s="59">
        <f t="shared" si="232"/>
        <v>0.37939811349004343</v>
      </c>
      <c r="H97" s="59">
        <f t="shared" si="232"/>
        <v>0.39674306393244874</v>
      </c>
      <c r="I97" s="59">
        <f t="shared" si="232"/>
        <v>0.31880217304889358</v>
      </c>
      <c r="J97" s="84">
        <f>I97*(1+$O$97)</f>
        <v>0.33155425997084931</v>
      </c>
      <c r="K97" s="84">
        <f>J97*(1+$O$97)</f>
        <v>0.34481643036968329</v>
      </c>
      <c r="L97" s="84">
        <f>K97*(1+$O$97)</f>
        <v>0.35860908758447063</v>
      </c>
      <c r="M97" s="84">
        <f>L97*(1+$O$97)</f>
        <v>0.3729534510878495</v>
      </c>
      <c r="N97" s="84">
        <f>M97*(1+$O$97)</f>
        <v>0.38787158913136349</v>
      </c>
      <c r="O97" s="84">
        <v>0.04</v>
      </c>
    </row>
    <row r="98" spans="1:15" x14ac:dyDescent="0.3">
      <c r="A98" s="9" t="s">
        <v>132</v>
      </c>
      <c r="B98" s="1">
        <f>Historicals!B171</f>
        <v>46</v>
      </c>
      <c r="C98" s="1">
        <f>Historicals!C171</f>
        <v>48</v>
      </c>
      <c r="D98" s="1">
        <f>Historicals!D171</f>
        <v>54</v>
      </c>
      <c r="E98" s="1">
        <f>Historicals!E171</f>
        <v>56</v>
      </c>
      <c r="F98" s="1">
        <f>Historicals!F171</f>
        <v>50</v>
      </c>
      <c r="G98" s="1">
        <f>Historicals!G171</f>
        <v>44</v>
      </c>
      <c r="H98" s="1">
        <f>Historicals!H171</f>
        <v>46</v>
      </c>
      <c r="I98" s="1">
        <f>Historicals!I171</f>
        <v>41</v>
      </c>
      <c r="J98" s="69">
        <f>J81*J100</f>
        <v>47.42152121751311</v>
      </c>
      <c r="K98" s="69">
        <f t="shared" ref="K98:N98" si="233">K81*K100</f>
        <v>53.956166601381227</v>
      </c>
      <c r="L98" s="69">
        <f t="shared" si="233"/>
        <v>59.015712685724125</v>
      </c>
      <c r="M98" s="69">
        <f t="shared" si="233"/>
        <v>64.350231152602959</v>
      </c>
      <c r="N98" s="69">
        <f t="shared" si="233"/>
        <v>69.949503744807799</v>
      </c>
      <c r="O98" s="69"/>
    </row>
    <row r="99" spans="1:15" x14ac:dyDescent="0.3">
      <c r="A99" s="44" t="s">
        <v>129</v>
      </c>
      <c r="B99" s="60" t="str">
        <f>IFERROR((B98-A98)/A98,"nm")</f>
        <v>nm</v>
      </c>
      <c r="C99" s="60">
        <f t="shared" ref="C99" si="234">IFERROR((C98-B98)/B98,"nm")</f>
        <v>4.3478260869565216E-2</v>
      </c>
      <c r="D99" s="60">
        <f t="shared" ref="D99" si="235">IFERROR((D98-C98)/C98,"nm")</f>
        <v>0.125</v>
      </c>
      <c r="E99" s="60">
        <f t="shared" ref="E99" si="236">IFERROR((E98-D98)/D98,"nm")</f>
        <v>3.7037037037037035E-2</v>
      </c>
      <c r="F99" s="60">
        <f t="shared" ref="F99" si="237">IFERROR((F98-E98)/E98,"nm")</f>
        <v>-0.10714285714285714</v>
      </c>
      <c r="G99" s="60">
        <f t="shared" ref="G99" si="238">IFERROR((G98-F98)/F98,"nm")</f>
        <v>-0.12</v>
      </c>
      <c r="H99" s="60">
        <f t="shared" ref="H99" si="239">IFERROR((H98-G98)/G98,"nm")</f>
        <v>4.5454545454545456E-2</v>
      </c>
      <c r="I99" s="60">
        <f t="shared" ref="I99" si="240">IFERROR((I98-H98)/H98,"nm")</f>
        <v>-0.10869565217391304</v>
      </c>
      <c r="J99" s="71">
        <f t="shared" ref="J99" si="241">IFERROR((J98-I98)/I98,"nm")</f>
        <v>0.15662246871983196</v>
      </c>
      <c r="K99" s="71">
        <f t="shared" ref="K99" si="242">IFERROR((K98-J98)/J98,"nm")</f>
        <v>0.13779915144212679</v>
      </c>
      <c r="L99" s="71">
        <f t="shared" ref="L99" si="243">IFERROR((L98-K98)/K98,"nm")</f>
        <v>9.3771414891683183E-2</v>
      </c>
      <c r="M99" s="71">
        <f t="shared" ref="M99" si="244">IFERROR((M98-L98)/L98,"nm")</f>
        <v>9.0391494470069347E-2</v>
      </c>
      <c r="N99" s="71">
        <f t="shared" ref="N99" si="245">IFERROR((N98-M98)/M98,"nm")</f>
        <v>8.7012470536842051E-2</v>
      </c>
      <c r="O99" s="71"/>
    </row>
    <row r="100" spans="1:15" x14ac:dyDescent="0.3">
      <c r="A100" s="44" t="s">
        <v>133</v>
      </c>
      <c r="B100" s="59">
        <f>IFERROR(B98/B$81, "nm")</f>
        <v>1.4998369742419302E-2</v>
      </c>
      <c r="C100" s="59">
        <f t="shared" ref="C100:I100" si="246">IFERROR(C98/C$81, "nm")</f>
        <v>1.2681638044914135E-2</v>
      </c>
      <c r="D100" s="59">
        <f t="shared" si="246"/>
        <v>1.2744866650932263E-2</v>
      </c>
      <c r="E100" s="59">
        <f t="shared" si="246"/>
        <v>1.090767432800935E-2</v>
      </c>
      <c r="F100" s="59">
        <f t="shared" si="246"/>
        <v>8.0541237113402053E-3</v>
      </c>
      <c r="G100" s="59">
        <f t="shared" si="246"/>
        <v>6.5878125467884411E-3</v>
      </c>
      <c r="H100" s="59">
        <f t="shared" si="246"/>
        <v>5.5488540410132689E-3</v>
      </c>
      <c r="I100" s="59">
        <f t="shared" si="246"/>
        <v>5.4326222340002651E-3</v>
      </c>
      <c r="J100" s="70">
        <f>I100*(1+$O$100)</f>
        <v>5.6499271233602759E-3</v>
      </c>
      <c r="K100" s="70">
        <f>J100*(1+$O$100)</f>
        <v>5.8759242082946873E-3</v>
      </c>
      <c r="L100" s="70">
        <f>K100*(1+$O$100)</f>
        <v>6.1109611766264754E-3</v>
      </c>
      <c r="M100" s="70">
        <f>L100*(1+$O$100)</f>
        <v>6.3553996236915345E-3</v>
      </c>
      <c r="N100" s="70">
        <f>M100*(1+$O$100)</f>
        <v>6.6096156086391964E-3</v>
      </c>
      <c r="O100" s="70">
        <v>0.04</v>
      </c>
    </row>
    <row r="101" spans="1:15" x14ac:dyDescent="0.3">
      <c r="A101" s="9" t="s">
        <v>134</v>
      </c>
      <c r="B101" s="1">
        <f>B95-B98</f>
        <v>993</v>
      </c>
      <c r="C101" s="1">
        <f t="shared" ref="C101:I101" si="247">C95-C98</f>
        <v>1372</v>
      </c>
      <c r="D101" s="1">
        <f t="shared" si="247"/>
        <v>1507</v>
      </c>
      <c r="E101" s="1">
        <f t="shared" si="247"/>
        <v>1807</v>
      </c>
      <c r="F101" s="1">
        <f t="shared" si="247"/>
        <v>2376</v>
      </c>
      <c r="G101" s="1">
        <f t="shared" si="247"/>
        <v>2490</v>
      </c>
      <c r="H101" s="1">
        <f t="shared" si="247"/>
        <v>3243</v>
      </c>
      <c r="I101" s="1">
        <f t="shared" si="247"/>
        <v>2365</v>
      </c>
      <c r="J101" s="69">
        <f>J95-J98</f>
        <v>2735.4121385224021</v>
      </c>
      <c r="K101" s="69">
        <f t="shared" ref="K101:N101" si="248">K95-K98</f>
        <v>3112.3496100552825</v>
      </c>
      <c r="L101" s="69">
        <f t="shared" si="248"/>
        <v>3404.1990366277441</v>
      </c>
      <c r="M101" s="69">
        <f t="shared" si="248"/>
        <v>3711.909675022097</v>
      </c>
      <c r="N101" s="69">
        <f t="shared" si="248"/>
        <v>4034.8921062553763</v>
      </c>
    </row>
    <row r="102" spans="1:15" x14ac:dyDescent="0.3">
      <c r="A102" s="44" t="s">
        <v>129</v>
      </c>
      <c r="B102" s="60" t="str">
        <f>IFERROR((B101-A101)/A101,"nm")</f>
        <v>nm</v>
      </c>
      <c r="C102" s="60">
        <f t="shared" ref="C102" si="249">IFERROR((C101-B101)/B101,"nm")</f>
        <v>0.38167170191339378</v>
      </c>
      <c r="D102" s="60">
        <f t="shared" ref="D102" si="250">IFERROR((D101-C101)/C101,"nm")</f>
        <v>9.8396501457725952E-2</v>
      </c>
      <c r="E102" s="60">
        <f t="shared" ref="E102" si="251">IFERROR((E101-D101)/D101,"nm")</f>
        <v>0.19907100199071001</v>
      </c>
      <c r="F102" s="60">
        <f t="shared" ref="F102" si="252">IFERROR((F101-E101)/E101,"nm")</f>
        <v>0.31488655229662421</v>
      </c>
      <c r="G102" s="60">
        <f t="shared" ref="G102" si="253">IFERROR((G101-F101)/F101,"nm")</f>
        <v>4.7979797979797977E-2</v>
      </c>
      <c r="H102" s="60">
        <f t="shared" ref="H102" si="254">IFERROR((H101-G101)/G101,"nm")</f>
        <v>0.30240963855421688</v>
      </c>
      <c r="I102" s="60">
        <f t="shared" ref="I102" si="255">IFERROR((I101-H101)/H101,"nm")</f>
        <v>-0.27073697193956214</v>
      </c>
      <c r="J102" s="83">
        <f t="shared" ref="J102" si="256">IFERROR((J101-I101)/I101,"nm")</f>
        <v>0.15662246871983174</v>
      </c>
      <c r="K102" s="83">
        <f t="shared" ref="K102" si="257">IFERROR((K101-J101)/J101,"nm")</f>
        <v>0.13779915144212679</v>
      </c>
      <c r="L102" s="83">
        <f t="shared" ref="L102" si="258">IFERROR((L101-K101)/K101,"nm")</f>
        <v>9.3771414891682989E-2</v>
      </c>
      <c r="M102" s="83">
        <f t="shared" ref="M102" si="259">IFERROR((M101-L101)/L101,"nm")</f>
        <v>9.0391494470069556E-2</v>
      </c>
      <c r="N102" s="83">
        <f t="shared" ref="N102" si="260">IFERROR((N101-M101)/M101,"nm")</f>
        <v>8.7012470536842107E-2</v>
      </c>
      <c r="O102" s="83"/>
    </row>
    <row r="103" spans="1:15" x14ac:dyDescent="0.3">
      <c r="A103" s="44" t="s">
        <v>131</v>
      </c>
      <c r="B103" s="59">
        <f>IFERROR(B101/B$81, "nm")</f>
        <v>0.3237691555265732</v>
      </c>
      <c r="C103" s="59">
        <f t="shared" ref="C103:I103" si="261">IFERROR(C101/C$81, "nm")</f>
        <v>0.36248348745046233</v>
      </c>
      <c r="D103" s="59">
        <f t="shared" si="261"/>
        <v>0.35567618598064671</v>
      </c>
      <c r="E103" s="59">
        <f t="shared" si="261"/>
        <v>0.35196727697701596</v>
      </c>
      <c r="F103" s="59">
        <f t="shared" si="261"/>
        <v>0.38273195876288657</v>
      </c>
      <c r="G103" s="59">
        <f t="shared" si="261"/>
        <v>0.37281030094325496</v>
      </c>
      <c r="H103" s="59">
        <f t="shared" si="261"/>
        <v>0.39119420989143544</v>
      </c>
      <c r="I103" s="59">
        <f t="shared" si="261"/>
        <v>0.31336955081489332</v>
      </c>
      <c r="J103" s="84">
        <f>I103*(1+$O$103)</f>
        <v>0.32590433284748904</v>
      </c>
      <c r="K103" s="84">
        <f>J103*(1+$O$103)</f>
        <v>0.3389405061613886</v>
      </c>
      <c r="L103" s="84">
        <f>K103*(1+$O$103)</f>
        <v>0.35249812640784417</v>
      </c>
      <c r="M103" s="84">
        <f>L103*(1+$O$103)</f>
        <v>0.36659805146415797</v>
      </c>
      <c r="N103" s="84">
        <f>M103*(1+$O$103)</f>
        <v>0.38126197352272428</v>
      </c>
      <c r="O103" s="84">
        <v>0.04</v>
      </c>
    </row>
    <row r="104" spans="1:15" x14ac:dyDescent="0.3">
      <c r="A104" s="9" t="s">
        <v>135</v>
      </c>
      <c r="B104" s="1">
        <f>Historicals!B160</f>
        <v>69</v>
      </c>
      <c r="C104" s="1">
        <f>Historicals!C160</f>
        <v>44</v>
      </c>
      <c r="D104" s="1">
        <f>Historicals!D160</f>
        <v>51</v>
      </c>
      <c r="E104" s="1">
        <f>Historicals!E160</f>
        <v>76</v>
      </c>
      <c r="F104" s="1">
        <f>Historicals!F160</f>
        <v>49</v>
      </c>
      <c r="G104" s="1">
        <f>Historicals!G160</f>
        <v>28</v>
      </c>
      <c r="H104" s="1">
        <f>Historicals!H160</f>
        <v>94</v>
      </c>
      <c r="I104" s="1">
        <f>Historicals!I160</f>
        <v>78</v>
      </c>
      <c r="J104" s="69">
        <f>J81*J106</f>
        <v>87.18041857975733</v>
      </c>
      <c r="K104" s="69">
        <f t="shared" ref="K104:N104" si="262">K81*K106</f>
        <v>95.855553186374408</v>
      </c>
      <c r="L104" s="69">
        <f t="shared" si="262"/>
        <v>101.31565803274532</v>
      </c>
      <c r="M104" s="69">
        <f t="shared" si="262"/>
        <v>106.75586580232823</v>
      </c>
      <c r="N104" s="69">
        <f t="shared" si="262"/>
        <v>112.13959828580653</v>
      </c>
      <c r="O104" s="69"/>
    </row>
    <row r="105" spans="1:15" x14ac:dyDescent="0.3">
      <c r="A105" s="44" t="s">
        <v>129</v>
      </c>
      <c r="B105" s="60" t="str">
        <f>IFERROR((B104-A104)/A104,"nm")</f>
        <v>nm</v>
      </c>
      <c r="C105" s="60">
        <f t="shared" ref="C105" si="263">IFERROR((C104-B104)/B104,"nm")</f>
        <v>-0.36231884057971014</v>
      </c>
      <c r="D105" s="60">
        <f t="shared" ref="D105" si="264">IFERROR((D104-C104)/C104,"nm")</f>
        <v>0.15909090909090909</v>
      </c>
      <c r="E105" s="60">
        <f t="shared" ref="E105" si="265">IFERROR((E104-D104)/D104,"nm")</f>
        <v>0.49019607843137253</v>
      </c>
      <c r="F105" s="60">
        <f t="shared" ref="F105" si="266">IFERROR((F104-E104)/E104,"nm")</f>
        <v>-0.35526315789473684</v>
      </c>
      <c r="G105" s="60">
        <f t="shared" ref="G105" si="267">IFERROR((G104-F104)/F104,"nm")</f>
        <v>-0.42857142857142855</v>
      </c>
      <c r="H105" s="60">
        <f t="shared" ref="H105" si="268">IFERROR((H104-G104)/G104,"nm")</f>
        <v>2.3571428571428572</v>
      </c>
      <c r="I105" s="60">
        <f t="shared" ref="I105" si="269">IFERROR((I104-H104)/H104,"nm")</f>
        <v>-0.1702127659574468</v>
      </c>
      <c r="J105" s="71">
        <f t="shared" ref="J105" si="270">IFERROR((J104-I104)/I104,"nm")</f>
        <v>0.11769767409945295</v>
      </c>
      <c r="K105" s="71">
        <f t="shared" ref="K105" si="271">IFERROR((K104-J104)/J104,"nm")</f>
        <v>9.9507833845516577E-2</v>
      </c>
      <c r="L105" s="71">
        <f t="shared" ref="L105" si="272">IFERROR((L104-K104)/K104,"nm")</f>
        <v>5.6961799967443605E-2</v>
      </c>
      <c r="M105" s="71">
        <f t="shared" ref="M105" si="273">IFERROR((M104-L104)/L104,"nm")</f>
        <v>5.3695626867711128E-2</v>
      </c>
      <c r="N105" s="71">
        <f t="shared" ref="N105" si="274">IFERROR((N104-M104)/M104,"nm")</f>
        <v>5.0430320086082656E-2</v>
      </c>
      <c r="O105" s="71"/>
    </row>
    <row r="106" spans="1:15" x14ac:dyDescent="0.3">
      <c r="A106" s="44" t="s">
        <v>133</v>
      </c>
      <c r="B106" s="59">
        <f>IFERROR(B104/B$81, "nm")</f>
        <v>2.2497554613628953E-2</v>
      </c>
      <c r="C106" s="59">
        <f t="shared" ref="C106:I106" si="275">IFERROR(C104/C$81, "nm")</f>
        <v>1.1624834874504624E-2</v>
      </c>
      <c r="D106" s="59">
        <f t="shared" si="275"/>
        <v>1.2036818503658248E-2</v>
      </c>
      <c r="E106" s="59">
        <f t="shared" si="275"/>
        <v>1.4803272302298403E-2</v>
      </c>
      <c r="F106" s="59">
        <f t="shared" si="275"/>
        <v>7.8930412371134018E-3</v>
      </c>
      <c r="G106" s="59">
        <f t="shared" si="275"/>
        <v>4.1922443479562805E-3</v>
      </c>
      <c r="H106" s="59">
        <f t="shared" si="275"/>
        <v>1.1338962605548853E-2</v>
      </c>
      <c r="I106" s="59">
        <f t="shared" si="275"/>
        <v>1.0335232542732211E-2</v>
      </c>
      <c r="J106" s="70">
        <f>I106*(1+$O$106)</f>
        <v>1.0386908705445872E-2</v>
      </c>
      <c r="K106" s="70">
        <f>J106*(1+$O$106)</f>
        <v>1.0438843248973101E-2</v>
      </c>
      <c r="L106" s="70">
        <f>K106*(1+$O$106)</f>
        <v>1.0491037465217965E-2</v>
      </c>
      <c r="M106" s="70">
        <f>L106*(1+$O$106)</f>
        <v>1.0543492652544053E-2</v>
      </c>
      <c r="N106" s="70">
        <f>M106*(1+$O$106)</f>
        <v>1.0596210115806772E-2</v>
      </c>
      <c r="O106" s="70">
        <v>5.0000000000000001E-3</v>
      </c>
    </row>
    <row r="107" spans="1:15" x14ac:dyDescent="0.3">
      <c r="A107" s="66" t="s">
        <v>146</v>
      </c>
      <c r="B107" s="68">
        <f>Historicals!B149</f>
        <v>254</v>
      </c>
      <c r="C107" s="68">
        <f>Historicals!C149</f>
        <v>234</v>
      </c>
      <c r="D107" s="68">
        <f>Historicals!D149</f>
        <v>225</v>
      </c>
      <c r="E107" s="68">
        <f>Historicals!E149</f>
        <v>256</v>
      </c>
      <c r="F107" s="68">
        <f>Historicals!F149</f>
        <v>237</v>
      </c>
      <c r="G107" s="68">
        <f>Historicals!G149</f>
        <v>214</v>
      </c>
      <c r="H107" s="68">
        <f>Historicals!H149</f>
        <v>288</v>
      </c>
      <c r="I107" s="68">
        <f>Historicals!I149</f>
        <v>303</v>
      </c>
      <c r="J107" s="124">
        <f>J81*J109</f>
        <v>338.66239525213422</v>
      </c>
      <c r="K107" s="124">
        <f t="shared" ref="K107:N107" si="276">K81*K109</f>
        <v>372.36195660860824</v>
      </c>
      <c r="L107" s="124">
        <f t="shared" si="276"/>
        <v>393.57236389643367</v>
      </c>
      <c r="M107" s="124">
        <f t="shared" si="276"/>
        <v>414.70547869365964</v>
      </c>
      <c r="N107" s="124">
        <f t="shared" si="276"/>
        <v>435.61920872563297</v>
      </c>
      <c r="O107" s="124"/>
    </row>
    <row r="108" spans="1:15" x14ac:dyDescent="0.3">
      <c r="A108" s="65" t="s">
        <v>129</v>
      </c>
      <c r="B108" s="60" t="str">
        <f>IFERROR((B107-A107)/A107,"nm")</f>
        <v>nm</v>
      </c>
      <c r="C108" s="60">
        <f t="shared" ref="C108:I108" si="277">IFERROR((C107-B107)/B107,"nm")</f>
        <v>-7.874015748031496E-2</v>
      </c>
      <c r="D108" s="60">
        <f t="shared" si="277"/>
        <v>-3.8461538461538464E-2</v>
      </c>
      <c r="E108" s="60">
        <f t="shared" si="277"/>
        <v>0.13777777777777778</v>
      </c>
      <c r="F108" s="60">
        <f t="shared" si="277"/>
        <v>-7.421875E-2</v>
      </c>
      <c r="G108" s="60">
        <f t="shared" si="277"/>
        <v>-9.7046413502109699E-2</v>
      </c>
      <c r="H108" s="60">
        <f t="shared" si="277"/>
        <v>0.34579439252336447</v>
      </c>
      <c r="I108" s="60">
        <f t="shared" si="277"/>
        <v>5.2083333333333336E-2</v>
      </c>
      <c r="J108" s="83">
        <f t="shared" ref="J108" si="278">IFERROR((J107-I107)/I107,"nm")</f>
        <v>0.11769767409945286</v>
      </c>
      <c r="K108" s="83">
        <f t="shared" ref="K108" si="279">IFERROR((K107-J107)/J107,"nm")</f>
        <v>9.9507833845516536E-2</v>
      </c>
      <c r="L108" s="83">
        <f t="shared" ref="L108" si="280">IFERROR((L107-K107)/K107,"nm")</f>
        <v>5.6961799967443535E-2</v>
      </c>
      <c r="M108" s="83">
        <f t="shared" ref="M108" si="281">IFERROR((M107-L107)/L107,"nm")</f>
        <v>5.3695626867711246E-2</v>
      </c>
      <c r="N108" s="83">
        <f t="shared" ref="N108" si="282">IFERROR((N107-M107)/M107,"nm")</f>
        <v>5.0430320086082517E-2</v>
      </c>
      <c r="O108" s="83"/>
    </row>
    <row r="109" spans="1:15" x14ac:dyDescent="0.3">
      <c r="A109" s="65" t="s">
        <v>133</v>
      </c>
      <c r="B109" s="59">
        <f>IFERROR(B107/B$81, "nm")</f>
        <v>8.2817085099445714E-2</v>
      </c>
      <c r="C109" s="59">
        <f t="shared" ref="C109:I109" si="283">IFERROR(C107/C$81, "nm")</f>
        <v>6.1822985468956405E-2</v>
      </c>
      <c r="D109" s="59">
        <f t="shared" si="283"/>
        <v>5.31036110455511E-2</v>
      </c>
      <c r="E109" s="59">
        <f t="shared" si="283"/>
        <v>4.9863654070899883E-2</v>
      </c>
      <c r="F109" s="59">
        <f t="shared" si="283"/>
        <v>3.817654639175258E-2</v>
      </c>
      <c r="G109" s="59">
        <f t="shared" si="283"/>
        <v>3.2040724659380147E-2</v>
      </c>
      <c r="H109" s="59">
        <f t="shared" si="283"/>
        <v>3.4740651387213509E-2</v>
      </c>
      <c r="I109" s="59">
        <f t="shared" si="283"/>
        <v>4.0148403339075128E-2</v>
      </c>
      <c r="J109" s="85">
        <f>I109*(1+$O$109)</f>
        <v>4.0349145355770499E-2</v>
      </c>
      <c r="K109" s="85">
        <f>J109*(1+$O$109)</f>
        <v>4.0550891082549348E-2</v>
      </c>
      <c r="L109" s="85">
        <f>K109*(1+$O$109)</f>
        <v>4.075364553796209E-2</v>
      </c>
      <c r="M109" s="85">
        <f>L109*(1+$O$109)</f>
        <v>4.0957413765651894E-2</v>
      </c>
      <c r="N109" s="85">
        <f>M109*(1+$O$109)</f>
        <v>4.1162200834480148E-2</v>
      </c>
      <c r="O109" s="85">
        <v>5.0000000000000001E-3</v>
      </c>
    </row>
    <row r="110" spans="1:15" x14ac:dyDescent="0.3">
      <c r="A110" s="41" t="str">
        <f>Historicals!A121</f>
        <v>Asia Pacific &amp; Latin America</v>
      </c>
      <c r="B110" s="41"/>
      <c r="C110" s="41"/>
      <c r="D110" s="41"/>
      <c r="E110" s="41"/>
      <c r="F110" s="41"/>
      <c r="G110" s="41"/>
      <c r="H110" s="41"/>
      <c r="I110" s="41"/>
      <c r="J110" s="73"/>
      <c r="K110" s="73"/>
      <c r="L110" s="73"/>
      <c r="M110" s="73"/>
      <c r="N110" s="73"/>
      <c r="O110" s="73"/>
    </row>
    <row r="111" spans="1:15" x14ac:dyDescent="0.3">
      <c r="A111" s="9" t="s">
        <v>136</v>
      </c>
      <c r="B111" s="58">
        <f>+B113+B117+B121</f>
        <v>755</v>
      </c>
      <c r="C111" s="58">
        <f t="shared" ref="C111:I111" si="284">+C113+C117+C121</f>
        <v>869</v>
      </c>
      <c r="D111" s="58">
        <f t="shared" si="284"/>
        <v>4737</v>
      </c>
      <c r="E111" s="58">
        <f t="shared" si="284"/>
        <v>5166</v>
      </c>
      <c r="F111" s="58">
        <f t="shared" si="284"/>
        <v>5254</v>
      </c>
      <c r="G111" s="58">
        <f t="shared" si="284"/>
        <v>5028</v>
      </c>
      <c r="H111" s="58">
        <f t="shared" si="284"/>
        <v>5343</v>
      </c>
      <c r="I111" s="58">
        <f t="shared" si="284"/>
        <v>5955</v>
      </c>
      <c r="J111" s="69">
        <f>SUM(J113,J117,J121)</f>
        <v>6622.1571250000006</v>
      </c>
      <c r="K111" s="69">
        <f t="shared" ref="K111:N111" si="285">SUM(K113,K117,K121)</f>
        <v>7282.0436097749034</v>
      </c>
      <c r="L111" s="69">
        <f t="shared" si="285"/>
        <v>7668.0046832274238</v>
      </c>
      <c r="M111" s="69">
        <f t="shared" si="285"/>
        <v>8047.5528741049829</v>
      </c>
      <c r="N111" s="69">
        <f t="shared" si="285"/>
        <v>8417.8758102204283</v>
      </c>
    </row>
    <row r="112" spans="1:15" x14ac:dyDescent="0.3">
      <c r="A112" s="42" t="s">
        <v>129</v>
      </c>
      <c r="B112" s="60" t="str">
        <f>IFERROR((B111-A111)/A111,"nm")</f>
        <v>nm</v>
      </c>
      <c r="C112" s="60">
        <f>IFERROR((C111-B111)/B111,"nm")</f>
        <v>0.15099337748344371</v>
      </c>
      <c r="D112" s="60">
        <f t="shared" ref="D112" si="286">IFERROR((D111-C111)/C111,"nm")</f>
        <v>4.4510932105868815</v>
      </c>
      <c r="E112" s="60">
        <f t="shared" ref="E112" si="287">IFERROR((E111-D111)/D111,"nm")</f>
        <v>9.0563647878404055E-2</v>
      </c>
      <c r="F112" s="60">
        <f t="shared" ref="F112" si="288">IFERROR((F111-E111)/E111,"nm")</f>
        <v>1.7034456058846303E-2</v>
      </c>
      <c r="G112" s="60">
        <f t="shared" ref="G112" si="289">IFERROR((G111-F111)/F111,"nm")</f>
        <v>-4.3014845831747243E-2</v>
      </c>
      <c r="H112" s="60">
        <f t="shared" ref="H112" si="290">IFERROR((H111-G111)/G111,"nm")</f>
        <v>6.2649164677804292E-2</v>
      </c>
      <c r="I112" s="60">
        <f t="shared" ref="I112" si="291">IFERROR((I111-H111)/H111,"nm")</f>
        <v>0.11454239191465469</v>
      </c>
      <c r="J112" s="71">
        <f t="shared" ref="J112" si="292">IFERROR((J111-I111)/I111,"nm")</f>
        <v>0.11203310243492874</v>
      </c>
      <c r="K112" s="71">
        <f t="shared" ref="K112" si="293">IFERROR((K111-J111)/J111,"nm")</f>
        <v>9.964826752353792E-2</v>
      </c>
      <c r="L112" s="71">
        <f t="shared" ref="L112" si="294">IFERROR((L111-K111)/K111,"nm")</f>
        <v>5.3001752548478755E-2</v>
      </c>
      <c r="M112" s="71">
        <f t="shared" ref="M112" si="295">IFERROR((M111-L111)/L111,"nm")</f>
        <v>4.9497647244238413E-2</v>
      </c>
      <c r="N112" s="71">
        <f t="shared" ref="N112" si="296">IFERROR((N111-M111)/M111,"nm")</f>
        <v>4.601683790199778E-2</v>
      </c>
      <c r="O112" s="71"/>
    </row>
    <row r="113" spans="1:15" x14ac:dyDescent="0.3">
      <c r="A113" s="43" t="s">
        <v>113</v>
      </c>
      <c r="B113" s="58">
        <f>Historicals!B122</f>
        <v>452</v>
      </c>
      <c r="C113" s="58">
        <f>Historicals!C122</f>
        <v>570</v>
      </c>
      <c r="D113" s="58">
        <f>Historicals!D122</f>
        <v>3285</v>
      </c>
      <c r="E113" s="58">
        <f>Historicals!E122</f>
        <v>3575</v>
      </c>
      <c r="F113" s="58">
        <f>Historicals!F122</f>
        <v>3622</v>
      </c>
      <c r="G113" s="58">
        <f>Historicals!G122</f>
        <v>3449</v>
      </c>
      <c r="H113" s="58">
        <f>Historicals!H122</f>
        <v>3659</v>
      </c>
      <c r="I113" s="58">
        <f>Historicals!I122</f>
        <v>4111</v>
      </c>
      <c r="J113" s="69">
        <f>I113*(1+J114)</f>
        <v>4591.4731250000004</v>
      </c>
      <c r="K113" s="69">
        <f t="shared" ref="K113:N113" si="297">J113*(1+K114)</f>
        <v>5072.914191774903</v>
      </c>
      <c r="L113" s="69">
        <f t="shared" si="297"/>
        <v>5331.6328155554229</v>
      </c>
      <c r="M113" s="69">
        <f t="shared" si="297"/>
        <v>5582.2195578865276</v>
      </c>
      <c r="N113" s="69">
        <f t="shared" si="297"/>
        <v>5822.2549988756482</v>
      </c>
      <c r="O113" s="69"/>
    </row>
    <row r="114" spans="1:15" x14ac:dyDescent="0.3">
      <c r="A114" s="42" t="s">
        <v>129</v>
      </c>
      <c r="B114" s="60" t="str">
        <f>IFERROR((B113-A113)/A113,"nm")</f>
        <v>nm</v>
      </c>
      <c r="C114" s="60">
        <f t="shared" ref="C114" si="298">IFERROR((C113-B113)/B113,"nm")</f>
        <v>0.26106194690265488</v>
      </c>
      <c r="D114" s="60">
        <f t="shared" ref="D114" si="299">IFERROR((D113-C113)/C113,"nm")</f>
        <v>4.7631578947368425</v>
      </c>
      <c r="E114" s="60">
        <f t="shared" ref="E114" si="300">IFERROR((E113-D113)/D113,"nm")</f>
        <v>8.8280060882800604E-2</v>
      </c>
      <c r="F114" s="60">
        <f t="shared" ref="F114" si="301">IFERROR((F113-E113)/E113,"nm")</f>
        <v>1.3146853146853148E-2</v>
      </c>
      <c r="G114" s="60">
        <f t="shared" ref="G114" si="302">IFERROR((G113-F113)/F113,"nm")</f>
        <v>-4.7763666482606291E-2</v>
      </c>
      <c r="H114" s="60">
        <f t="shared" ref="H114" si="303">IFERROR((H113-G113)/G113,"nm")</f>
        <v>6.0887213685126125E-2</v>
      </c>
      <c r="I114" s="60">
        <f t="shared" ref="I114" si="304">IFERROR((I113-H113)/H113,"nm")</f>
        <v>0.1235310194042088</v>
      </c>
      <c r="J114" s="71">
        <f>J115+J116</f>
        <v>0.11687500000000001</v>
      </c>
      <c r="K114" s="71">
        <f t="shared" ref="K114:N114" si="305">K115+K116</f>
        <v>0.10485546874999999</v>
      </c>
      <c r="L114" s="71">
        <f t="shared" si="305"/>
        <v>5.0999999999999997E-2</v>
      </c>
      <c r="M114" s="71">
        <f t="shared" si="305"/>
        <v>4.7E-2</v>
      </c>
      <c r="N114" s="71">
        <f t="shared" si="305"/>
        <v>4.2999999999999997E-2</v>
      </c>
    </row>
    <row r="115" spans="1:15" x14ac:dyDescent="0.3">
      <c r="A115" s="42" t="s">
        <v>137</v>
      </c>
      <c r="B115" s="59">
        <f>Historicals!B206</f>
        <v>0.23</v>
      </c>
      <c r="C115" s="59">
        <f>Historicals!C206</f>
        <v>0.34</v>
      </c>
      <c r="D115" s="59">
        <f>Historicals!D206</f>
        <v>7.0000000000000007E-2</v>
      </c>
      <c r="E115" s="59">
        <f>Historicals!E206</f>
        <v>0.09</v>
      </c>
      <c r="F115" s="59">
        <f>Historicals!F206</f>
        <v>0.12</v>
      </c>
      <c r="G115" s="59">
        <f>Historicals!G206</f>
        <v>0</v>
      </c>
      <c r="H115" s="59">
        <f>Historicals!H206</f>
        <v>0.08</v>
      </c>
      <c r="I115" s="59">
        <f>Historicals!I206</f>
        <v>0.17</v>
      </c>
      <c r="J115" s="82">
        <f>AVERAGE(B115:I115)*(1+$O$115)</f>
        <v>0.11687500000000001</v>
      </c>
      <c r="K115" s="82">
        <f>AVERAGE(C115:J115)*(1+$O$115)</f>
        <v>0.10485546874999999</v>
      </c>
      <c r="L115" s="82">
        <f>L89</f>
        <v>5.0999999999999997E-2</v>
      </c>
      <c r="M115" s="82">
        <f t="shared" ref="M115:N115" si="306">M89</f>
        <v>4.7E-2</v>
      </c>
      <c r="N115" s="82">
        <f t="shared" si="306"/>
        <v>4.2999999999999997E-2</v>
      </c>
      <c r="O115" s="82">
        <v>-0.15</v>
      </c>
    </row>
    <row r="116" spans="1:15" x14ac:dyDescent="0.3">
      <c r="A116" s="42" t="s">
        <v>138</v>
      </c>
      <c r="B116" s="61" t="str">
        <f>IFERROR(B114-B115, "nm")</f>
        <v>nm</v>
      </c>
      <c r="C116" s="59">
        <f t="shared" ref="C116" si="307">IFERROR(C114-C115, "nm")</f>
        <v>-7.893805309734514E-2</v>
      </c>
      <c r="D116" s="59">
        <f t="shared" ref="D116:I116" si="308">IFERROR(D114-D115, "nm")</f>
        <v>4.6931578947368422</v>
      </c>
      <c r="E116" s="59">
        <f t="shared" si="308"/>
        <v>-1.7199391171993927E-3</v>
      </c>
      <c r="F116" s="59">
        <f t="shared" si="308"/>
        <v>-0.10685314685314684</v>
      </c>
      <c r="G116" s="59">
        <f t="shared" si="308"/>
        <v>-4.7763666482606291E-2</v>
      </c>
      <c r="H116" s="59">
        <f t="shared" si="308"/>
        <v>-1.9112786314873877E-2</v>
      </c>
      <c r="I116" s="59">
        <f t="shared" si="308"/>
        <v>-4.6468980595791215E-2</v>
      </c>
      <c r="J116" s="84">
        <v>0</v>
      </c>
      <c r="K116" s="84">
        <v>0</v>
      </c>
      <c r="L116" s="84">
        <v>0</v>
      </c>
      <c r="M116" s="84">
        <v>0</v>
      </c>
      <c r="N116" s="84">
        <v>0</v>
      </c>
      <c r="O116" s="84"/>
    </row>
    <row r="117" spans="1:15" x14ac:dyDescent="0.3">
      <c r="A117" s="43" t="s">
        <v>114</v>
      </c>
      <c r="B117" s="1">
        <f>Historicals!B123</f>
        <v>230</v>
      </c>
      <c r="C117" s="1">
        <f>Historicals!C123</f>
        <v>228</v>
      </c>
      <c r="D117" s="1">
        <f>Historicals!D123</f>
        <v>1185</v>
      </c>
      <c r="E117" s="1">
        <f>Historicals!E123</f>
        <v>1347</v>
      </c>
      <c r="F117" s="1">
        <f>Historicals!F123</f>
        <v>1395</v>
      </c>
      <c r="G117" s="1">
        <f>Historicals!G123</f>
        <v>1365</v>
      </c>
      <c r="H117" s="1">
        <f>Historicals!H123</f>
        <v>1494</v>
      </c>
      <c r="I117" s="1">
        <f>Historicals!I123</f>
        <v>1610</v>
      </c>
      <c r="J117" s="69">
        <f>I117*(1+J118)</f>
        <v>1774.2200000000003</v>
      </c>
      <c r="K117" s="69">
        <f t="shared" ref="K117:N117" si="309">J117*(1+K118)</f>
        <v>1928.0448740000002</v>
      </c>
      <c r="L117" s="69">
        <f t="shared" si="309"/>
        <v>2028.3032074480002</v>
      </c>
      <c r="M117" s="69">
        <f t="shared" si="309"/>
        <v>2127.690064612952</v>
      </c>
      <c r="N117" s="69">
        <f t="shared" si="309"/>
        <v>2225.563807585148</v>
      </c>
    </row>
    <row r="118" spans="1:15" x14ac:dyDescent="0.3">
      <c r="A118" s="42" t="s">
        <v>129</v>
      </c>
      <c r="B118" s="60" t="str">
        <f>IFERROR((B117-A117)/A117,"nm")</f>
        <v>nm</v>
      </c>
      <c r="C118" s="60">
        <f t="shared" ref="C118" si="310">IFERROR((C117-B117)/B117,"nm")</f>
        <v>-8.6956521739130436E-3</v>
      </c>
      <c r="D118" s="60">
        <f t="shared" ref="D118" si="311">IFERROR((D117-C117)/C117,"nm")</f>
        <v>4.1973684210526319</v>
      </c>
      <c r="E118" s="60">
        <f t="shared" ref="E118" si="312">IFERROR((E117-D117)/D117,"nm")</f>
        <v>0.13670886075949368</v>
      </c>
      <c r="F118" s="60">
        <f t="shared" ref="F118" si="313">IFERROR((F117-E117)/E117,"nm")</f>
        <v>3.5634743875278395E-2</v>
      </c>
      <c r="G118" s="60">
        <f t="shared" ref="G118" si="314">IFERROR((G117-F117)/F117,"nm")</f>
        <v>-2.1505376344086023E-2</v>
      </c>
      <c r="H118" s="60">
        <f t="shared" ref="H118" si="315">IFERROR((H117-G117)/G117,"nm")</f>
        <v>9.4505494505494503E-2</v>
      </c>
      <c r="I118" s="60">
        <f t="shared" ref="I118" si="316">IFERROR((I117-H117)/H117,"nm")</f>
        <v>7.7643908969210168E-2</v>
      </c>
      <c r="J118" s="71">
        <f>J119+J120</f>
        <v>0.10199999999999999</v>
      </c>
      <c r="K118" s="71">
        <f t="shared" ref="K118:N118" si="317">K119+K120</f>
        <v>8.6699999999999985E-2</v>
      </c>
      <c r="L118" s="71">
        <f t="shared" si="317"/>
        <v>5.1999999999999998E-2</v>
      </c>
      <c r="M118" s="71">
        <f t="shared" si="317"/>
        <v>4.8999999999999995E-2</v>
      </c>
      <c r="N118" s="71">
        <f t="shared" si="317"/>
        <v>4.5999999999999992E-2</v>
      </c>
      <c r="O118" s="71"/>
    </row>
    <row r="119" spans="1:15" x14ac:dyDescent="0.3">
      <c r="A119" s="42" t="s">
        <v>137</v>
      </c>
      <c r="B119" s="59">
        <f>Historicals!B207</f>
        <v>-0.08</v>
      </c>
      <c r="C119" s="59">
        <f>Historicals!C207</f>
        <v>0.05</v>
      </c>
      <c r="D119" s="59">
        <f>Historicals!D207</f>
        <v>0.1</v>
      </c>
      <c r="E119" s="59">
        <f>Historicals!E207</f>
        <v>0.15</v>
      </c>
      <c r="F119" s="59">
        <f>Historicals!F207</f>
        <v>0.15</v>
      </c>
      <c r="G119" s="59">
        <f>Historicals!G207</f>
        <v>0.03</v>
      </c>
      <c r="H119" s="59">
        <f>Historicals!H207</f>
        <v>0.1</v>
      </c>
      <c r="I119" s="59">
        <f>Historicals!I207</f>
        <v>0.12</v>
      </c>
      <c r="J119" s="82">
        <f>I119*(1+$O$119)</f>
        <v>0.10199999999999999</v>
      </c>
      <c r="K119" s="82">
        <f>J119*(1+$O$119)</f>
        <v>8.6699999999999985E-2</v>
      </c>
      <c r="L119" s="82">
        <f>L85</f>
        <v>5.1999999999999998E-2</v>
      </c>
      <c r="M119" s="82">
        <f t="shared" ref="M119:N119" si="318">M85</f>
        <v>4.8999999999999995E-2</v>
      </c>
      <c r="N119" s="82">
        <f t="shared" si="318"/>
        <v>4.5999999999999992E-2</v>
      </c>
      <c r="O119" s="82">
        <v>-0.15</v>
      </c>
    </row>
    <row r="120" spans="1:15" x14ac:dyDescent="0.3">
      <c r="A120" s="42" t="s">
        <v>138</v>
      </c>
      <c r="B120" s="61" t="str">
        <f>IFERROR(B118-B119, "nm")</f>
        <v>nm</v>
      </c>
      <c r="C120" s="61">
        <f t="shared" ref="C120" si="319">IFERROR(C118-C119, "nm")</f>
        <v>-5.8695652173913045E-2</v>
      </c>
      <c r="D120" s="61">
        <f t="shared" ref="D120" si="320">IFERROR(D118-D119, "nm")</f>
        <v>4.0973684210526322</v>
      </c>
      <c r="E120" s="61">
        <f t="shared" ref="E120" si="321">IFERROR(E118-E119, "nm")</f>
        <v>-1.3291139240506317E-2</v>
      </c>
      <c r="F120" s="61">
        <f t="shared" ref="F120" si="322">IFERROR(F118-F119, "nm")</f>
        <v>-0.11436525612472159</v>
      </c>
      <c r="G120" s="61">
        <f t="shared" ref="G120" si="323">IFERROR(G118-G119, "nm")</f>
        <v>-5.1505376344086022E-2</v>
      </c>
      <c r="H120" s="61">
        <f t="shared" ref="H120" si="324">IFERROR(H118-H119, "nm")</f>
        <v>-5.4945054945055027E-3</v>
      </c>
      <c r="I120" s="61">
        <f t="shared" ref="I120" si="325">IFERROR(I118-I119, "nm")</f>
        <v>-4.2356091030789828E-2</v>
      </c>
      <c r="J120" s="86">
        <v>0</v>
      </c>
      <c r="K120" s="86">
        <v>0</v>
      </c>
      <c r="L120" s="86">
        <v>0</v>
      </c>
      <c r="M120" s="86">
        <v>0</v>
      </c>
      <c r="N120" s="86">
        <v>0</v>
      </c>
      <c r="O120" s="86"/>
    </row>
    <row r="121" spans="1:15" x14ac:dyDescent="0.3">
      <c r="A121" s="43" t="s">
        <v>115</v>
      </c>
      <c r="B121" s="1">
        <f>Historicals!B124</f>
        <v>73</v>
      </c>
      <c r="C121" s="1">
        <f>Historicals!C124</f>
        <v>71</v>
      </c>
      <c r="D121" s="1">
        <f>Historicals!D124</f>
        <v>267</v>
      </c>
      <c r="E121" s="1">
        <f>Historicals!E124</f>
        <v>244</v>
      </c>
      <c r="F121" s="1">
        <f>Historicals!F124</f>
        <v>237</v>
      </c>
      <c r="G121" s="1">
        <f>Historicals!G124</f>
        <v>214</v>
      </c>
      <c r="H121" s="1">
        <f>Historicals!H124</f>
        <v>190</v>
      </c>
      <c r="I121" s="1">
        <f>Historicals!I124</f>
        <v>234</v>
      </c>
      <c r="J121" s="69">
        <f>I121*(1+J122)</f>
        <v>256.464</v>
      </c>
      <c r="K121" s="69">
        <f t="shared" ref="K121:N121" si="326">J121*(1+K122)</f>
        <v>281.08454399999999</v>
      </c>
      <c r="L121" s="69">
        <f t="shared" si="326"/>
        <v>308.06866022400004</v>
      </c>
      <c r="M121" s="69">
        <f t="shared" si="326"/>
        <v>337.64325160550408</v>
      </c>
      <c r="N121" s="69">
        <f t="shared" si="326"/>
        <v>370.05700375963249</v>
      </c>
      <c r="O121" s="69"/>
    </row>
    <row r="122" spans="1:15" x14ac:dyDescent="0.3">
      <c r="A122" s="42" t="s">
        <v>129</v>
      </c>
      <c r="B122" s="60" t="str">
        <f>IFERROR((B121-A121)/A121,"nm")</f>
        <v>nm</v>
      </c>
      <c r="C122" s="60">
        <f t="shared" ref="C122" si="327">IFERROR((C121-B121)/B121,"nm")</f>
        <v>-2.7397260273972601E-2</v>
      </c>
      <c r="D122" s="60">
        <f t="shared" ref="D122" si="328">IFERROR((D121-C121)/C121,"nm")</f>
        <v>2.76056338028169</v>
      </c>
      <c r="E122" s="60">
        <f t="shared" ref="E122" si="329">IFERROR((E121-D121)/D121,"nm")</f>
        <v>-8.6142322097378279E-2</v>
      </c>
      <c r="F122" s="60">
        <f t="shared" ref="F122" si="330">IFERROR((F121-E121)/E121,"nm")</f>
        <v>-2.8688524590163935E-2</v>
      </c>
      <c r="G122" s="60">
        <f t="shared" ref="G122" si="331">IFERROR((G121-F121)/F121,"nm")</f>
        <v>-9.7046413502109699E-2</v>
      </c>
      <c r="H122" s="60">
        <f t="shared" ref="H122" si="332">IFERROR((H121-G121)/G121,"nm")</f>
        <v>-0.11214953271028037</v>
      </c>
      <c r="I122" s="60">
        <f t="shared" ref="I122" si="333">IFERROR((I121-H121)/H121,"nm")</f>
        <v>0.23157894736842105</v>
      </c>
      <c r="J122" s="71">
        <f>J123+J124</f>
        <v>9.6000000000000002E-2</v>
      </c>
      <c r="K122" s="71">
        <f t="shared" ref="K122:N122" si="334">K123+K124</f>
        <v>9.6000000000000002E-2</v>
      </c>
      <c r="L122" s="71">
        <f t="shared" si="334"/>
        <v>9.6000000000000002E-2</v>
      </c>
      <c r="M122" s="71">
        <f t="shared" si="334"/>
        <v>9.6000000000000002E-2</v>
      </c>
      <c r="N122" s="71">
        <f t="shared" si="334"/>
        <v>9.6000000000000002E-2</v>
      </c>
    </row>
    <row r="123" spans="1:15" x14ac:dyDescent="0.3">
      <c r="A123" s="42" t="s">
        <v>137</v>
      </c>
      <c r="B123" s="59">
        <f>Historicals!B208</f>
        <v>-0.06</v>
      </c>
      <c r="C123" s="59">
        <f>Historicals!C208</f>
        <v>0.03</v>
      </c>
      <c r="D123" s="59">
        <f>Historicals!D208</f>
        <v>-0.06</v>
      </c>
      <c r="E123" s="59">
        <f>Historicals!E208</f>
        <v>-0.08</v>
      </c>
      <c r="F123" s="59">
        <f>Historicals!F208</f>
        <v>0.08</v>
      </c>
      <c r="G123" s="59">
        <f>Historicals!G208</f>
        <v>-0.04</v>
      </c>
      <c r="H123" s="59">
        <f>Historicals!H208</f>
        <v>-0.09</v>
      </c>
      <c r="I123" s="59">
        <f>Historicals!I208</f>
        <v>0.28000000000000003</v>
      </c>
      <c r="J123" s="82">
        <v>9.6000000000000002E-2</v>
      </c>
      <c r="K123" s="82">
        <f>J123*(1+P123)</f>
        <v>9.6000000000000002E-2</v>
      </c>
      <c r="L123" s="82">
        <f>K123*(1+Q123)</f>
        <v>9.6000000000000002E-2</v>
      </c>
      <c r="M123" s="82">
        <f>L123*(1+R123)</f>
        <v>9.6000000000000002E-2</v>
      </c>
      <c r="N123" s="82">
        <f>M123*(1+S123)</f>
        <v>9.6000000000000002E-2</v>
      </c>
      <c r="O123" s="82">
        <v>-0.15</v>
      </c>
    </row>
    <row r="124" spans="1:15" x14ac:dyDescent="0.3">
      <c r="A124" s="42" t="s">
        <v>138</v>
      </c>
      <c r="B124" s="61" t="str">
        <f>IFERROR(B122-B123, "nm")</f>
        <v>nm</v>
      </c>
      <c r="C124" s="61">
        <f t="shared" ref="C124" si="335">IFERROR(C122-C123, "nm")</f>
        <v>-5.73972602739726E-2</v>
      </c>
      <c r="D124" s="61">
        <f t="shared" ref="D124" si="336">IFERROR(D122-D123, "nm")</f>
        <v>2.8205633802816901</v>
      </c>
      <c r="E124" s="61">
        <f t="shared" ref="E124" si="337">IFERROR(E122-E123, "nm")</f>
        <v>-6.1423220973782777E-3</v>
      </c>
      <c r="F124" s="61">
        <f t="shared" ref="F124" si="338">IFERROR(F122-F123, "nm")</f>
        <v>-0.10868852459016394</v>
      </c>
      <c r="G124" s="61">
        <f t="shared" ref="G124" si="339">IFERROR(G122-G123, "nm")</f>
        <v>-5.7046413502109698E-2</v>
      </c>
      <c r="H124" s="61">
        <f t="shared" ref="H124" si="340">IFERROR(H122-H123, "nm")</f>
        <v>-2.2149532710280376E-2</v>
      </c>
      <c r="I124" s="61">
        <f t="shared" ref="I124" si="341">IFERROR(I122-I123, "nm")</f>
        <v>-4.8421052631578976E-2</v>
      </c>
      <c r="J124" s="86">
        <v>0</v>
      </c>
      <c r="K124" s="86">
        <v>0</v>
      </c>
      <c r="L124" s="86">
        <v>0</v>
      </c>
      <c r="M124" s="86">
        <v>0</v>
      </c>
      <c r="N124" s="86">
        <v>0</v>
      </c>
      <c r="O124" s="86"/>
    </row>
    <row r="125" spans="1:15" x14ac:dyDescent="0.3">
      <c r="A125" s="9" t="s">
        <v>130</v>
      </c>
      <c r="B125" s="1">
        <f>Historicals!B139+Historicals!B172</f>
        <v>122</v>
      </c>
      <c r="C125" s="1">
        <f>Historicals!C139+Historicals!C172</f>
        <v>192</v>
      </c>
      <c r="D125" s="1">
        <f>Historicals!D139+Historicals!D172</f>
        <v>1034</v>
      </c>
      <c r="E125" s="1">
        <f>Historicals!E139+Historicals!E172</f>
        <v>1244</v>
      </c>
      <c r="F125" s="1">
        <f>Historicals!F139+Historicals!F172</f>
        <v>1376</v>
      </c>
      <c r="G125" s="1">
        <f>Historicals!G139+Historicals!G172</f>
        <v>1230</v>
      </c>
      <c r="H125" s="1">
        <f>Historicals!H139+Historicals!H172</f>
        <v>1573</v>
      </c>
      <c r="I125" s="1">
        <f>Historicals!I139+Historicals!I172</f>
        <v>1938</v>
      </c>
      <c r="J125" s="69">
        <f>J111*J127</f>
        <v>2133.5689509937029</v>
      </c>
      <c r="K125" s="69">
        <f t="shared" ref="K125:N125" si="342">K111*K127</f>
        <v>2322.7136465962153</v>
      </c>
      <c r="L125" s="69">
        <f t="shared" si="342"/>
        <v>2421.3633251287415</v>
      </c>
      <c r="M125" s="69">
        <f t="shared" si="342"/>
        <v>2515.8029617176389</v>
      </c>
      <c r="N125" s="69">
        <f t="shared" si="342"/>
        <v>2605.2565362123619</v>
      </c>
      <c r="O125" s="69"/>
    </row>
    <row r="126" spans="1:15" x14ac:dyDescent="0.3">
      <c r="A126" s="44" t="s">
        <v>129</v>
      </c>
      <c r="B126" s="60" t="str">
        <f>IFERROR((B125-A125)/A125,"nm")</f>
        <v>nm</v>
      </c>
      <c r="C126" s="60">
        <f t="shared" ref="C126" si="343">IFERROR((C125-B125)/B125,"nm")</f>
        <v>0.57377049180327866</v>
      </c>
      <c r="D126" s="60">
        <f t="shared" ref="D126" si="344">IFERROR((D125-C125)/C125,"nm")</f>
        <v>4.385416666666667</v>
      </c>
      <c r="E126" s="60">
        <f t="shared" ref="E126" si="345">IFERROR((E125-D125)/D125,"nm")</f>
        <v>0.20309477756286268</v>
      </c>
      <c r="F126" s="60">
        <f t="shared" ref="F126" si="346">IFERROR((F125-E125)/E125,"nm")</f>
        <v>0.10610932475884244</v>
      </c>
      <c r="G126" s="60">
        <f t="shared" ref="G126" si="347">IFERROR((G125-F125)/F125,"nm")</f>
        <v>-0.10610465116279069</v>
      </c>
      <c r="H126" s="60">
        <f t="shared" ref="H126" si="348">IFERROR((H125-G125)/G125,"nm")</f>
        <v>0.27886178861788619</v>
      </c>
      <c r="I126" s="60">
        <f t="shared" ref="I126" si="349">IFERROR((I125-H125)/H125,"nm")</f>
        <v>0.23204068658614113</v>
      </c>
      <c r="J126" s="71">
        <f t="shared" ref="J126" si="350">IFERROR((J125-I125)/I125,"nm")</f>
        <v>0.10091277141057939</v>
      </c>
      <c r="K126" s="71">
        <f t="shared" ref="K126" si="351">IFERROR((K125-J125)/J125,"nm")</f>
        <v>8.865178484830262E-2</v>
      </c>
      <c r="L126" s="71">
        <f t="shared" ref="L126" si="352">IFERROR((L125-K125)/K125,"nm")</f>
        <v>4.2471735022993833E-2</v>
      </c>
      <c r="M126" s="71">
        <f t="shared" ref="M126" si="353">IFERROR((M125-L125)/L125,"nm")</f>
        <v>3.9002670771795957E-2</v>
      </c>
      <c r="N126" s="71">
        <f t="shared" ref="N126" si="354">IFERROR((N125-M125)/M125,"nm")</f>
        <v>3.5556669522977834E-2</v>
      </c>
    </row>
    <row r="127" spans="1:15" x14ac:dyDescent="0.3">
      <c r="A127" s="44" t="s">
        <v>131</v>
      </c>
      <c r="B127" s="59">
        <f>IFERROR(B125/B$111, "nm")</f>
        <v>0.16158940397350993</v>
      </c>
      <c r="C127" s="59">
        <f t="shared" ref="C127:I127" si="355">IFERROR(C125/C$111, "nm")</f>
        <v>0.22094361334867663</v>
      </c>
      <c r="D127" s="59">
        <f t="shared" si="355"/>
        <v>0.21828161283512773</v>
      </c>
      <c r="E127" s="59">
        <f t="shared" si="355"/>
        <v>0.2408052651955091</v>
      </c>
      <c r="F127" s="59">
        <f t="shared" si="355"/>
        <v>0.26189569851541683</v>
      </c>
      <c r="G127" s="59">
        <f t="shared" si="355"/>
        <v>0.24463007159904535</v>
      </c>
      <c r="H127" s="59">
        <f t="shared" si="355"/>
        <v>0.2944038929440389</v>
      </c>
      <c r="I127" s="59">
        <f t="shared" si="355"/>
        <v>0.32544080604534004</v>
      </c>
      <c r="J127" s="70">
        <f>I127*(1+$O$127)</f>
        <v>0.32218639798488663</v>
      </c>
      <c r="K127" s="70">
        <f t="shared" ref="K127:N127" si="356">J127*(1+$O$127)</f>
        <v>0.31896453400503777</v>
      </c>
      <c r="L127" s="70">
        <f t="shared" si="356"/>
        <v>0.31577488866498737</v>
      </c>
      <c r="M127" s="70">
        <f t="shared" si="356"/>
        <v>0.31261713977833749</v>
      </c>
      <c r="N127" s="70">
        <f t="shared" si="356"/>
        <v>0.30949096838055412</v>
      </c>
      <c r="O127" s="70">
        <v>-0.01</v>
      </c>
    </row>
    <row r="128" spans="1:15" x14ac:dyDescent="0.3">
      <c r="A128" s="9" t="s">
        <v>132</v>
      </c>
      <c r="B128" s="1">
        <f>Historicals!B172</f>
        <v>22</v>
      </c>
      <c r="C128" s="1">
        <f>Historicals!C172</f>
        <v>18</v>
      </c>
      <c r="D128" s="1">
        <f>Historicals!D172</f>
        <v>54</v>
      </c>
      <c r="E128" s="1">
        <f>Historicals!E172</f>
        <v>55</v>
      </c>
      <c r="F128" s="1">
        <f>Historicals!F172</f>
        <v>53</v>
      </c>
      <c r="G128" s="1">
        <f>Historicals!G172</f>
        <v>46</v>
      </c>
      <c r="H128" s="1">
        <f>Historicals!H172</f>
        <v>43</v>
      </c>
      <c r="I128" s="1">
        <f>Historicals!I172</f>
        <v>42</v>
      </c>
      <c r="J128" s="69">
        <f>J111*J130</f>
        <v>47.172444205289672</v>
      </c>
      <c r="K128" s="69">
        <f t="shared" ref="K128:N128" si="357">K111*K130</f>
        <v>52.39182751064952</v>
      </c>
      <c r="L128" s="69">
        <f t="shared" si="357"/>
        <v>55.72037304981086</v>
      </c>
      <c r="M128" s="69">
        <f t="shared" si="357"/>
        <v>59.063184423541244</v>
      </c>
      <c r="N128" s="69">
        <f t="shared" si="357"/>
        <v>62.398896261206495</v>
      </c>
      <c r="O128" s="69"/>
    </row>
    <row r="129" spans="1:15" x14ac:dyDescent="0.3">
      <c r="A129" s="44" t="s">
        <v>129</v>
      </c>
      <c r="B129" s="60" t="str">
        <f>IFERROR((B128-A128)/A128,"nm")</f>
        <v>nm</v>
      </c>
      <c r="C129" s="60">
        <f t="shared" ref="C129" si="358">IFERROR((C128-B128)/B128,"nm")</f>
        <v>-0.18181818181818182</v>
      </c>
      <c r="D129" s="60">
        <f t="shared" ref="D129" si="359">IFERROR((D128-C128)/C128,"nm")</f>
        <v>2</v>
      </c>
      <c r="E129" s="60">
        <f t="shared" ref="E129" si="360">IFERROR((E128-D128)/D128,"nm")</f>
        <v>1.8518518518518517E-2</v>
      </c>
      <c r="F129" s="60">
        <f t="shared" ref="F129" si="361">IFERROR((F128-E128)/E128,"nm")</f>
        <v>-3.6363636363636362E-2</v>
      </c>
      <c r="G129" s="60">
        <f t="shared" ref="G129" si="362">IFERROR((G128-F128)/F128,"nm")</f>
        <v>-0.13207547169811321</v>
      </c>
      <c r="H129" s="60">
        <f t="shared" ref="H129" si="363">IFERROR((H128-G128)/G128,"nm")</f>
        <v>-6.5217391304347824E-2</v>
      </c>
      <c r="I129" s="60">
        <f t="shared" ref="I129" si="364">IFERROR((I128-H128)/H128,"nm")</f>
        <v>-2.3255813953488372E-2</v>
      </c>
      <c r="J129" s="83">
        <f t="shared" ref="J129" si="365">IFERROR((J128-I128)/I128,"nm")</f>
        <v>0.1231534334592779</v>
      </c>
      <c r="K129" s="83">
        <f t="shared" ref="K129" si="366">IFERROR((K128-J128)/J128,"nm")</f>
        <v>0.11064475019877333</v>
      </c>
      <c r="L129" s="83">
        <f t="shared" ref="L129" si="367">IFERROR((L128-K128)/K128,"nm")</f>
        <v>6.3531770073963476E-2</v>
      </c>
      <c r="M129" s="83">
        <f t="shared" ref="M129" si="368">IFERROR((M128-L128)/L128,"nm")</f>
        <v>5.99926237166808E-2</v>
      </c>
      <c r="N129" s="83">
        <f t="shared" ref="N129" si="369">IFERROR((N128-M128)/M128,"nm")</f>
        <v>5.6477006281017789E-2</v>
      </c>
      <c r="O129" s="83"/>
    </row>
    <row r="130" spans="1:15" x14ac:dyDescent="0.3">
      <c r="A130" s="44" t="s">
        <v>133</v>
      </c>
      <c r="B130" s="59">
        <f>IFERROR(B128/B$111, "nm")</f>
        <v>2.9139072847682121E-2</v>
      </c>
      <c r="C130" s="59">
        <f t="shared" ref="C130:I130" si="370">IFERROR(C128/C$111, "nm")</f>
        <v>2.0713463751438434E-2</v>
      </c>
      <c r="D130" s="59">
        <f t="shared" si="370"/>
        <v>1.1399620012666244E-2</v>
      </c>
      <c r="E130" s="59">
        <f t="shared" si="370"/>
        <v>1.064653503677894E-2</v>
      </c>
      <c r="F130" s="59">
        <f t="shared" si="370"/>
        <v>1.0087552341073468E-2</v>
      </c>
      <c r="G130" s="59">
        <f t="shared" si="370"/>
        <v>9.148766905330152E-3</v>
      </c>
      <c r="H130" s="59">
        <f t="shared" si="370"/>
        <v>8.0479131574022079E-3</v>
      </c>
      <c r="I130" s="59">
        <f t="shared" si="370"/>
        <v>7.0528967254408059E-3</v>
      </c>
      <c r="J130" s="84">
        <f>I130*(1+$O$130)</f>
        <v>7.1234256926952138E-3</v>
      </c>
      <c r="K130" s="84">
        <f t="shared" ref="K130:N130" si="371">J130*(1+$O$130)</f>
        <v>7.1946599496221656E-3</v>
      </c>
      <c r="L130" s="84">
        <f t="shared" si="371"/>
        <v>7.2666065491183872E-3</v>
      </c>
      <c r="M130" s="84">
        <f t="shared" si="371"/>
        <v>7.3392726146095707E-3</v>
      </c>
      <c r="N130" s="84">
        <f t="shared" si="371"/>
        <v>7.4126653407556664E-3</v>
      </c>
      <c r="O130" s="84">
        <v>0.01</v>
      </c>
    </row>
    <row r="131" spans="1:15" x14ac:dyDescent="0.3">
      <c r="A131" s="9" t="s">
        <v>134</v>
      </c>
      <c r="B131" s="1">
        <f>B125-B128</f>
        <v>100</v>
      </c>
      <c r="C131" s="1">
        <f t="shared" ref="C131:N131" si="372">C125-C128</f>
        <v>174</v>
      </c>
      <c r="D131" s="1">
        <f t="shared" si="372"/>
        <v>980</v>
      </c>
      <c r="E131" s="1">
        <f t="shared" si="372"/>
        <v>1189</v>
      </c>
      <c r="F131" s="1">
        <f t="shared" si="372"/>
        <v>1323</v>
      </c>
      <c r="G131" s="1">
        <f t="shared" si="372"/>
        <v>1184</v>
      </c>
      <c r="H131" s="1">
        <f t="shared" si="372"/>
        <v>1530</v>
      </c>
      <c r="I131" s="1">
        <f t="shared" si="372"/>
        <v>1896</v>
      </c>
      <c r="J131" s="123">
        <f t="shared" si="372"/>
        <v>2086.3965067884133</v>
      </c>
      <c r="K131" s="123">
        <f t="shared" si="372"/>
        <v>2270.3218190855659</v>
      </c>
      <c r="L131" s="123">
        <f t="shared" si="372"/>
        <v>2365.6429520789306</v>
      </c>
      <c r="M131" s="123">
        <f t="shared" si="372"/>
        <v>2456.7397772940976</v>
      </c>
      <c r="N131" s="123">
        <f t="shared" si="372"/>
        <v>2542.8576399511553</v>
      </c>
    </row>
    <row r="132" spans="1:15" x14ac:dyDescent="0.3">
      <c r="A132" s="44" t="s">
        <v>129</v>
      </c>
      <c r="B132" s="60" t="str">
        <f>IFERROR((B131-A131)/A131,"nm")</f>
        <v>nm</v>
      </c>
      <c r="C132" s="60">
        <f t="shared" ref="C132" si="373">IFERROR((C131-B131)/B131,"nm")</f>
        <v>0.74</v>
      </c>
      <c r="D132" s="60">
        <f t="shared" ref="D132" si="374">IFERROR((D131-C131)/C131,"nm")</f>
        <v>4.6321839080459766</v>
      </c>
      <c r="E132" s="60">
        <f t="shared" ref="E132" si="375">IFERROR((E131-D131)/D131,"nm")</f>
        <v>0.21326530612244898</v>
      </c>
      <c r="F132" s="60">
        <f t="shared" ref="F132" si="376">IFERROR((F131-E131)/E131,"nm")</f>
        <v>0.11269974768713205</v>
      </c>
      <c r="G132" s="60">
        <f t="shared" ref="G132" si="377">IFERROR((G131-F131)/F131,"nm")</f>
        <v>-0.10506424792139078</v>
      </c>
      <c r="H132" s="60">
        <f t="shared" ref="H132" si="378">IFERROR((H131-G131)/G131,"nm")</f>
        <v>0.29222972972972971</v>
      </c>
      <c r="I132" s="60">
        <f t="shared" ref="I132" si="379">IFERROR((I131-H131)/H131,"nm")</f>
        <v>0.23921568627450981</v>
      </c>
      <c r="J132" s="71">
        <f t="shared" ref="J132" si="380">IFERROR((J131-I131)/I131,"nm")</f>
        <v>0.1004200985170956</v>
      </c>
      <c r="K132" s="71">
        <f t="shared" ref="K132" si="381">IFERROR((K131-J131)/J131,"nm")</f>
        <v>8.8154534240602531E-2</v>
      </c>
      <c r="L132" s="71">
        <f t="shared" ref="L132" si="382">IFERROR((L131-K131)/K131,"nm")</f>
        <v>4.1985736203582751E-2</v>
      </c>
      <c r="M132" s="71">
        <f t="shared" ref="M132" si="383">IFERROR((M131-L131)/L131,"nm")</f>
        <v>3.8508273251933872E-2</v>
      </c>
      <c r="N132" s="71">
        <f t="shared" ref="N132" si="384">IFERROR((N131-M131)/M131,"nm")</f>
        <v>3.5053717716863615E-2</v>
      </c>
      <c r="O132" s="71"/>
    </row>
    <row r="133" spans="1:15" x14ac:dyDescent="0.3">
      <c r="A133" s="44" t="s">
        <v>131</v>
      </c>
      <c r="B133" s="59">
        <f>IFERROR(B131/B$111, "nm")</f>
        <v>0.13245033112582782</v>
      </c>
      <c r="C133" s="59">
        <f t="shared" ref="C133:I133" si="385">IFERROR(C131/C$111, "nm")</f>
        <v>0.2002301495972382</v>
      </c>
      <c r="D133" s="59">
        <f t="shared" si="385"/>
        <v>0.20688199282246147</v>
      </c>
      <c r="E133" s="59">
        <f t="shared" si="385"/>
        <v>0.23015873015873015</v>
      </c>
      <c r="F133" s="59">
        <f t="shared" si="385"/>
        <v>0.25180814617434338</v>
      </c>
      <c r="G133" s="59">
        <f t="shared" si="385"/>
        <v>0.2354813046937152</v>
      </c>
      <c r="H133" s="59">
        <f t="shared" si="385"/>
        <v>0.28635597978663674</v>
      </c>
      <c r="I133" s="59">
        <f t="shared" si="385"/>
        <v>0.31838790931989924</v>
      </c>
      <c r="J133" s="70">
        <f>AVERAGE(D133:I133)*(1+$O$133)</f>
        <v>0.25611990554509417</v>
      </c>
      <c r="K133" s="70">
        <f t="shared" ref="K133:N133" si="386">AVERAGE(E133:J133)*(1+$O$133)</f>
        <v>0.26436725592613514</v>
      </c>
      <c r="L133" s="70">
        <f t="shared" si="386"/>
        <v>0.27009718399217547</v>
      </c>
      <c r="M133" s="70">
        <f t="shared" si="386"/>
        <v>0.27316059782666241</v>
      </c>
      <c r="N133" s="70">
        <f t="shared" si="386"/>
        <v>0.27947187942643104</v>
      </c>
      <c r="O133" s="70">
        <v>5.0000000000000001E-3</v>
      </c>
    </row>
    <row r="134" spans="1:15" x14ac:dyDescent="0.3">
      <c r="A134" s="9" t="s">
        <v>135</v>
      </c>
      <c r="B134" s="1">
        <f>Historicals!B161</f>
        <v>15</v>
      </c>
      <c r="C134" s="1">
        <f>Historicals!C161</f>
        <v>62</v>
      </c>
      <c r="D134" s="1">
        <f>Historicals!D161</f>
        <v>59</v>
      </c>
      <c r="E134" s="1">
        <f>Historicals!E161</f>
        <v>49</v>
      </c>
      <c r="F134" s="1">
        <f>Historicals!F161</f>
        <v>47</v>
      </c>
      <c r="G134" s="1">
        <f>Historicals!G161</f>
        <v>41</v>
      </c>
      <c r="H134" s="1">
        <f>Historicals!H161</f>
        <v>54</v>
      </c>
      <c r="I134" s="1">
        <f>Historicals!I161</f>
        <v>56</v>
      </c>
      <c r="J134" s="69">
        <f>J111*J136</f>
        <v>62.585223005037776</v>
      </c>
      <c r="K134" s="69">
        <f t="shared" ref="K134:N134" si="387">K111*K136</f>
        <v>69.16584071031437</v>
      </c>
      <c r="L134" s="69">
        <f t="shared" si="387"/>
        <v>73.195910241872184</v>
      </c>
      <c r="M134" s="69">
        <f t="shared" si="387"/>
        <v>77.203030264679043</v>
      </c>
      <c r="N134" s="69">
        <f t="shared" si="387"/>
        <v>81.159447941881353</v>
      </c>
      <c r="O134" s="69"/>
    </row>
    <row r="135" spans="1:15" x14ac:dyDescent="0.3">
      <c r="A135" s="44" t="s">
        <v>129</v>
      </c>
      <c r="B135" s="60" t="str">
        <f>IFERROR((B134-A134)/A134,"nm")</f>
        <v>nm</v>
      </c>
      <c r="C135" s="60">
        <f t="shared" ref="C135" si="388">IFERROR((C134-B134)/B134,"nm")</f>
        <v>3.1333333333333333</v>
      </c>
      <c r="D135" s="60">
        <f t="shared" ref="D135" si="389">IFERROR((D134-C134)/C134,"nm")</f>
        <v>-4.8387096774193547E-2</v>
      </c>
      <c r="E135" s="60">
        <f t="shared" ref="E135" si="390">IFERROR((E134-D134)/D134,"nm")</f>
        <v>-0.16949152542372881</v>
      </c>
      <c r="F135" s="60">
        <f t="shared" ref="F135" si="391">IFERROR((F134-E134)/E134,"nm")</f>
        <v>-4.0816326530612242E-2</v>
      </c>
      <c r="G135" s="60">
        <f t="shared" ref="G135" si="392">IFERROR((G134-F134)/F134,"nm")</f>
        <v>-0.1276595744680851</v>
      </c>
      <c r="H135" s="60">
        <f t="shared" ref="H135" si="393">IFERROR((H134-G134)/G134,"nm")</f>
        <v>0.31707317073170732</v>
      </c>
      <c r="I135" s="60">
        <f t="shared" ref="I135" si="394">IFERROR((I134-H134)/H134,"nm")</f>
        <v>3.7037037037037035E-2</v>
      </c>
      <c r="J135" s="83">
        <f t="shared" ref="J135" si="395">IFERROR((J134-I134)/I134,"nm")</f>
        <v>0.11759326794710313</v>
      </c>
      <c r="K135" s="83">
        <f t="shared" ref="K135" si="396">IFERROR((K134-J134)/J134,"nm")</f>
        <v>0.10514650886115545</v>
      </c>
      <c r="L135" s="83">
        <f t="shared" ref="L135" si="397">IFERROR((L134-K134)/K134,"nm")</f>
        <v>5.8266761311220917E-2</v>
      </c>
      <c r="M135" s="83">
        <f t="shared" ref="M135" si="398">IFERROR((M134-L134)/L134,"nm")</f>
        <v>5.4745135480459679E-2</v>
      </c>
      <c r="N135" s="83">
        <f t="shared" ref="N135" si="399">IFERROR((N134-M134)/M134,"nm")</f>
        <v>5.12469220915076E-2</v>
      </c>
      <c r="O135" s="83"/>
    </row>
    <row r="136" spans="1:15" x14ac:dyDescent="0.3">
      <c r="A136" s="44" t="s">
        <v>133</v>
      </c>
      <c r="B136" s="59">
        <f>IFERROR(B134/B$111, "nm")</f>
        <v>1.9867549668874173E-2</v>
      </c>
      <c r="C136" s="59">
        <f t="shared" ref="C136:I136" si="400">IFERROR(C134/C$111, "nm")</f>
        <v>7.1346375143843496E-2</v>
      </c>
      <c r="D136" s="59">
        <f t="shared" si="400"/>
        <v>1.2455140384209416E-2</v>
      </c>
      <c r="E136" s="59">
        <f t="shared" si="400"/>
        <v>9.485094850948509E-3</v>
      </c>
      <c r="F136" s="59">
        <f t="shared" si="400"/>
        <v>8.9455652835934533E-3</v>
      </c>
      <c r="G136" s="59">
        <f t="shared" si="400"/>
        <v>8.1543357199681775E-3</v>
      </c>
      <c r="H136" s="59">
        <f t="shared" si="400"/>
        <v>1.0106681639528355E-2</v>
      </c>
      <c r="I136" s="59">
        <f t="shared" si="400"/>
        <v>9.4038623005877411E-3</v>
      </c>
      <c r="J136" s="70">
        <f>I136*(1+$O$136)</f>
        <v>9.450881612090678E-3</v>
      </c>
      <c r="K136" s="70">
        <f t="shared" ref="K136:N136" si="401">J136*(1+$O$136)</f>
        <v>9.4981360201511298E-3</v>
      </c>
      <c r="L136" s="70">
        <f t="shared" si="401"/>
        <v>9.545626700251884E-3</v>
      </c>
      <c r="M136" s="70">
        <f t="shared" si="401"/>
        <v>9.593354833753143E-3</v>
      </c>
      <c r="N136" s="70">
        <f t="shared" si="401"/>
        <v>9.6413216079219086E-3</v>
      </c>
      <c r="O136" s="70">
        <v>5.0000000000000001E-3</v>
      </c>
    </row>
    <row r="137" spans="1:15" x14ac:dyDescent="0.3">
      <c r="A137" s="66" t="s">
        <v>146</v>
      </c>
      <c r="B137" s="68">
        <f>Historicals!B150</f>
        <v>205</v>
      </c>
      <c r="C137" s="68">
        <f>Historicals!C150</f>
        <v>223</v>
      </c>
      <c r="D137" s="68">
        <f>Historicals!D150</f>
        <v>340</v>
      </c>
      <c r="E137" s="68">
        <f>Historicals!E150</f>
        <v>339</v>
      </c>
      <c r="F137" s="68">
        <f>Historicals!F150</f>
        <v>326</v>
      </c>
      <c r="G137" s="68">
        <f>Historicals!G150</f>
        <v>296</v>
      </c>
      <c r="H137" s="68">
        <f>Historicals!H150</f>
        <v>304</v>
      </c>
      <c r="I137" s="68">
        <f>Historicals!I150</f>
        <v>274</v>
      </c>
      <c r="J137" s="124">
        <f>J111*J139</f>
        <v>306.22055541750632</v>
      </c>
      <c r="K137" s="124">
        <f t="shared" ref="K137:N137" si="402">K111*K139</f>
        <v>338.4185777611811</v>
      </c>
      <c r="L137" s="124">
        <f t="shared" si="402"/>
        <v>358.13713225487476</v>
      </c>
      <c r="M137" s="124">
        <f t="shared" si="402"/>
        <v>377.74339808075109</v>
      </c>
      <c r="N137" s="124">
        <f t="shared" si="402"/>
        <v>397.10158457277674</v>
      </c>
      <c r="O137" s="124"/>
    </row>
    <row r="138" spans="1:15" x14ac:dyDescent="0.3">
      <c r="A138" s="65" t="s">
        <v>129</v>
      </c>
      <c r="B138" s="60" t="str">
        <f>IFERROR((B137-A137)/A137,"nm")</f>
        <v>nm</v>
      </c>
      <c r="C138" s="60">
        <f t="shared" ref="C138:I138" si="403">IFERROR((C137-B137)/B137,"nm")</f>
        <v>8.7804878048780483E-2</v>
      </c>
      <c r="D138" s="60">
        <f t="shared" si="403"/>
        <v>0.5246636771300448</v>
      </c>
      <c r="E138" s="60">
        <f t="shared" si="403"/>
        <v>-2.9411764705882353E-3</v>
      </c>
      <c r="F138" s="60">
        <f t="shared" si="403"/>
        <v>-3.8348082595870206E-2</v>
      </c>
      <c r="G138" s="60">
        <f t="shared" si="403"/>
        <v>-9.202453987730061E-2</v>
      </c>
      <c r="H138" s="60">
        <f t="shared" si="403"/>
        <v>2.7027027027027029E-2</v>
      </c>
      <c r="I138" s="60">
        <f t="shared" si="403"/>
        <v>-9.8684210526315791E-2</v>
      </c>
      <c r="J138" s="83">
        <f t="shared" ref="J138" si="404">IFERROR((J137-I137)/I137,"nm")</f>
        <v>0.11759326794710336</v>
      </c>
      <c r="K138" s="83">
        <f t="shared" ref="K138" si="405">IFERROR((K137-J137)/J137,"nm")</f>
        <v>0.10514650886115548</v>
      </c>
      <c r="L138" s="83">
        <f t="shared" ref="L138" si="406">IFERROR((L137-K137)/K137,"nm")</f>
        <v>5.8266761311221112E-2</v>
      </c>
      <c r="M138" s="83">
        <f t="shared" ref="M138" si="407">IFERROR((M137-L137)/L137,"nm")</f>
        <v>5.474513548045943E-2</v>
      </c>
      <c r="N138" s="83">
        <f t="shared" ref="N138" si="408">IFERROR((N137-M137)/M137,"nm")</f>
        <v>5.124692209150776E-2</v>
      </c>
      <c r="O138" s="83"/>
    </row>
    <row r="139" spans="1:15" x14ac:dyDescent="0.3">
      <c r="A139" s="65" t="s">
        <v>133</v>
      </c>
      <c r="B139" s="59">
        <f>IFERROR(B137/B$111, "nm")</f>
        <v>0.27152317880794702</v>
      </c>
      <c r="C139" s="59">
        <f t="shared" ref="C139:I139" si="409">IFERROR(C137/C$111, "nm")</f>
        <v>0.25661680092059841</v>
      </c>
      <c r="D139" s="59">
        <f t="shared" si="409"/>
        <v>7.1775385264935612E-2</v>
      </c>
      <c r="E139" s="59">
        <f t="shared" si="409"/>
        <v>6.5621370499419282E-2</v>
      </c>
      <c r="F139" s="59">
        <f t="shared" si="409"/>
        <v>6.2047963456414161E-2</v>
      </c>
      <c r="G139" s="59">
        <f t="shared" si="409"/>
        <v>5.88703261734288E-2</v>
      </c>
      <c r="H139" s="59">
        <f t="shared" si="409"/>
        <v>5.6896874415122589E-2</v>
      </c>
      <c r="I139" s="59">
        <f t="shared" si="409"/>
        <v>4.6011754827875735E-2</v>
      </c>
      <c r="J139" s="74">
        <f>I139*(1+$O$139)</f>
        <v>4.6241813602015111E-2</v>
      </c>
      <c r="K139" s="74">
        <f t="shared" ref="K139:N139" si="410">J139*(1+$O$139)</f>
        <v>4.6473022670025184E-2</v>
      </c>
      <c r="L139" s="74">
        <f t="shared" si="410"/>
        <v>4.6705387783375303E-2</v>
      </c>
      <c r="M139" s="74">
        <f t="shared" si="410"/>
        <v>4.6938914722292176E-2</v>
      </c>
      <c r="N139" s="74">
        <f t="shared" si="410"/>
        <v>4.7173609295903633E-2</v>
      </c>
      <c r="O139" s="74">
        <v>5.0000000000000001E-3</v>
      </c>
    </row>
    <row r="140" spans="1:15" x14ac:dyDescent="0.3">
      <c r="A140" s="41" t="str">
        <f>Historicals!A125</f>
        <v>Global Brand Divisions</v>
      </c>
      <c r="B140" s="41"/>
      <c r="C140" s="41"/>
      <c r="D140" s="41"/>
      <c r="E140" s="41"/>
      <c r="F140" s="41"/>
      <c r="G140" s="41"/>
      <c r="H140" s="41"/>
      <c r="I140" s="41"/>
      <c r="J140" s="73"/>
      <c r="K140" s="73"/>
      <c r="L140" s="73"/>
      <c r="M140" s="73"/>
      <c r="N140" s="73"/>
      <c r="O140" s="73"/>
    </row>
    <row r="141" spans="1:15" x14ac:dyDescent="0.3">
      <c r="A141" s="9" t="s">
        <v>136</v>
      </c>
      <c r="B141" s="1">
        <f>Historicals!B125</f>
        <v>115</v>
      </c>
      <c r="C141" s="1">
        <f>Historicals!C125</f>
        <v>73</v>
      </c>
      <c r="D141" s="1">
        <f>Historicals!D125</f>
        <v>73</v>
      </c>
      <c r="E141" s="1">
        <f>Historicals!E125</f>
        <v>88</v>
      </c>
      <c r="F141" s="1">
        <f>Historicals!F125</f>
        <v>42</v>
      </c>
      <c r="G141" s="1">
        <f>Historicals!G125</f>
        <v>30</v>
      </c>
      <c r="H141" s="1">
        <f>Historicals!H125</f>
        <v>25</v>
      </c>
      <c r="I141" s="1">
        <f>Historicals!I125</f>
        <v>102</v>
      </c>
      <c r="J141" s="69">
        <f>I141*(1+J142)</f>
        <v>93.06609523809523</v>
      </c>
      <c r="K141" s="69">
        <f t="shared" ref="K141:N141" si="411">J141*(1+K142)</f>
        <v>84.300056927790365</v>
      </c>
      <c r="L141" s="69">
        <f t="shared" si="411"/>
        <v>76.156049957246651</v>
      </c>
      <c r="M141" s="69">
        <f t="shared" si="411"/>
        <v>76.862743089661734</v>
      </c>
      <c r="N141" s="69">
        <f t="shared" si="411"/>
        <v>77.327812303470637</v>
      </c>
    </row>
    <row r="142" spans="1:15" x14ac:dyDescent="0.3">
      <c r="A142" s="42" t="s">
        <v>129</v>
      </c>
      <c r="B142" s="60" t="str">
        <f>IFERROR((B141-A141)/A141,"nm")</f>
        <v>nm</v>
      </c>
      <c r="C142" s="60">
        <f>IFERROR((C141-B141)/B141,"nm")</f>
        <v>-0.36521739130434783</v>
      </c>
      <c r="D142" s="60">
        <f t="shared" ref="D142" si="412">IFERROR((D141-C141)/C141,"nm")</f>
        <v>0</v>
      </c>
      <c r="E142" s="60">
        <f t="shared" ref="E142" si="413">IFERROR((E141-D141)/D141,"nm")</f>
        <v>0.20547945205479451</v>
      </c>
      <c r="F142" s="60">
        <f t="shared" ref="F142" si="414">IFERROR((F141-E141)/E141,"nm")</f>
        <v>-0.52272727272727271</v>
      </c>
      <c r="G142" s="60">
        <f t="shared" ref="G142" si="415">IFERROR((G141-F141)/F141,"nm")</f>
        <v>-0.2857142857142857</v>
      </c>
      <c r="H142" s="60">
        <f t="shared" ref="H142" si="416">IFERROR((H141-G141)/G141,"nm")</f>
        <v>-0.16666666666666666</v>
      </c>
      <c r="I142" s="60">
        <f t="shared" ref="I142" si="417">IFERROR((I141-H141)/H141,"nm")</f>
        <v>3.08</v>
      </c>
      <c r="J142" s="70">
        <f>AVERAGE(G142:I142)*(1+$O$142)</f>
        <v>-8.7587301587301658E-2</v>
      </c>
      <c r="K142" s="70">
        <f t="shared" ref="K142:N142" si="418">AVERAGE(H142:J142)*(1+$O$142)</f>
        <v>-9.4191534391534493E-2</v>
      </c>
      <c r="L142" s="70">
        <f t="shared" si="418"/>
        <v>-9.6607372134038874E-2</v>
      </c>
      <c r="M142" s="70">
        <f t="shared" si="418"/>
        <v>9.2795402704291749E-3</v>
      </c>
      <c r="N142" s="70">
        <f t="shared" si="418"/>
        <v>6.050645541838145E-3</v>
      </c>
      <c r="O142" s="71">
        <v>-1.1000000000000001</v>
      </c>
    </row>
    <row r="143" spans="1:15" x14ac:dyDescent="0.3">
      <c r="A143" s="9" t="s">
        <v>130</v>
      </c>
      <c r="B143" s="64">
        <f>Historicals!B140+Historicals!B173</f>
        <v>-2057</v>
      </c>
      <c r="C143" s="64">
        <f>Historicals!C140+Historicals!C173</f>
        <v>-2366</v>
      </c>
      <c r="D143" s="64">
        <f>Historicals!D140+Historicals!D173</f>
        <v>-2444</v>
      </c>
      <c r="E143" s="64">
        <f>Historicals!E140+Historicals!E173</f>
        <v>-2441</v>
      </c>
      <c r="F143" s="64">
        <f>Historicals!F140+Historicals!F173</f>
        <v>-3067</v>
      </c>
      <c r="G143" s="64">
        <f>Historicals!G140+Historicals!G173</f>
        <v>-3254</v>
      </c>
      <c r="H143" s="64">
        <f>Historicals!H140+Historicals!H173</f>
        <v>-3434</v>
      </c>
      <c r="I143" s="64">
        <f>Historicals!I140+Historicals!I173</f>
        <v>-4042</v>
      </c>
      <c r="J143" s="76">
        <f>J141*J145</f>
        <v>-4056.7693396825398</v>
      </c>
      <c r="K143" s="76">
        <f t="shared" ref="K143:N143" si="419">K141*K145</f>
        <v>-4042.1216119958408</v>
      </c>
      <c r="L143" s="76">
        <f t="shared" si="419"/>
        <v>-4016.7851517361892</v>
      </c>
      <c r="M143" s="76">
        <f t="shared" si="419"/>
        <v>-4459.4649784403264</v>
      </c>
      <c r="N143" s="76">
        <f t="shared" si="419"/>
        <v>-4935.0923823642206</v>
      </c>
    </row>
    <row r="144" spans="1:15" x14ac:dyDescent="0.3">
      <c r="A144" s="44" t="s">
        <v>129</v>
      </c>
      <c r="B144" s="60" t="str">
        <f>IFERROR((B143-A143)/A143,"nm")</f>
        <v>nm</v>
      </c>
      <c r="C144" s="60">
        <f t="shared" ref="C144" si="420">IFERROR((C143-B143)/B143,"nm")</f>
        <v>0.15021876519202723</v>
      </c>
      <c r="D144" s="60">
        <f t="shared" ref="D144" si="421">IFERROR((D143-C143)/C143,"nm")</f>
        <v>3.2967032967032968E-2</v>
      </c>
      <c r="E144" s="60">
        <f t="shared" ref="E144" si="422">IFERROR((E143-D143)/D143,"nm")</f>
        <v>-1.2274959083469722E-3</v>
      </c>
      <c r="F144" s="60">
        <f t="shared" ref="F144" si="423">IFERROR((F143-E143)/E143,"nm")</f>
        <v>0.25645227365833673</v>
      </c>
      <c r="G144" s="60">
        <f t="shared" ref="G144" si="424">IFERROR((G143-F143)/F143,"nm")</f>
        <v>6.0971633518095862E-2</v>
      </c>
      <c r="H144" s="60">
        <f t="shared" ref="H144" si="425">IFERROR((H143-G143)/G143,"nm")</f>
        <v>5.5316533497234172E-2</v>
      </c>
      <c r="I144" s="60">
        <f t="shared" ref="I144" si="426">IFERROR((I143-H143)/H143,"nm")</f>
        <v>0.17705299941758881</v>
      </c>
      <c r="J144" s="83">
        <f t="shared" ref="J144" si="427">IFERROR((J143-I143)/I143,"nm")</f>
        <v>3.6539682539682814E-3</v>
      </c>
      <c r="K144" s="83">
        <f t="shared" ref="K144" si="428">IFERROR((K143-J143)/J143,"nm")</f>
        <v>-3.6106878306877681E-3</v>
      </c>
      <c r="L144" s="83">
        <f t="shared" ref="L144" si="429">IFERROR((L143-K143)/K143,"nm")</f>
        <v>-6.2681093474427855E-3</v>
      </c>
      <c r="M144" s="83">
        <f t="shared" ref="M144" si="430">IFERROR((M143-L143)/L143,"nm")</f>
        <v>0.11020749429747223</v>
      </c>
      <c r="N144" s="83">
        <f t="shared" ref="N144" si="431">IFERROR((N143-M143)/M143,"nm")</f>
        <v>0.10665571009602196</v>
      </c>
      <c r="O144" s="83"/>
    </row>
    <row r="145" spans="1:15" x14ac:dyDescent="0.3">
      <c r="A145" s="44" t="s">
        <v>131</v>
      </c>
      <c r="B145" s="59">
        <f>IFERROR(B143/B$141, "nm")</f>
        <v>-17.88695652173913</v>
      </c>
      <c r="C145" s="59">
        <f t="shared" ref="C145:I145" si="432">IFERROR(C143/C$141, "nm")</f>
        <v>-32.410958904109592</v>
      </c>
      <c r="D145" s="59">
        <f t="shared" si="432"/>
        <v>-33.479452054794521</v>
      </c>
      <c r="E145" s="59">
        <f t="shared" si="432"/>
        <v>-27.738636363636363</v>
      </c>
      <c r="F145" s="59">
        <f t="shared" si="432"/>
        <v>-73.023809523809518</v>
      </c>
      <c r="G145" s="59">
        <f t="shared" si="432"/>
        <v>-108.46666666666667</v>
      </c>
      <c r="H145" s="59">
        <f t="shared" si="432"/>
        <v>-137.36000000000001</v>
      </c>
      <c r="I145" s="59">
        <f t="shared" si="432"/>
        <v>-39.627450980392155</v>
      </c>
      <c r="J145" s="70">
        <f>I145*(1+$O$145)</f>
        <v>-43.590196078431376</v>
      </c>
      <c r="K145" s="70">
        <f t="shared" ref="K145:N145" si="433">J145*(1+$O$145)</f>
        <v>-47.94921568627452</v>
      </c>
      <c r="L145" s="70">
        <f t="shared" si="433"/>
        <v>-52.744137254901979</v>
      </c>
      <c r="M145" s="70">
        <f t="shared" si="433"/>
        <v>-58.018550980392185</v>
      </c>
      <c r="N145" s="70">
        <f t="shared" si="433"/>
        <v>-63.820406078431411</v>
      </c>
      <c r="O145" s="70">
        <v>0.1</v>
      </c>
    </row>
    <row r="146" spans="1:15" x14ac:dyDescent="0.3">
      <c r="A146" s="9" t="s">
        <v>132</v>
      </c>
      <c r="B146" s="1">
        <f>Historicals!B173</f>
        <v>210</v>
      </c>
      <c r="C146" s="1">
        <f>Historicals!C173</f>
        <v>230</v>
      </c>
      <c r="D146" s="1">
        <f>Historicals!D173</f>
        <v>233</v>
      </c>
      <c r="E146" s="1">
        <f>Historicals!E173</f>
        <v>217</v>
      </c>
      <c r="F146" s="1">
        <f>Historicals!F173</f>
        <v>195</v>
      </c>
      <c r="G146" s="1">
        <f>Historicals!G173</f>
        <v>214</v>
      </c>
      <c r="H146" s="1">
        <f>Historicals!H173</f>
        <v>222</v>
      </c>
      <c r="I146" s="1">
        <f>Historicals!I173</f>
        <v>220</v>
      </c>
      <c r="J146" s="69">
        <f>J141*J148</f>
        <v>201.73444761904759</v>
      </c>
      <c r="K146" s="69">
        <f t="shared" ref="K146:N146" si="434">K141*K148</f>
        <v>183.64643431047173</v>
      </c>
      <c r="L146" s="69">
        <f t="shared" si="434"/>
        <v>166.73435906440037</v>
      </c>
      <c r="M146" s="69">
        <f t="shared" si="434"/>
        <v>169.12298515012168</v>
      </c>
      <c r="N146" s="69">
        <f t="shared" si="434"/>
        <v>170.99701982817379</v>
      </c>
      <c r="O146" s="69"/>
    </row>
    <row r="147" spans="1:15" x14ac:dyDescent="0.3">
      <c r="A147" s="44" t="s">
        <v>129</v>
      </c>
      <c r="B147" s="60" t="str">
        <f>IFERROR((B146-A146)/A146,"nm")</f>
        <v>nm</v>
      </c>
      <c r="C147" s="60">
        <f t="shared" ref="C147" si="435">IFERROR((C146-B146)/B146,"nm")</f>
        <v>9.5238095238095233E-2</v>
      </c>
      <c r="D147" s="60">
        <f t="shared" ref="D147" si="436">IFERROR((D146-C146)/C146,"nm")</f>
        <v>1.3043478260869565E-2</v>
      </c>
      <c r="E147" s="60">
        <f t="shared" ref="E147" si="437">IFERROR((E146-D146)/D146,"nm")</f>
        <v>-6.8669527896995708E-2</v>
      </c>
      <c r="F147" s="60">
        <f t="shared" ref="F147" si="438">IFERROR((F146-E146)/E146,"nm")</f>
        <v>-0.10138248847926268</v>
      </c>
      <c r="G147" s="60">
        <f t="shared" ref="G147" si="439">IFERROR((G146-F146)/F146,"nm")</f>
        <v>9.7435897435897437E-2</v>
      </c>
      <c r="H147" s="60">
        <f t="shared" ref="H147" si="440">IFERROR((H146-G146)/G146,"nm")</f>
        <v>3.7383177570093455E-2</v>
      </c>
      <c r="I147" s="60">
        <f t="shared" ref="I147" si="441">IFERROR((I146-H146)/H146,"nm")</f>
        <v>-9.0090090090090089E-3</v>
      </c>
      <c r="J147" s="71">
        <f t="shared" ref="J147" si="442">IFERROR((J146-I146)/I146,"nm")</f>
        <v>-8.3025238095238249E-2</v>
      </c>
      <c r="K147" s="71">
        <f t="shared" ref="K147" si="443">IFERROR((K146-J146)/J146,"nm")</f>
        <v>-8.9662492063492277E-2</v>
      </c>
      <c r="L147" s="71">
        <f t="shared" ref="L147" si="444">IFERROR((L146-K146)/K146,"nm")</f>
        <v>-9.2090408994709355E-2</v>
      </c>
      <c r="M147" s="71">
        <f t="shared" ref="M147" si="445">IFERROR((M146-L146)/L146,"nm")</f>
        <v>1.4325937971781314E-2</v>
      </c>
      <c r="N147" s="71">
        <f t="shared" ref="N147" si="446">IFERROR((N146-M146)/M146,"nm")</f>
        <v>1.1080898769547079E-2</v>
      </c>
      <c r="O147" s="71"/>
    </row>
    <row r="148" spans="1:15" x14ac:dyDescent="0.3">
      <c r="A148" s="44" t="s">
        <v>133</v>
      </c>
      <c r="B148" s="59">
        <f>IFERROR(B146/B$141, "nm")</f>
        <v>1.826086956521739</v>
      </c>
      <c r="C148" s="59">
        <f t="shared" ref="C148:I148" si="447">IFERROR(C146/C$141, "nm")</f>
        <v>3.1506849315068495</v>
      </c>
      <c r="D148" s="59">
        <f t="shared" si="447"/>
        <v>3.1917808219178081</v>
      </c>
      <c r="E148" s="59">
        <f t="shared" si="447"/>
        <v>2.4659090909090908</v>
      </c>
      <c r="F148" s="59">
        <f t="shared" si="447"/>
        <v>4.6428571428571432</v>
      </c>
      <c r="G148" s="59">
        <f t="shared" si="447"/>
        <v>7.1333333333333337</v>
      </c>
      <c r="H148" s="59">
        <f t="shared" si="447"/>
        <v>8.8800000000000008</v>
      </c>
      <c r="I148" s="59">
        <f t="shared" si="447"/>
        <v>2.1568627450980391</v>
      </c>
      <c r="J148" s="70">
        <f>I148*(1+$O$148)</f>
        <v>2.1676470588235293</v>
      </c>
      <c r="K148" s="70">
        <f t="shared" ref="K148:N148" si="448">J148*(1+$O$148)</f>
        <v>2.1784852941176465</v>
      </c>
      <c r="L148" s="70">
        <f t="shared" si="448"/>
        <v>2.1893777205882343</v>
      </c>
      <c r="M148" s="70">
        <f t="shared" si="448"/>
        <v>2.2003246091911755</v>
      </c>
      <c r="N148" s="70">
        <f t="shared" si="448"/>
        <v>2.211326232237131</v>
      </c>
      <c r="O148" s="70">
        <v>5.0000000000000001E-3</v>
      </c>
    </row>
    <row r="149" spans="1:15" x14ac:dyDescent="0.3">
      <c r="A149" s="9" t="s">
        <v>134</v>
      </c>
      <c r="B149" s="64">
        <f>B143-B146</f>
        <v>-2267</v>
      </c>
      <c r="C149" s="64">
        <f t="shared" ref="C149:N149" si="449">C143-C146</f>
        <v>-2596</v>
      </c>
      <c r="D149" s="64">
        <f t="shared" si="449"/>
        <v>-2677</v>
      </c>
      <c r="E149" s="64">
        <f t="shared" si="449"/>
        <v>-2658</v>
      </c>
      <c r="F149" s="64">
        <f t="shared" si="449"/>
        <v>-3262</v>
      </c>
      <c r="G149" s="64">
        <f t="shared" si="449"/>
        <v>-3468</v>
      </c>
      <c r="H149" s="64">
        <f t="shared" si="449"/>
        <v>-3656</v>
      </c>
      <c r="I149" s="64">
        <f t="shared" si="449"/>
        <v>-4262</v>
      </c>
      <c r="J149" s="64">
        <f t="shared" si="449"/>
        <v>-4258.5037873015872</v>
      </c>
      <c r="K149" s="64">
        <f t="shared" si="449"/>
        <v>-4225.7680463063125</v>
      </c>
      <c r="L149" s="64">
        <f t="shared" si="449"/>
        <v>-4183.5195108005892</v>
      </c>
      <c r="M149" s="64">
        <f t="shared" si="449"/>
        <v>-4628.5879635904485</v>
      </c>
      <c r="N149" s="64">
        <f t="shared" si="449"/>
        <v>-5106.0894021923941</v>
      </c>
      <c r="O149" s="64"/>
    </row>
    <row r="150" spans="1:15" x14ac:dyDescent="0.3">
      <c r="A150" s="44" t="s">
        <v>129</v>
      </c>
      <c r="B150" s="60" t="str">
        <f>IFERROR((B149-A149)/A149,"nm")</f>
        <v>nm</v>
      </c>
      <c r="C150" s="60">
        <f t="shared" ref="C150" si="450">IFERROR((C149-B149)/B149,"nm")</f>
        <v>0.145125716806352</v>
      </c>
      <c r="D150" s="60">
        <f t="shared" ref="D150" si="451">IFERROR((D149-C149)/C149,"nm")</f>
        <v>3.1201848998459167E-2</v>
      </c>
      <c r="E150" s="60">
        <f t="shared" ref="E150" si="452">IFERROR((E149-D149)/D149,"nm")</f>
        <v>-7.097497198356369E-3</v>
      </c>
      <c r="F150" s="60">
        <f t="shared" ref="F150" si="453">IFERROR((F149-E149)/E149,"nm")</f>
        <v>0.2272385252069225</v>
      </c>
      <c r="G150" s="60">
        <f t="shared" ref="G150" si="454">IFERROR((G149-F149)/F149,"nm")</f>
        <v>6.3151440833844261E-2</v>
      </c>
      <c r="H150" s="60">
        <f t="shared" ref="H150" si="455">IFERROR((H149-G149)/G149,"nm")</f>
        <v>5.4209919261822379E-2</v>
      </c>
      <c r="I150" s="60">
        <f t="shared" ref="I150" si="456">IFERROR((I149-H149)/H149,"nm")</f>
        <v>0.16575492341356673</v>
      </c>
      <c r="J150" s="83">
        <f t="shared" ref="J150" si="457">IFERROR((J149-I149)/I149,"nm")</f>
        <v>-8.2032207846382426E-4</v>
      </c>
      <c r="K150" s="83">
        <f t="shared" ref="K150" si="458">IFERROR((K149-J149)/J149,"nm")</f>
        <v>-7.6871461504599897E-3</v>
      </c>
      <c r="L150" s="83">
        <f t="shared" ref="L150" si="459">IFERROR((L149-K149)/K149,"nm")</f>
        <v>-9.9978359064578151E-3</v>
      </c>
      <c r="M150" s="83">
        <f t="shared" ref="M150" si="460">IFERROR((M149-L149)/L149,"nm")</f>
        <v>0.10638613053932852</v>
      </c>
      <c r="N150" s="83">
        <f t="shared" ref="N150" si="461">IFERROR((N149-M149)/M149,"nm")</f>
        <v>0.10316352251660404</v>
      </c>
      <c r="O150" s="83"/>
    </row>
    <row r="151" spans="1:15" x14ac:dyDescent="0.3">
      <c r="A151" s="44" t="s">
        <v>131</v>
      </c>
      <c r="B151" s="59">
        <f>IFERROR(B149/B$141, "nm")</f>
        <v>-19.713043478260868</v>
      </c>
      <c r="C151" s="59">
        <f t="shared" ref="C151:I151" si="462">IFERROR(C149/C$141, "nm")</f>
        <v>-35.561643835616437</v>
      </c>
      <c r="D151" s="59">
        <f t="shared" si="462"/>
        <v>-36.671232876712331</v>
      </c>
      <c r="E151" s="59">
        <f t="shared" si="462"/>
        <v>-30.204545454545453</v>
      </c>
      <c r="F151" s="59">
        <f t="shared" si="462"/>
        <v>-77.666666666666671</v>
      </c>
      <c r="G151" s="59">
        <f t="shared" si="462"/>
        <v>-115.6</v>
      </c>
      <c r="H151" s="59">
        <f t="shared" si="462"/>
        <v>-146.24</v>
      </c>
      <c r="I151" s="59">
        <f t="shared" si="462"/>
        <v>-41.784313725490193</v>
      </c>
      <c r="J151" s="70">
        <f>I151*(1+$O$151)</f>
        <v>-42.62</v>
      </c>
      <c r="K151" s="70">
        <f t="shared" ref="K151:N151" si="463">J151*(1+$O$151)</f>
        <v>-43.4724</v>
      </c>
      <c r="L151" s="70">
        <f t="shared" si="463"/>
        <v>-44.341847999999999</v>
      </c>
      <c r="M151" s="70">
        <f t="shared" si="463"/>
        <v>-45.228684960000002</v>
      </c>
      <c r="N151" s="70">
        <f t="shared" si="463"/>
        <v>-46.133258659200003</v>
      </c>
      <c r="O151" s="84">
        <v>0.02</v>
      </c>
    </row>
    <row r="152" spans="1:15" x14ac:dyDescent="0.3">
      <c r="A152" s="9" t="s">
        <v>135</v>
      </c>
      <c r="B152" s="1">
        <f>Historicals!B162</f>
        <v>225</v>
      </c>
      <c r="C152" s="1">
        <f>Historicals!C162</f>
        <v>258</v>
      </c>
      <c r="D152" s="1">
        <f>Historicals!D162</f>
        <v>278</v>
      </c>
      <c r="E152" s="1">
        <f>Historicals!E162</f>
        <v>286</v>
      </c>
      <c r="F152" s="1">
        <f>Historicals!F162</f>
        <v>278</v>
      </c>
      <c r="G152" s="1">
        <f>Historicals!G162</f>
        <v>438</v>
      </c>
      <c r="H152" s="1">
        <f>Historicals!H162</f>
        <v>278</v>
      </c>
      <c r="I152" s="1">
        <f>Historicals!I162</f>
        <v>222</v>
      </c>
      <c r="J152" s="69">
        <f>J141*J154</f>
        <v>206.60673142857138</v>
      </c>
      <c r="K152" s="69">
        <f t="shared" ref="K152:N152" si="464">K141*K154</f>
        <v>190.88904890728847</v>
      </c>
      <c r="L152" s="69">
        <f t="shared" si="464"/>
        <v>175.8967147136531</v>
      </c>
      <c r="M152" s="69">
        <f t="shared" si="464"/>
        <v>181.07953446850013</v>
      </c>
      <c r="N152" s="69">
        <f t="shared" si="464"/>
        <v>185.81868619737907</v>
      </c>
      <c r="O152" s="69"/>
    </row>
    <row r="153" spans="1:15" x14ac:dyDescent="0.3">
      <c r="A153" s="44" t="s">
        <v>129</v>
      </c>
      <c r="B153" s="60" t="str">
        <f>IFERROR((B152-A152)/A152,"nm")</f>
        <v>nm</v>
      </c>
      <c r="C153" s="60">
        <f t="shared" ref="C153" si="465">IFERROR((C152-B152)/B152,"nm")</f>
        <v>0.14666666666666667</v>
      </c>
      <c r="D153" s="60">
        <f t="shared" ref="D153" si="466">IFERROR((D152-C152)/C152,"nm")</f>
        <v>7.7519379844961239E-2</v>
      </c>
      <c r="E153" s="60">
        <f t="shared" ref="E153" si="467">IFERROR((E152-D152)/D152,"nm")</f>
        <v>2.8776978417266189E-2</v>
      </c>
      <c r="F153" s="60">
        <f t="shared" ref="F153" si="468">IFERROR((F152-E152)/E152,"nm")</f>
        <v>-2.7972027972027972E-2</v>
      </c>
      <c r="G153" s="60">
        <f t="shared" ref="G153" si="469">IFERROR((G152-F152)/F152,"nm")</f>
        <v>0.57553956834532372</v>
      </c>
      <c r="H153" s="60">
        <f t="shared" ref="H153" si="470">IFERROR((H152-G152)/G152,"nm")</f>
        <v>-0.36529680365296802</v>
      </c>
      <c r="I153" s="60">
        <f t="shared" ref="I153" si="471">IFERROR((I152-H152)/H152,"nm")</f>
        <v>-0.20143884892086331</v>
      </c>
      <c r="J153" s="71">
        <f t="shared" ref="J153" si="472">IFERROR((J152-I152)/I152,"nm")</f>
        <v>-6.9339047619047842E-2</v>
      </c>
      <c r="K153" s="71">
        <f t="shared" ref="K153" si="473">IFERROR((K152-J152)/J152,"nm")</f>
        <v>-7.6075365079365131E-2</v>
      </c>
      <c r="L153" s="71">
        <f t="shared" ref="L153" si="474">IFERROR((L152-K152)/K152,"nm")</f>
        <v>-7.8539519576719619E-2</v>
      </c>
      <c r="M153" s="71">
        <f t="shared" ref="M153" si="475">IFERROR((M152-L152)/L152,"nm")</f>
        <v>2.9465131075837776E-2</v>
      </c>
      <c r="N153" s="71">
        <f t="shared" ref="N153" si="476">IFERROR((N152-M152)/M152,"nm")</f>
        <v>2.617165845267479E-2</v>
      </c>
      <c r="O153" s="71"/>
    </row>
    <row r="154" spans="1:15" x14ac:dyDescent="0.3">
      <c r="A154" s="44" t="s">
        <v>133</v>
      </c>
      <c r="B154" s="59">
        <f>IFERROR(B152/B$141, "nm")</f>
        <v>1.9565217391304348</v>
      </c>
      <c r="C154" s="59">
        <f t="shared" ref="C154:I154" si="477">IFERROR(C152/C$141, "nm")</f>
        <v>3.5342465753424657</v>
      </c>
      <c r="D154" s="59">
        <f t="shared" si="477"/>
        <v>3.8082191780821919</v>
      </c>
      <c r="E154" s="59">
        <f t="shared" si="477"/>
        <v>3.25</v>
      </c>
      <c r="F154" s="59">
        <f t="shared" si="477"/>
        <v>6.6190476190476186</v>
      </c>
      <c r="G154" s="59">
        <f t="shared" si="477"/>
        <v>14.6</v>
      </c>
      <c r="H154" s="59">
        <f t="shared" si="477"/>
        <v>11.12</v>
      </c>
      <c r="I154" s="59">
        <f t="shared" si="477"/>
        <v>2.1764705882352939</v>
      </c>
      <c r="J154" s="70">
        <f>I154*(1+$O$154)</f>
        <v>2.2199999999999998</v>
      </c>
      <c r="K154" s="70">
        <f t="shared" ref="K154:N154" si="478">J154*(1+$O$154)</f>
        <v>2.2643999999999997</v>
      </c>
      <c r="L154" s="70">
        <f t="shared" si="478"/>
        <v>2.309688</v>
      </c>
      <c r="M154" s="70">
        <f t="shared" si="478"/>
        <v>2.3558817599999999</v>
      </c>
      <c r="N154" s="70">
        <f t="shared" si="478"/>
        <v>2.4029993952000002</v>
      </c>
      <c r="O154" s="70">
        <v>0.02</v>
      </c>
    </row>
    <row r="155" spans="1:15" x14ac:dyDescent="0.3">
      <c r="A155" s="66" t="s">
        <v>146</v>
      </c>
      <c r="B155" s="68">
        <f>Historicals!B151</f>
        <v>484</v>
      </c>
      <c r="C155" s="68">
        <f>Historicals!C151</f>
        <v>511</v>
      </c>
      <c r="D155" s="68">
        <f>Historicals!D151</f>
        <v>533</v>
      </c>
      <c r="E155" s="68">
        <f>Historicals!E151</f>
        <v>597</v>
      </c>
      <c r="F155" s="68">
        <f>Historicals!F151</f>
        <v>665</v>
      </c>
      <c r="G155" s="68">
        <f>Historicals!G151</f>
        <v>830</v>
      </c>
      <c r="H155" s="68">
        <f>Historicals!H151</f>
        <v>780</v>
      </c>
      <c r="I155" s="68">
        <f>Historicals!I151</f>
        <v>789</v>
      </c>
      <c r="J155" s="124">
        <f>J141*J157</f>
        <v>734.29149142857136</v>
      </c>
      <c r="K155" s="124">
        <f t="shared" ref="K155:N155" si="479">K141*K157</f>
        <v>678.42999814347138</v>
      </c>
      <c r="L155" s="124">
        <f t="shared" si="479"/>
        <v>625.14643202284822</v>
      </c>
      <c r="M155" s="124">
        <f t="shared" si="479"/>
        <v>643.56645358399373</v>
      </c>
      <c r="N155" s="124">
        <f t="shared" si="479"/>
        <v>660.40965499879314</v>
      </c>
    </row>
    <row r="156" spans="1:15" x14ac:dyDescent="0.3">
      <c r="A156" s="65" t="s">
        <v>129</v>
      </c>
      <c r="B156" s="60" t="str">
        <f>IFERROR((B155-A155)/A155,"nm")</f>
        <v>nm</v>
      </c>
      <c r="C156" s="60">
        <f t="shared" ref="C156:I156" si="480">IFERROR((C155-B155)/B155,"nm")</f>
        <v>5.578512396694215E-2</v>
      </c>
      <c r="D156" s="60">
        <f t="shared" si="480"/>
        <v>4.3052837573385516E-2</v>
      </c>
      <c r="E156" s="60">
        <f t="shared" si="480"/>
        <v>0.1200750469043152</v>
      </c>
      <c r="F156" s="60">
        <f t="shared" si="480"/>
        <v>0.11390284757118928</v>
      </c>
      <c r="G156" s="60">
        <f t="shared" si="480"/>
        <v>0.24812030075187969</v>
      </c>
      <c r="H156" s="60">
        <f t="shared" si="480"/>
        <v>-6.0240963855421686E-2</v>
      </c>
      <c r="I156" s="60">
        <f t="shared" si="480"/>
        <v>1.1538461538461539E-2</v>
      </c>
      <c r="J156" s="83">
        <f t="shared" ref="J156" si="481">IFERROR((J155-I155)/I155,"nm")</f>
        <v>-6.9339047619047703E-2</v>
      </c>
      <c r="K156" s="83">
        <f t="shared" ref="K156" si="482">IFERROR((K155-J155)/J155,"nm")</f>
        <v>-7.6075365079365007E-2</v>
      </c>
      <c r="L156" s="83">
        <f t="shared" ref="L156" si="483">IFERROR((L155-K155)/K155,"nm")</f>
        <v>-7.8539519576719827E-2</v>
      </c>
      <c r="M156" s="83">
        <f t="shared" ref="M156" si="484">IFERROR((M155-L155)/L155,"nm")</f>
        <v>2.9465131075837751E-2</v>
      </c>
      <c r="N156" s="83">
        <f t="shared" ref="N156" si="485">IFERROR((N155-M155)/M155,"nm")</f>
        <v>2.61716584526747E-2</v>
      </c>
      <c r="O156" s="83"/>
    </row>
    <row r="157" spans="1:15" x14ac:dyDescent="0.3">
      <c r="A157" s="65" t="s">
        <v>133</v>
      </c>
      <c r="B157" s="59">
        <f>IFERROR(B155/B$141, "nm")</f>
        <v>4.2086956521739127</v>
      </c>
      <c r="C157" s="59">
        <f t="shared" ref="C157:I157" si="486">IFERROR(C155/C$141, "nm")</f>
        <v>7</v>
      </c>
      <c r="D157" s="59">
        <f t="shared" si="486"/>
        <v>7.3013698630136989</v>
      </c>
      <c r="E157" s="59">
        <f t="shared" si="486"/>
        <v>6.7840909090909092</v>
      </c>
      <c r="F157" s="59">
        <f t="shared" si="486"/>
        <v>15.833333333333334</v>
      </c>
      <c r="G157" s="59">
        <f t="shared" si="486"/>
        <v>27.666666666666668</v>
      </c>
      <c r="H157" s="59">
        <f t="shared" si="486"/>
        <v>31.2</v>
      </c>
      <c r="I157" s="59">
        <f t="shared" si="486"/>
        <v>7.7352941176470589</v>
      </c>
      <c r="J157" s="70">
        <f>I157*(1+$O$157)</f>
        <v>7.8900000000000006</v>
      </c>
      <c r="K157" s="70">
        <f t="shared" ref="K157:N157" si="487">J157*(1+$O$157)</f>
        <v>8.0478000000000005</v>
      </c>
      <c r="L157" s="70">
        <f t="shared" si="487"/>
        <v>8.2087560000000011</v>
      </c>
      <c r="M157" s="70">
        <f t="shared" si="487"/>
        <v>8.3729311200000005</v>
      </c>
      <c r="N157" s="70">
        <f t="shared" si="487"/>
        <v>8.5403897424000004</v>
      </c>
      <c r="O157" s="74">
        <v>0.02</v>
      </c>
    </row>
    <row r="158" spans="1:15" x14ac:dyDescent="0.3">
      <c r="A158" s="41" t="str">
        <f>Historicals!A127</f>
        <v>Converse</v>
      </c>
      <c r="B158" s="41"/>
      <c r="C158" s="41"/>
      <c r="D158" s="41"/>
      <c r="E158" s="41"/>
      <c r="F158" s="41"/>
      <c r="G158" s="41"/>
      <c r="H158" s="41"/>
      <c r="I158" s="41"/>
      <c r="J158" s="73"/>
      <c r="K158" s="73"/>
      <c r="L158" s="73"/>
      <c r="M158" s="73"/>
      <c r="N158" s="73"/>
      <c r="O158" s="73"/>
    </row>
    <row r="159" spans="1:15" x14ac:dyDescent="0.3">
      <c r="A159" s="9" t="s">
        <v>136</v>
      </c>
      <c r="B159" s="1">
        <f>Historicals!B127</f>
        <v>1982</v>
      </c>
      <c r="C159" s="1">
        <f>Historicals!C127</f>
        <v>1955</v>
      </c>
      <c r="D159" s="1">
        <f>Historicals!D127</f>
        <v>2042</v>
      </c>
      <c r="E159" s="1">
        <f>Historicals!E127</f>
        <v>1886</v>
      </c>
      <c r="F159" s="1">
        <f>Historicals!F127</f>
        <v>1906</v>
      </c>
      <c r="G159" s="1">
        <f>Historicals!G127</f>
        <v>1846</v>
      </c>
      <c r="H159" s="79">
        <f>SUM(H161,H165,H169,H188)</f>
        <v>2205</v>
      </c>
      <c r="I159" s="79">
        <f>SUM(I161,I165,I169,I188)</f>
        <v>2346</v>
      </c>
      <c r="J159" s="69">
        <f>SUM(J161,J165,J169,J188)</f>
        <v>2545.4808139534889</v>
      </c>
      <c r="K159" s="69">
        <f t="shared" ref="K159:N159" si="488">SUM(K161,K165,K169,K188)</f>
        <v>2835.942339276653</v>
      </c>
      <c r="L159" s="69">
        <f t="shared" si="488"/>
        <v>3105.0764028332555</v>
      </c>
      <c r="M159" s="69">
        <f t="shared" si="488"/>
        <v>3413.2690638235176</v>
      </c>
      <c r="N159" s="69">
        <f t="shared" si="488"/>
        <v>3763.4560839431174</v>
      </c>
    </row>
    <row r="160" spans="1:15" x14ac:dyDescent="0.3">
      <c r="A160" s="42" t="s">
        <v>129</v>
      </c>
      <c r="B160" s="60" t="str">
        <f>IFERROR((B159-A159)/A159,"nm")</f>
        <v>nm</v>
      </c>
      <c r="C160" s="60">
        <f>IFERROR((C159-B159)/B159,"nm")</f>
        <v>-1.3622603430877902E-2</v>
      </c>
      <c r="D160" s="60">
        <f t="shared" ref="D160" si="489">IFERROR((D159-C159)/C159,"nm")</f>
        <v>4.4501278772378514E-2</v>
      </c>
      <c r="E160" s="60">
        <f t="shared" ref="E160" si="490">IFERROR((E159-D159)/D159,"nm")</f>
        <v>-7.6395690499510283E-2</v>
      </c>
      <c r="F160" s="60">
        <f t="shared" ref="F160" si="491">IFERROR((F159-E159)/E159,"nm")</f>
        <v>1.0604453870625663E-2</v>
      </c>
      <c r="G160" s="60">
        <f t="shared" ref="G160" si="492">IFERROR((G159-F159)/F159,"nm")</f>
        <v>-3.1479538300104928E-2</v>
      </c>
      <c r="H160" s="60">
        <f t="shared" ref="H160" si="493">IFERROR((H159-G159)/G159,"nm")</f>
        <v>0.19447453954496208</v>
      </c>
      <c r="I160" s="60">
        <f t="shared" ref="I160" si="494">IFERROR((I159-H159)/H159,"nm")</f>
        <v>6.3945578231292516E-2</v>
      </c>
      <c r="J160" s="71">
        <f t="shared" ref="J160" si="495">IFERROR((J159-I159)/I159,"nm")</f>
        <v>8.5030184975911721E-2</v>
      </c>
      <c r="K160" s="71">
        <f t="shared" ref="K160" si="496">IFERROR((K159-J159)/J159,"nm")</f>
        <v>0.1141087073730627</v>
      </c>
      <c r="L160" s="71">
        <f t="shared" ref="L160" si="497">IFERROR((L159-K159)/K159,"nm")</f>
        <v>9.4901105649859221E-2</v>
      </c>
      <c r="M160" s="71">
        <f t="shared" ref="M160" si="498">IFERROR((M159-L159)/L159,"nm")</f>
        <v>9.9254453355495167E-2</v>
      </c>
      <c r="N160" s="71">
        <f t="shared" ref="N160" si="499">IFERROR((N159-M159)/M159,"nm")</f>
        <v>0.10259578532239207</v>
      </c>
      <c r="O160" s="71"/>
    </row>
    <row r="161" spans="1:15" x14ac:dyDescent="0.3">
      <c r="A161" s="43" t="s">
        <v>113</v>
      </c>
      <c r="B161" s="1">
        <f>Historicals!B128</f>
        <v>0</v>
      </c>
      <c r="C161" s="1">
        <f>Historicals!C128</f>
        <v>0</v>
      </c>
      <c r="D161" s="1">
        <f>Historicals!D128</f>
        <v>0</v>
      </c>
      <c r="E161" s="1">
        <f>Historicals!E128</f>
        <v>0</v>
      </c>
      <c r="F161" s="1">
        <f>Historicals!F128</f>
        <v>0</v>
      </c>
      <c r="G161" s="1">
        <f>Historicals!G128</f>
        <v>0</v>
      </c>
      <c r="H161" s="1">
        <f>Historicals!H128</f>
        <v>1986</v>
      </c>
      <c r="I161" s="1">
        <f>Historicals!I128</f>
        <v>2094</v>
      </c>
      <c r="J161" s="69">
        <f>I161*(1+J162)</f>
        <v>2252.1668000000004</v>
      </c>
      <c r="K161" s="69">
        <f t="shared" ref="K161:N161" si="500">J161*(1+K162)</f>
        <v>2488.4185968384895</v>
      </c>
      <c r="L161" s="69">
        <f t="shared" si="500"/>
        <v>2702.377891265689</v>
      </c>
      <c r="M161" s="69">
        <f t="shared" si="500"/>
        <v>2949.5622353510225</v>
      </c>
      <c r="N161" s="69">
        <f t="shared" si="500"/>
        <v>3235.494315577514</v>
      </c>
      <c r="O161" s="69"/>
    </row>
    <row r="162" spans="1:15" x14ac:dyDescent="0.3">
      <c r="A162" s="42" t="s">
        <v>129</v>
      </c>
      <c r="B162" s="60" t="str">
        <f>IFERROR((B161-A161)/A161,"nm")</f>
        <v>nm</v>
      </c>
      <c r="C162" s="60" t="str">
        <f t="shared" ref="C162" si="501">IFERROR((C161-B161)/B161,"nm")</f>
        <v>nm</v>
      </c>
      <c r="D162" s="60" t="str">
        <f t="shared" ref="D162" si="502">IFERROR((D161-C161)/C161,"nm")</f>
        <v>nm</v>
      </c>
      <c r="E162" s="60" t="str">
        <f t="shared" ref="E162" si="503">IFERROR((E161-D161)/D161,"nm")</f>
        <v>nm</v>
      </c>
      <c r="F162" s="60" t="str">
        <f t="shared" ref="F162" si="504">IFERROR((F161-E161)/E161,"nm")</f>
        <v>nm</v>
      </c>
      <c r="G162" s="60" t="str">
        <f t="shared" ref="G162" si="505">IFERROR((G161-F161)/F161,"nm")</f>
        <v>nm</v>
      </c>
      <c r="H162" s="60" t="str">
        <f t="shared" ref="H162" si="506">IFERROR((H161-G161)/G161,"nm")</f>
        <v>nm</v>
      </c>
      <c r="I162" s="60">
        <f t="shared" ref="I162" si="507">IFERROR((I161-H161)/H161,"nm")</f>
        <v>5.4380664652567974E-2</v>
      </c>
      <c r="J162" s="83">
        <f>J163+J164</f>
        <v>7.5533333333333341E-2</v>
      </c>
      <c r="K162" s="83">
        <f t="shared" ref="K162:N162" si="508">K163+K164</f>
        <v>0.10489977777777779</v>
      </c>
      <c r="L162" s="83">
        <f t="shared" si="508"/>
        <v>8.5982034814814826E-2</v>
      </c>
      <c r="M162" s="83">
        <f t="shared" si="508"/>
        <v>9.1469200101234577E-2</v>
      </c>
      <c r="N162" s="83">
        <f t="shared" si="508"/>
        <v>9.6940514358214019E-2</v>
      </c>
    </row>
    <row r="163" spans="1:15" x14ac:dyDescent="0.3">
      <c r="A163" s="42" t="s">
        <v>137</v>
      </c>
      <c r="B163" s="59">
        <f>Historicals!B211</f>
        <v>0.21</v>
      </c>
      <c r="C163" s="59">
        <f>Historicals!C211</f>
        <v>0.02</v>
      </c>
      <c r="D163" s="59">
        <f>Historicals!D211</f>
        <v>0.06</v>
      </c>
      <c r="E163" s="59">
        <f>Historicals!E211</f>
        <v>-0.11</v>
      </c>
      <c r="F163" s="59">
        <f>Historicals!F211</f>
        <v>-0.03</v>
      </c>
      <c r="G163" s="59">
        <f>Historicals!G211</f>
        <v>-0.01</v>
      </c>
      <c r="H163" s="59">
        <f>Historicals!H211</f>
        <v>0.16</v>
      </c>
      <c r="I163" s="59">
        <f>Historicals!I211</f>
        <v>7.0000000000000007E-2</v>
      </c>
      <c r="J163" s="82">
        <f>AVERAGE(G163:I163)*(1+$O$163)</f>
        <v>7.5533333333333341E-2</v>
      </c>
      <c r="K163" s="82">
        <f t="shared" ref="K163:N163" si="509">AVERAGE(H163:J163)*(1+$O$163)</f>
        <v>0.10489977777777779</v>
      </c>
      <c r="L163" s="82">
        <f t="shared" si="509"/>
        <v>8.5982034814814826E-2</v>
      </c>
      <c r="M163" s="82">
        <f t="shared" si="509"/>
        <v>9.1469200101234577E-2</v>
      </c>
      <c r="N163" s="82">
        <f t="shared" si="509"/>
        <v>9.6940514358214019E-2</v>
      </c>
      <c r="O163" s="82">
        <v>0.03</v>
      </c>
    </row>
    <row r="164" spans="1:15" x14ac:dyDescent="0.3">
      <c r="A164" s="42" t="s">
        <v>138</v>
      </c>
      <c r="B164" s="45" t="str">
        <f t="shared" ref="B164:I164" si="510">+IFERROR(B162-B163,"nm")</f>
        <v>nm</v>
      </c>
      <c r="C164" s="45" t="str">
        <f t="shared" si="510"/>
        <v>nm</v>
      </c>
      <c r="D164" s="45" t="str">
        <f t="shared" si="510"/>
        <v>nm</v>
      </c>
      <c r="E164" s="45" t="str">
        <f t="shared" si="510"/>
        <v>nm</v>
      </c>
      <c r="F164" s="45" t="str">
        <f t="shared" si="510"/>
        <v>nm</v>
      </c>
      <c r="G164" s="45" t="str">
        <f t="shared" si="510"/>
        <v>nm</v>
      </c>
      <c r="H164" s="45" t="str">
        <f t="shared" si="510"/>
        <v>nm</v>
      </c>
      <c r="I164" s="45">
        <f t="shared" si="510"/>
        <v>-1.5619335347432033E-2</v>
      </c>
      <c r="J164" s="62">
        <v>0</v>
      </c>
      <c r="K164" s="62">
        <v>0</v>
      </c>
      <c r="L164" s="62">
        <v>0</v>
      </c>
      <c r="M164" s="62">
        <v>0</v>
      </c>
      <c r="N164" s="62">
        <v>0</v>
      </c>
      <c r="O164" s="62"/>
    </row>
    <row r="165" spans="1:15" x14ac:dyDescent="0.3">
      <c r="A165" s="43" t="s">
        <v>114</v>
      </c>
      <c r="B165" s="1">
        <f>Historicals!B129</f>
        <v>0</v>
      </c>
      <c r="C165" s="1">
        <f>Historicals!C129</f>
        <v>0</v>
      </c>
      <c r="D165" s="1">
        <f>Historicals!D129</f>
        <v>0</v>
      </c>
      <c r="E165" s="1">
        <f>Historicals!E129</f>
        <v>0</v>
      </c>
      <c r="F165" s="1">
        <f>Historicals!F129</f>
        <v>0</v>
      </c>
      <c r="G165" s="1">
        <f>Historicals!G129</f>
        <v>0</v>
      </c>
      <c r="H165" s="1">
        <f>Historicals!H129</f>
        <v>104</v>
      </c>
      <c r="I165" s="1">
        <f>Historicals!I129</f>
        <v>103</v>
      </c>
      <c r="J165" s="69">
        <f>I165*(1+J166)</f>
        <v>98.797600000000003</v>
      </c>
      <c r="K165" s="69">
        <f t="shared" ref="K165:N165" si="511">J165*(1+K166)</f>
        <v>100.78619809279999</v>
      </c>
      <c r="L165" s="69">
        <f t="shared" si="511"/>
        <v>99.049805094682156</v>
      </c>
      <c r="M165" s="69">
        <f t="shared" si="511"/>
        <v>97.773433141303883</v>
      </c>
      <c r="N165" s="69">
        <f t="shared" si="511"/>
        <v>97.441447488288659</v>
      </c>
      <c r="O165" s="69"/>
    </row>
    <row r="166" spans="1:15" x14ac:dyDescent="0.3">
      <c r="A166" s="42" t="s">
        <v>129</v>
      </c>
      <c r="B166" s="60" t="str">
        <f>IFERROR((B165-A165)/A165,"nm")</f>
        <v>nm</v>
      </c>
      <c r="C166" s="60" t="str">
        <f t="shared" ref="C166" si="512">IFERROR((C165-B165)/B165,"nm")</f>
        <v>nm</v>
      </c>
      <c r="D166" s="60" t="str">
        <f t="shared" ref="D166" si="513">IFERROR((D165-C165)/C165,"nm")</f>
        <v>nm</v>
      </c>
      <c r="E166" s="60" t="str">
        <f t="shared" ref="E166" si="514">IFERROR((E165-D165)/D165,"nm")</f>
        <v>nm</v>
      </c>
      <c r="F166" s="60" t="str">
        <f t="shared" ref="F166" si="515">IFERROR((F165-E165)/E165,"nm")</f>
        <v>nm</v>
      </c>
      <c r="G166" s="60" t="str">
        <f t="shared" ref="G166" si="516">IFERROR((G165-F165)/F165,"nm")</f>
        <v>nm</v>
      </c>
      <c r="H166" s="60" t="str">
        <f t="shared" ref="H166" si="517">IFERROR((H165-G165)/G165,"nm")</f>
        <v>nm</v>
      </c>
      <c r="I166" s="60">
        <f t="shared" ref="I166" si="518">IFERROR((I165-H165)/H165,"nm")</f>
        <v>-9.6153846153846159E-3</v>
      </c>
      <c r="J166" s="71">
        <f>J167+J168</f>
        <v>-4.0800000000000003E-2</v>
      </c>
      <c r="K166" s="71">
        <f t="shared" ref="K166:N166" si="519">K167+K168</f>
        <v>2.0128000000000004E-2</v>
      </c>
      <c r="L166" s="71">
        <f t="shared" si="519"/>
        <v>-1.7228479999999997E-2</v>
      </c>
      <c r="M166" s="71">
        <f t="shared" si="519"/>
        <v>-1.2886163200000002E-2</v>
      </c>
      <c r="N166" s="71">
        <f t="shared" si="519"/>
        <v>-3.3954586879999986E-3</v>
      </c>
    </row>
    <row r="167" spans="1:15" x14ac:dyDescent="0.3">
      <c r="A167" s="42" t="s">
        <v>137</v>
      </c>
      <c r="B167" s="59">
        <f>Historicals!B213</f>
        <v>0</v>
      </c>
      <c r="C167" s="59">
        <f>Historicals!C213</f>
        <v>0</v>
      </c>
      <c r="D167" s="59">
        <f>Historicals!D213</f>
        <v>0</v>
      </c>
      <c r="E167" s="59">
        <f>Historicals!E213</f>
        <v>0</v>
      </c>
      <c r="F167" s="59">
        <f>Historicals!F213</f>
        <v>0</v>
      </c>
      <c r="G167" s="59">
        <f>Historicals!G213</f>
        <v>-0.22</v>
      </c>
      <c r="H167" s="59">
        <f>Historicals!H213</f>
        <v>0.13</v>
      </c>
      <c r="I167" s="59">
        <f>Historicals!I213</f>
        <v>-0.03</v>
      </c>
      <c r="J167" s="82">
        <f>AVERAGE(G167:I167)*(1+$O$167)</f>
        <v>-4.0800000000000003E-2</v>
      </c>
      <c r="K167" s="82">
        <f t="shared" ref="K167:N167" si="520">AVERAGE(H167:J167)*(1+$O$167)</f>
        <v>2.0128000000000004E-2</v>
      </c>
      <c r="L167" s="82">
        <f t="shared" si="520"/>
        <v>-1.7228479999999997E-2</v>
      </c>
      <c r="M167" s="82">
        <f t="shared" si="520"/>
        <v>-1.2886163200000002E-2</v>
      </c>
      <c r="N167" s="82">
        <f t="shared" si="520"/>
        <v>-3.3954586879999986E-3</v>
      </c>
      <c r="O167" s="82">
        <v>0.02</v>
      </c>
    </row>
    <row r="168" spans="1:15" x14ac:dyDescent="0.3">
      <c r="A168" s="42" t="s">
        <v>138</v>
      </c>
      <c r="B168" s="45" t="str">
        <f t="shared" ref="B168:I168" si="521">+IFERROR(B166-B167,"nm")</f>
        <v>nm</v>
      </c>
      <c r="C168" s="45" t="str">
        <f t="shared" si="521"/>
        <v>nm</v>
      </c>
      <c r="D168" s="45" t="str">
        <f t="shared" si="521"/>
        <v>nm</v>
      </c>
      <c r="E168" s="45" t="str">
        <f t="shared" si="521"/>
        <v>nm</v>
      </c>
      <c r="F168" s="45" t="str">
        <f t="shared" si="521"/>
        <v>nm</v>
      </c>
      <c r="G168" s="45" t="str">
        <f t="shared" si="521"/>
        <v>nm</v>
      </c>
      <c r="H168" s="45" t="str">
        <f t="shared" si="521"/>
        <v>nm</v>
      </c>
      <c r="I168" s="45">
        <f t="shared" si="521"/>
        <v>2.0384615384615383E-2</v>
      </c>
      <c r="J168" s="82">
        <v>0</v>
      </c>
      <c r="K168" s="82">
        <v>0</v>
      </c>
      <c r="L168" s="82">
        <v>0</v>
      </c>
      <c r="M168" s="82">
        <v>0</v>
      </c>
      <c r="N168" s="82">
        <v>0</v>
      </c>
      <c r="O168" s="82"/>
    </row>
    <row r="169" spans="1:15" x14ac:dyDescent="0.3">
      <c r="A169" s="43" t="s">
        <v>115</v>
      </c>
      <c r="B169" s="1">
        <f>Historicals!B130</f>
        <v>0</v>
      </c>
      <c r="C169" s="1">
        <f>Historicals!C130</f>
        <v>0</v>
      </c>
      <c r="D169" s="1">
        <f>Historicals!D130</f>
        <v>0</v>
      </c>
      <c r="E169" s="1">
        <f>Historicals!E130</f>
        <v>0</v>
      </c>
      <c r="F169" s="1">
        <f>Historicals!F130</f>
        <v>0</v>
      </c>
      <c r="G169" s="1">
        <f>Historicals!G130</f>
        <v>0</v>
      </c>
      <c r="H169" s="1">
        <f>Historicals!H130</f>
        <v>29</v>
      </c>
      <c r="I169" s="1">
        <f>Historicals!I130</f>
        <v>26</v>
      </c>
      <c r="J169" s="69">
        <f>I169*(1+J170)</f>
        <v>26.535599999999999</v>
      </c>
      <c r="K169" s="69">
        <f t="shared" ref="K169:N169" si="522">J169*(1+K170)</f>
        <v>26.541066333599996</v>
      </c>
      <c r="L169" s="69">
        <f t="shared" si="522"/>
        <v>25.272670365981231</v>
      </c>
      <c r="M169" s="69">
        <f t="shared" si="522"/>
        <v>25.038532063508139</v>
      </c>
      <c r="N169" s="69">
        <f t="shared" si="522"/>
        <v>24.5498310058431</v>
      </c>
      <c r="O169" s="69"/>
    </row>
    <row r="170" spans="1:15" x14ac:dyDescent="0.3">
      <c r="A170" s="42" t="s">
        <v>129</v>
      </c>
      <c r="B170" s="60" t="str">
        <f>IFERROR((B169-A169)/A169,"nm")</f>
        <v>nm</v>
      </c>
      <c r="C170" s="60" t="str">
        <f t="shared" ref="C170" si="523">IFERROR((C169-B169)/B169,"nm")</f>
        <v>nm</v>
      </c>
      <c r="D170" s="60" t="str">
        <f t="shared" ref="D170" si="524">IFERROR((D169-C169)/C169,"nm")</f>
        <v>nm</v>
      </c>
      <c r="E170" s="60" t="str">
        <f t="shared" ref="E170" si="525">IFERROR((E169-D169)/D169,"nm")</f>
        <v>nm</v>
      </c>
      <c r="F170" s="60" t="str">
        <f t="shared" ref="F170" si="526">IFERROR((F169-E169)/E169,"nm")</f>
        <v>nm</v>
      </c>
      <c r="G170" s="60" t="str">
        <f t="shared" ref="G170" si="527">IFERROR((G169-F169)/F169,"nm")</f>
        <v>nm</v>
      </c>
      <c r="H170" s="60" t="str">
        <f t="shared" ref="H170" si="528">IFERROR((H169-G169)/G169,"nm")</f>
        <v>nm</v>
      </c>
      <c r="I170" s="60">
        <f t="shared" ref="I170" si="529">IFERROR((I169-H169)/H169,"nm")</f>
        <v>-0.10344827586206896</v>
      </c>
      <c r="J170" s="71">
        <f>J171+J172</f>
        <v>2.0600000000000007E-2</v>
      </c>
      <c r="K170" s="71">
        <f t="shared" ref="K170:N170" si="530">K171+K172</f>
        <v>2.060000000000059E-4</v>
      </c>
      <c r="L170" s="71">
        <f t="shared" si="530"/>
        <v>-4.7789939999999996E-2</v>
      </c>
      <c r="M170" s="71">
        <f t="shared" si="530"/>
        <v>-9.2644860666666606E-3</v>
      </c>
      <c r="N170" s="71">
        <f t="shared" si="530"/>
        <v>-1.9517959616222217E-2</v>
      </c>
    </row>
    <row r="171" spans="1:15" x14ac:dyDescent="0.3">
      <c r="A171" s="42" t="s">
        <v>137</v>
      </c>
      <c r="B171" s="59">
        <f>Historicals!B214</f>
        <v>0</v>
      </c>
      <c r="C171" s="59">
        <f>Historicals!C214</f>
        <v>0</v>
      </c>
      <c r="D171" s="59">
        <f>Historicals!D214</f>
        <v>0</v>
      </c>
      <c r="E171" s="59">
        <f>Historicals!E214</f>
        <v>0</v>
      </c>
      <c r="F171" s="59">
        <f>Historicals!F214</f>
        <v>0</v>
      </c>
      <c r="G171" s="59">
        <f>Historicals!G214</f>
        <v>0.08</v>
      </c>
      <c r="H171" s="59">
        <f>Historicals!H214</f>
        <v>0.14000000000000001</v>
      </c>
      <c r="I171" s="59">
        <f>Historicals!I214</f>
        <v>-0.16</v>
      </c>
      <c r="J171" s="82">
        <f>AVERAGE(G171:I171)*(1+$O$171)</f>
        <v>2.0600000000000007E-2</v>
      </c>
      <c r="K171" s="82">
        <f t="shared" ref="K171:N171" si="531">AVERAGE(H171:J171)*(1+$O$171)</f>
        <v>2.060000000000059E-4</v>
      </c>
      <c r="L171" s="82">
        <f t="shared" si="531"/>
        <v>-4.7789939999999996E-2</v>
      </c>
      <c r="M171" s="82">
        <f t="shared" si="531"/>
        <v>-9.2644860666666606E-3</v>
      </c>
      <c r="N171" s="82">
        <f t="shared" si="531"/>
        <v>-1.9517959616222217E-2</v>
      </c>
      <c r="O171" s="82">
        <v>0.03</v>
      </c>
    </row>
    <row r="172" spans="1:15" x14ac:dyDescent="0.3">
      <c r="A172" s="42" t="s">
        <v>138</v>
      </c>
      <c r="B172" s="45" t="str">
        <f t="shared" ref="B172:I172" si="532">+IFERROR(B170-B171,"nm")</f>
        <v>nm</v>
      </c>
      <c r="C172" s="45" t="str">
        <f t="shared" si="532"/>
        <v>nm</v>
      </c>
      <c r="D172" s="45" t="str">
        <f t="shared" si="532"/>
        <v>nm</v>
      </c>
      <c r="E172" s="45" t="str">
        <f t="shared" si="532"/>
        <v>nm</v>
      </c>
      <c r="F172" s="45" t="str">
        <f t="shared" si="532"/>
        <v>nm</v>
      </c>
      <c r="G172" s="45" t="str">
        <f t="shared" si="532"/>
        <v>nm</v>
      </c>
      <c r="H172" s="45" t="str">
        <f t="shared" si="532"/>
        <v>nm</v>
      </c>
      <c r="I172" s="45">
        <f t="shared" si="532"/>
        <v>5.6551724137931039E-2</v>
      </c>
      <c r="J172" s="82">
        <v>0</v>
      </c>
      <c r="K172" s="82">
        <v>0</v>
      </c>
      <c r="L172" s="82">
        <v>0</v>
      </c>
      <c r="M172" s="82">
        <v>0</v>
      </c>
      <c r="N172" s="82">
        <v>0</v>
      </c>
      <c r="O172" s="82"/>
    </row>
    <row r="173" spans="1:15" x14ac:dyDescent="0.3">
      <c r="A173" s="9" t="s">
        <v>130</v>
      </c>
      <c r="B173" s="1">
        <f>Historicals!B175+Historicals!B142</f>
        <v>535</v>
      </c>
      <c r="C173" s="1">
        <f>Historicals!C175+Historicals!C142</f>
        <v>514</v>
      </c>
      <c r="D173" s="1">
        <f>Historicals!D175+Historicals!D142</f>
        <v>505</v>
      </c>
      <c r="E173" s="1">
        <f>Historicals!E175+Historicals!E142</f>
        <v>343</v>
      </c>
      <c r="F173" s="1">
        <f>Historicals!F175+Historicals!F142</f>
        <v>334</v>
      </c>
      <c r="G173" s="1">
        <f>Historicals!G175+Historicals!G142</f>
        <v>322</v>
      </c>
      <c r="H173" s="1">
        <f>Historicals!H175+Historicals!H142</f>
        <v>569</v>
      </c>
      <c r="I173" s="1">
        <f>Historicals!I175+Historicals!I142</f>
        <v>691</v>
      </c>
      <c r="J173" s="69">
        <f>J159*J175</f>
        <v>623.04481818592205</v>
      </c>
      <c r="K173" s="69">
        <f t="shared" ref="K173:N173" si="533">K159*K175</f>
        <v>761.29214119876963</v>
      </c>
      <c r="L173" s="69">
        <f t="shared" si="533"/>
        <v>844.40552157229263</v>
      </c>
      <c r="M173" s="69">
        <f t="shared" si="533"/>
        <v>902.24570406766986</v>
      </c>
      <c r="N173" s="69">
        <f t="shared" si="533"/>
        <v>1019.6077017368797</v>
      </c>
      <c r="O173" s="69"/>
    </row>
    <row r="174" spans="1:15" x14ac:dyDescent="0.3">
      <c r="A174" s="44" t="s">
        <v>129</v>
      </c>
      <c r="B174" s="60" t="str">
        <f>IFERROR((B173-A173)/A173,"nm")</f>
        <v>nm</v>
      </c>
      <c r="C174" s="60">
        <f t="shared" ref="C174" si="534">IFERROR((C173-B173)/B173,"nm")</f>
        <v>-3.925233644859813E-2</v>
      </c>
      <c r="D174" s="60">
        <f t="shared" ref="D174" si="535">IFERROR((D173-C173)/C173,"nm")</f>
        <v>-1.7509727626459144E-2</v>
      </c>
      <c r="E174" s="60">
        <f t="shared" ref="E174" si="536">IFERROR((E173-D173)/D173,"nm")</f>
        <v>-0.3207920792079208</v>
      </c>
      <c r="F174" s="60">
        <f t="shared" ref="F174" si="537">IFERROR((F173-E173)/E173,"nm")</f>
        <v>-2.6239067055393587E-2</v>
      </c>
      <c r="G174" s="60">
        <f t="shared" ref="G174" si="538">IFERROR((G173-F173)/F173,"nm")</f>
        <v>-3.5928143712574849E-2</v>
      </c>
      <c r="H174" s="60">
        <f t="shared" ref="H174" si="539">IFERROR((H173-G173)/G173,"nm")</f>
        <v>0.76708074534161486</v>
      </c>
      <c r="I174" s="60">
        <f t="shared" ref="I174" si="540">IFERROR((I173-H173)/H173,"nm")</f>
        <v>0.21441124780316345</v>
      </c>
      <c r="J174" s="71">
        <f t="shared" ref="J174" si="541">IFERROR((J173-I173)/I173,"nm")</f>
        <v>-9.834324430402018E-2</v>
      </c>
      <c r="K174" s="71">
        <f t="shared" ref="K174" si="542">IFERROR((K173-J173)/J173,"nm")</f>
        <v>0.22188985282852214</v>
      </c>
      <c r="L174" s="71">
        <f t="shared" ref="L174" si="543">IFERROR((L173-K173)/K173,"nm")</f>
        <v>0.10917409477345767</v>
      </c>
      <c r="M174" s="71">
        <f t="shared" ref="M174" si="544">IFERROR((M173-L173)/L173,"nm")</f>
        <v>6.8498110229878839E-2</v>
      </c>
      <c r="N174" s="71">
        <f t="shared" ref="N174" si="545">IFERROR((N173-M173)/M173,"nm")</f>
        <v>0.13007764641061398</v>
      </c>
      <c r="O174" s="71"/>
    </row>
    <row r="175" spans="1:15" x14ac:dyDescent="0.3">
      <c r="A175" s="44" t="s">
        <v>131</v>
      </c>
      <c r="B175" s="59">
        <f>IFERROR(B173/B$159, "nm")</f>
        <v>0.26992936427850656</v>
      </c>
      <c r="C175" s="59">
        <f t="shared" ref="C175:I175" si="546">IFERROR(C173/C$159, "nm")</f>
        <v>0.26291560102301792</v>
      </c>
      <c r="D175" s="59">
        <f t="shared" si="546"/>
        <v>0.24730656219392752</v>
      </c>
      <c r="E175" s="59">
        <f t="shared" si="546"/>
        <v>0.18186638388123011</v>
      </c>
      <c r="F175" s="59">
        <f t="shared" si="546"/>
        <v>0.17523609653725078</v>
      </c>
      <c r="G175" s="59">
        <f t="shared" si="546"/>
        <v>0.17443120260021669</v>
      </c>
      <c r="H175" s="59">
        <f t="shared" si="546"/>
        <v>0.25804988662131517</v>
      </c>
      <c r="I175" s="59">
        <f t="shared" si="546"/>
        <v>0.29454390451832907</v>
      </c>
      <c r="J175" s="82">
        <f>AVERAGE(G175:I175)*(1+$O$175)</f>
        <v>0.24476508122575319</v>
      </c>
      <c r="K175" s="82">
        <f t="shared" ref="K175:N175" si="547">AVERAGE(H175:J175)*(1+$O$175)</f>
        <v>0.2684441536963505</v>
      </c>
      <c r="L175" s="82">
        <f t="shared" si="547"/>
        <v>0.27194355694494571</v>
      </c>
      <c r="M175" s="82">
        <f t="shared" si="547"/>
        <v>0.26433477326190663</v>
      </c>
      <c r="N175" s="82">
        <f t="shared" si="547"/>
        <v>0.2709232362474116</v>
      </c>
      <c r="O175" s="70">
        <v>0.01</v>
      </c>
    </row>
    <row r="176" spans="1:15" x14ac:dyDescent="0.3">
      <c r="A176" s="9" t="s">
        <v>132</v>
      </c>
      <c r="B176" s="1">
        <f>Historicals!B175</f>
        <v>18</v>
      </c>
      <c r="C176" s="1">
        <f>Historicals!C175</f>
        <v>27</v>
      </c>
      <c r="D176" s="1">
        <f>Historicals!D175</f>
        <v>28</v>
      </c>
      <c r="E176" s="1">
        <f>Historicals!E175</f>
        <v>33</v>
      </c>
      <c r="F176" s="1">
        <f>Historicals!F175</f>
        <v>31</v>
      </c>
      <c r="G176" s="1">
        <f>Historicals!G175</f>
        <v>25</v>
      </c>
      <c r="H176" s="1">
        <f>Historicals!H175</f>
        <v>26</v>
      </c>
      <c r="I176" s="1">
        <f>Historicals!I175</f>
        <v>22</v>
      </c>
      <c r="J176" s="69">
        <f>J159*J178</f>
        <v>29.747304183721024</v>
      </c>
      <c r="K176" s="69">
        <f t="shared" ref="K176:N176" si="548">K159*K178</f>
        <v>31.369229165594891</v>
      </c>
      <c r="L176" s="69">
        <f t="shared" si="548"/>
        <v>33.582999857722307</v>
      </c>
      <c r="M176" s="69">
        <f t="shared" si="548"/>
        <v>38.56854517383978</v>
      </c>
      <c r="N176" s="69">
        <f t="shared" si="548"/>
        <v>42.035517899006415</v>
      </c>
      <c r="O176" s="69"/>
    </row>
    <row r="177" spans="1:15" x14ac:dyDescent="0.3">
      <c r="A177" s="44" t="s">
        <v>129</v>
      </c>
      <c r="B177" s="60" t="str">
        <f>IFERROR((B176-A176)/A176,"nm")</f>
        <v>nm</v>
      </c>
      <c r="C177" s="60">
        <f t="shared" ref="C177" si="549">IFERROR((C176-B176)/B176,"nm")</f>
        <v>0.5</v>
      </c>
      <c r="D177" s="60">
        <f t="shared" ref="D177" si="550">IFERROR((D176-C176)/C176,"nm")</f>
        <v>3.7037037037037035E-2</v>
      </c>
      <c r="E177" s="60">
        <f t="shared" ref="E177" si="551">IFERROR((E176-D176)/D176,"nm")</f>
        <v>0.17857142857142858</v>
      </c>
      <c r="F177" s="60">
        <f t="shared" ref="F177" si="552">IFERROR((F176-E176)/E176,"nm")</f>
        <v>-6.0606060606060608E-2</v>
      </c>
      <c r="G177" s="60">
        <f t="shared" ref="G177" si="553">IFERROR((G176-F176)/F176,"nm")</f>
        <v>-0.19354838709677419</v>
      </c>
      <c r="H177" s="60">
        <f t="shared" ref="H177" si="554">IFERROR((H176-G176)/G176,"nm")</f>
        <v>0.04</v>
      </c>
      <c r="I177" s="60">
        <f t="shared" ref="I177" si="555">IFERROR((I176-H176)/H176,"nm")</f>
        <v>-0.15384615384615385</v>
      </c>
      <c r="J177" s="83">
        <f t="shared" ref="J177" si="556">IFERROR((J176-I176)/I176,"nm")</f>
        <v>0.35215019016913746</v>
      </c>
      <c r="K177" s="83">
        <f t="shared" ref="K177" si="557">IFERROR((K176-J176)/J176,"nm")</f>
        <v>5.4523427462763265E-2</v>
      </c>
      <c r="L177" s="83">
        <f t="shared" ref="L177" si="558">IFERROR((L176-K176)/K176,"nm")</f>
        <v>7.0571408702494745E-2</v>
      </c>
      <c r="M177" s="83">
        <f t="shared" ref="M177" si="559">IFERROR((M176-L176)/L176,"nm")</f>
        <v>0.14845443638862604</v>
      </c>
      <c r="N177" s="83">
        <f t="shared" ref="N177" si="560">IFERROR((N176-M176)/M176,"nm")</f>
        <v>8.9891197854105417E-2</v>
      </c>
      <c r="O177" s="83"/>
    </row>
    <row r="178" spans="1:15" x14ac:dyDescent="0.3">
      <c r="A178" s="44" t="s">
        <v>133</v>
      </c>
      <c r="B178" s="59">
        <f>IFERROR(B176/B$159, "nm")</f>
        <v>9.0817356205852677E-3</v>
      </c>
      <c r="C178" s="59">
        <f t="shared" ref="C178:I178" si="561">IFERROR(C176/C$159, "nm")</f>
        <v>1.3810741687979539E-2</v>
      </c>
      <c r="D178" s="59">
        <f t="shared" si="561"/>
        <v>1.3712047012732615E-2</v>
      </c>
      <c r="E178" s="59">
        <f t="shared" si="561"/>
        <v>1.7497348886532343E-2</v>
      </c>
      <c r="F178" s="59">
        <f t="shared" si="561"/>
        <v>1.6264428121720881E-2</v>
      </c>
      <c r="G178" s="59">
        <f t="shared" si="561"/>
        <v>1.3542795232936078E-2</v>
      </c>
      <c r="H178" s="59">
        <f t="shared" si="561"/>
        <v>1.1791383219954649E-2</v>
      </c>
      <c r="I178" s="59">
        <f t="shared" si="561"/>
        <v>9.3776641091219103E-3</v>
      </c>
      <c r="J178" s="82">
        <f>AVERAGE(G178:I178)*(1+$O$178)</f>
        <v>1.1686320329210922E-2</v>
      </c>
      <c r="K178" s="82">
        <f t="shared" ref="K178:N178" si="562">AVERAGE(H178:J178)*(1+$O$178)</f>
        <v>1.1061307111623453E-2</v>
      </c>
      <c r="L178" s="82">
        <f t="shared" si="562"/>
        <v>1.0815514821818617E-2</v>
      </c>
      <c r="M178" s="82">
        <f t="shared" si="562"/>
        <v>1.1299591228426508E-2</v>
      </c>
      <c r="N178" s="82">
        <f t="shared" si="562"/>
        <v>1.116939243116242E-2</v>
      </c>
      <c r="O178" s="70">
        <v>0.01</v>
      </c>
    </row>
    <row r="179" spans="1:15" x14ac:dyDescent="0.3">
      <c r="A179" s="9" t="s">
        <v>134</v>
      </c>
      <c r="B179" s="1">
        <f>B173-B176</f>
        <v>517</v>
      </c>
      <c r="C179" s="1">
        <f t="shared" ref="C179:N179" si="563">C173-C176</f>
        <v>487</v>
      </c>
      <c r="D179" s="1">
        <f t="shared" si="563"/>
        <v>477</v>
      </c>
      <c r="E179" s="1">
        <f t="shared" si="563"/>
        <v>310</v>
      </c>
      <c r="F179" s="1">
        <f t="shared" si="563"/>
        <v>303</v>
      </c>
      <c r="G179" s="1">
        <f t="shared" si="563"/>
        <v>297</v>
      </c>
      <c r="H179" s="1">
        <f t="shared" si="563"/>
        <v>543</v>
      </c>
      <c r="I179" s="1">
        <f t="shared" si="563"/>
        <v>669</v>
      </c>
      <c r="J179" s="123">
        <f t="shared" si="563"/>
        <v>593.29751400220107</v>
      </c>
      <c r="K179" s="123">
        <f t="shared" si="563"/>
        <v>729.92291203317473</v>
      </c>
      <c r="L179" s="123">
        <f t="shared" si="563"/>
        <v>810.82252171457037</v>
      </c>
      <c r="M179" s="123">
        <f t="shared" si="563"/>
        <v>863.6771588938301</v>
      </c>
      <c r="N179" s="123">
        <f t="shared" si="563"/>
        <v>977.57218383787324</v>
      </c>
      <c r="O179" s="123"/>
    </row>
    <row r="180" spans="1:15" x14ac:dyDescent="0.3">
      <c r="A180" s="44" t="s">
        <v>129</v>
      </c>
      <c r="B180" s="60" t="str">
        <f>IFERROR((B179-A179)/A179,"nm")</f>
        <v>nm</v>
      </c>
      <c r="C180" s="60">
        <f t="shared" ref="C180" si="564">IFERROR((C179-B179)/B179,"nm")</f>
        <v>-5.8027079303675046E-2</v>
      </c>
      <c r="D180" s="60">
        <f t="shared" ref="D180" si="565">IFERROR((D179-C179)/C179,"nm")</f>
        <v>-2.0533880903490759E-2</v>
      </c>
      <c r="E180" s="60">
        <f t="shared" ref="E180" si="566">IFERROR((E179-D179)/D179,"nm")</f>
        <v>-0.35010482180293501</v>
      </c>
      <c r="F180" s="60">
        <f t="shared" ref="F180" si="567">IFERROR((F179-E179)/E179,"nm")</f>
        <v>-2.2580645161290321E-2</v>
      </c>
      <c r="G180" s="60">
        <f t="shared" ref="G180" si="568">IFERROR((G179-F179)/F179,"nm")</f>
        <v>-1.9801980198019802E-2</v>
      </c>
      <c r="H180" s="60">
        <f t="shared" ref="H180" si="569">IFERROR((H179-G179)/G179,"nm")</f>
        <v>0.82828282828282829</v>
      </c>
      <c r="I180" s="60">
        <f t="shared" ref="I180" si="570">IFERROR((I179-H179)/H179,"nm")</f>
        <v>0.23204419889502761</v>
      </c>
      <c r="J180" s="71">
        <f t="shared" ref="J180" si="571">IFERROR((J179-I179)/I179,"nm")</f>
        <v>-0.11315767712675476</v>
      </c>
      <c r="K180" s="71">
        <f t="shared" ref="K180" si="572">IFERROR((K179-J179)/J179,"nm")</f>
        <v>0.23028142678256155</v>
      </c>
      <c r="L180" s="71">
        <f t="shared" ref="L180" si="573">IFERROR((L179-K179)/K179,"nm")</f>
        <v>0.11083308709415987</v>
      </c>
      <c r="M180" s="71">
        <f t="shared" ref="M180" si="574">IFERROR((M179-L179)/L179,"nm")</f>
        <v>6.5186444337403185E-2</v>
      </c>
      <c r="N180" s="71">
        <f t="shared" ref="N180" si="575">IFERROR((N179-M179)/M179,"nm")</f>
        <v>0.13187222073803159</v>
      </c>
      <c r="O180" s="71"/>
    </row>
    <row r="181" spans="1:15" x14ac:dyDescent="0.3">
      <c r="A181" s="44" t="s">
        <v>131</v>
      </c>
      <c r="B181" s="59">
        <f>IFERROR(B179/B$159, "nm")</f>
        <v>0.26084762865792127</v>
      </c>
      <c r="C181" s="59">
        <f t="shared" ref="C181:I181" si="576">IFERROR(C179/C$159, "nm")</f>
        <v>0.24910485933503837</v>
      </c>
      <c r="D181" s="59">
        <f t="shared" si="576"/>
        <v>0.23359451518119489</v>
      </c>
      <c r="E181" s="59">
        <f t="shared" si="576"/>
        <v>0.16436903499469777</v>
      </c>
      <c r="F181" s="59">
        <f t="shared" si="576"/>
        <v>0.1589716684155299</v>
      </c>
      <c r="G181" s="59">
        <f t="shared" si="576"/>
        <v>0.16088840736728061</v>
      </c>
      <c r="H181" s="59">
        <f t="shared" si="576"/>
        <v>0.24625850340136055</v>
      </c>
      <c r="I181" s="59">
        <f t="shared" si="576"/>
        <v>0.28516624040920718</v>
      </c>
      <c r="J181" s="82">
        <f>AVERAGE(G181:I181)*(1+$O$181)</f>
        <v>0.23307876089654231</v>
      </c>
      <c r="K181" s="82">
        <f t="shared" ref="K181:N181" si="577">AVERAGE(H181:J181)*(1+$O$181)</f>
        <v>0.25738284658472704</v>
      </c>
      <c r="L181" s="82">
        <f t="shared" si="577"/>
        <v>0.26112804212312712</v>
      </c>
      <c r="M181" s="82">
        <f t="shared" si="577"/>
        <v>0.25303518203348013</v>
      </c>
      <c r="N181" s="82">
        <f t="shared" si="577"/>
        <v>0.25975384381624922</v>
      </c>
      <c r="O181" s="70">
        <v>0.01</v>
      </c>
    </row>
    <row r="182" spans="1:15" x14ac:dyDescent="0.3">
      <c r="A182" s="9" t="s">
        <v>135</v>
      </c>
      <c r="B182" s="1">
        <f>Historicals!B164</f>
        <v>69</v>
      </c>
      <c r="C182" s="1">
        <f>Historicals!C164</f>
        <v>39</v>
      </c>
      <c r="D182" s="1">
        <f>Historicals!D164</f>
        <v>30</v>
      </c>
      <c r="E182" s="1">
        <f>Historicals!E164</f>
        <v>22</v>
      </c>
      <c r="F182" s="1">
        <f>Historicals!F164</f>
        <v>18</v>
      </c>
      <c r="G182" s="1">
        <f>Historicals!G164</f>
        <v>12</v>
      </c>
      <c r="H182" s="1">
        <f>Historicals!H164</f>
        <v>7</v>
      </c>
      <c r="I182" s="1">
        <f>Historicals!I164</f>
        <v>9</v>
      </c>
      <c r="J182" s="69">
        <f>J159*J184</f>
        <v>9.8629243814310374</v>
      </c>
      <c r="K182" s="69">
        <f t="shared" ref="K182:N182" si="578">K159*K184</f>
        <v>11.098253632849543</v>
      </c>
      <c r="L182" s="69">
        <f t="shared" si="578"/>
        <v>12.273005075123425</v>
      </c>
      <c r="M182" s="69">
        <f t="shared" si="578"/>
        <v>13.626067039732861</v>
      </c>
      <c r="N182" s="69">
        <f t="shared" si="578"/>
        <v>15.174284529415113</v>
      </c>
      <c r="O182" s="69"/>
    </row>
    <row r="183" spans="1:15" x14ac:dyDescent="0.3">
      <c r="A183" s="44" t="s">
        <v>129</v>
      </c>
      <c r="B183" s="60" t="str">
        <f>IFERROR((B182-A182)/A182,"nm")</f>
        <v>nm</v>
      </c>
      <c r="C183" s="60">
        <f t="shared" ref="C183" si="579">IFERROR((C182-B182)/B182,"nm")</f>
        <v>-0.43478260869565216</v>
      </c>
      <c r="D183" s="60">
        <f t="shared" ref="D183" si="580">IFERROR((D182-C182)/C182,"nm")</f>
        <v>-0.23076923076923078</v>
      </c>
      <c r="E183" s="60">
        <f t="shared" ref="E183" si="581">IFERROR((E182-D182)/D182,"nm")</f>
        <v>-0.26666666666666666</v>
      </c>
      <c r="F183" s="60">
        <f t="shared" ref="F183" si="582">IFERROR((F182-E182)/E182,"nm")</f>
        <v>-0.18181818181818182</v>
      </c>
      <c r="G183" s="60">
        <f t="shared" ref="G183" si="583">IFERROR((G182-F182)/F182,"nm")</f>
        <v>-0.33333333333333331</v>
      </c>
      <c r="H183" s="60">
        <f t="shared" ref="H183" si="584">IFERROR((H182-G182)/G182,"nm")</f>
        <v>-0.41666666666666669</v>
      </c>
      <c r="I183" s="60">
        <f t="shared" ref="I183" si="585">IFERROR((I182-H182)/H182,"nm")</f>
        <v>0.2857142857142857</v>
      </c>
      <c r="J183" s="83">
        <f t="shared" ref="J183" si="586">IFERROR((J182-I182)/I182,"nm")</f>
        <v>9.5880486825670824E-2</v>
      </c>
      <c r="K183" s="83">
        <f t="shared" ref="K183" si="587">IFERROR((K182-J182)/J182,"nm")</f>
        <v>0.12524979444679354</v>
      </c>
      <c r="L183" s="83">
        <f t="shared" ref="L183" si="588">IFERROR((L182-K182)/K182,"nm")</f>
        <v>0.10585011670635766</v>
      </c>
      <c r="M183" s="83">
        <f t="shared" ref="M183" si="589">IFERROR((M182-L182)/L182,"nm")</f>
        <v>0.11024699788905032</v>
      </c>
      <c r="N183" s="83">
        <f t="shared" ref="N183" si="590">IFERROR((N182-M182)/M182,"nm")</f>
        <v>0.11362174317561585</v>
      </c>
      <c r="O183" s="83"/>
    </row>
    <row r="184" spans="1:15" x14ac:dyDescent="0.3">
      <c r="A184" s="44" t="s">
        <v>133</v>
      </c>
      <c r="B184" s="59">
        <f>IFERROR(B182/B$159, "nm")</f>
        <v>3.481331987891019E-2</v>
      </c>
      <c r="C184" s="59">
        <f t="shared" ref="C184:I184" si="591">IFERROR(C182/C$159, "nm")</f>
        <v>1.9948849104859334E-2</v>
      </c>
      <c r="D184" s="59">
        <f t="shared" si="591"/>
        <v>1.4691478942213516E-2</v>
      </c>
      <c r="E184" s="59">
        <f t="shared" si="591"/>
        <v>1.166489925768823E-2</v>
      </c>
      <c r="F184" s="59">
        <f t="shared" si="591"/>
        <v>9.4438614900314802E-3</v>
      </c>
      <c r="G184" s="59">
        <f t="shared" si="591"/>
        <v>6.5005417118093175E-3</v>
      </c>
      <c r="H184" s="59">
        <f t="shared" si="591"/>
        <v>3.1746031746031746E-3</v>
      </c>
      <c r="I184" s="59">
        <f t="shared" si="591"/>
        <v>3.8363171355498722E-3</v>
      </c>
      <c r="J184" s="82">
        <f>I184*(1+$O$184)</f>
        <v>3.874680306905371E-3</v>
      </c>
      <c r="K184" s="82">
        <f t="shared" ref="K184:N184" si="592">J184*(1+$O$184)</f>
        <v>3.9134271099744251E-3</v>
      </c>
      <c r="L184" s="82">
        <f t="shared" si="592"/>
        <v>3.952561381074169E-3</v>
      </c>
      <c r="M184" s="82">
        <f t="shared" si="592"/>
        <v>3.9920869948849112E-3</v>
      </c>
      <c r="N184" s="82">
        <f t="shared" si="592"/>
        <v>4.0320078648337599E-3</v>
      </c>
      <c r="O184" s="84">
        <v>0.01</v>
      </c>
    </row>
    <row r="185" spans="1:15" x14ac:dyDescent="0.3">
      <c r="A185" s="66" t="s">
        <v>146</v>
      </c>
      <c r="B185" s="68">
        <f>Historicals!B153</f>
        <v>122</v>
      </c>
      <c r="C185" s="68">
        <f>Historicals!C153</f>
        <v>125</v>
      </c>
      <c r="D185" s="68">
        <f>Historicals!D153</f>
        <v>125</v>
      </c>
      <c r="E185" s="68">
        <f>Historicals!E153</f>
        <v>115</v>
      </c>
      <c r="F185" s="68">
        <f>Historicals!F153</f>
        <v>100</v>
      </c>
      <c r="G185" s="68">
        <f>Historicals!G153</f>
        <v>80</v>
      </c>
      <c r="H185" s="68">
        <f>Historicals!H153</f>
        <v>63</v>
      </c>
      <c r="I185" s="68">
        <f>Historicals!I153</f>
        <v>49</v>
      </c>
      <c r="J185" s="124">
        <f>J159*J187</f>
        <v>54.761473435734267</v>
      </c>
      <c r="K185" s="124">
        <f t="shared" ref="K185:N185" si="593">K159*K187</f>
        <v>62.840541414830128</v>
      </c>
      <c r="L185" s="124">
        <f t="shared" si="593"/>
        <v>70.868303622975262</v>
      </c>
      <c r="M185" s="124">
        <f t="shared" si="593"/>
        <v>80.239367310084077</v>
      </c>
      <c r="N185" s="124">
        <f t="shared" si="593"/>
        <v>91.125735859425049</v>
      </c>
      <c r="O185" s="124"/>
    </row>
    <row r="186" spans="1:15" x14ac:dyDescent="0.3">
      <c r="A186" s="65" t="s">
        <v>129</v>
      </c>
      <c r="B186" s="60" t="str">
        <f>IFERROR((B185-A185)/A185,"nm")</f>
        <v>nm</v>
      </c>
      <c r="C186" s="60">
        <f t="shared" ref="C186:I186" si="594">IFERROR((C185-B185)/B185,"nm")</f>
        <v>2.4590163934426229E-2</v>
      </c>
      <c r="D186" s="60">
        <f t="shared" si="594"/>
        <v>0</v>
      </c>
      <c r="E186" s="60">
        <f t="shared" si="594"/>
        <v>-0.08</v>
      </c>
      <c r="F186" s="60">
        <f t="shared" si="594"/>
        <v>-0.13043478260869565</v>
      </c>
      <c r="G186" s="60">
        <f t="shared" si="594"/>
        <v>-0.2</v>
      </c>
      <c r="H186" s="60">
        <f t="shared" si="594"/>
        <v>-0.21249999999999999</v>
      </c>
      <c r="I186" s="60">
        <f t="shared" si="594"/>
        <v>-0.22222222222222221</v>
      </c>
      <c r="J186" s="71">
        <f t="shared" ref="J186" si="595">IFERROR((J185-I185)/I185,"nm")</f>
        <v>0.11758109052518913</v>
      </c>
      <c r="K186" s="71">
        <f t="shared" ref="K186" si="596">IFERROR((K185-J185)/J185,"nm")</f>
        <v>0.14753196859425469</v>
      </c>
      <c r="L186" s="71">
        <f t="shared" ref="L186" si="597">IFERROR((L185-K185)/K185,"nm")</f>
        <v>0.12774813881935482</v>
      </c>
      <c r="M186" s="71">
        <f t="shared" ref="M186" si="598">IFERROR((M185-L185)/L185,"nm")</f>
        <v>0.13223208695616004</v>
      </c>
      <c r="N186" s="71">
        <f t="shared" ref="N186" si="599">IFERROR((N185-M185)/M185,"nm")</f>
        <v>0.13567365888206384</v>
      </c>
      <c r="O186" s="71"/>
    </row>
    <row r="187" spans="1:15" x14ac:dyDescent="0.3">
      <c r="A187" s="65" t="s">
        <v>133</v>
      </c>
      <c r="B187" s="59">
        <f>IFERROR(B185/B$159, "nm")</f>
        <v>6.1553985872855703E-2</v>
      </c>
      <c r="C187" s="59">
        <f t="shared" ref="C187:I187" si="600">IFERROR(C185/C$159, "nm")</f>
        <v>6.3938618925831206E-2</v>
      </c>
      <c r="D187" s="59">
        <f t="shared" si="600"/>
        <v>6.1214495592556317E-2</v>
      </c>
      <c r="E187" s="59">
        <f t="shared" si="600"/>
        <v>6.097560975609756E-2</v>
      </c>
      <c r="F187" s="59">
        <f t="shared" si="600"/>
        <v>5.2465897166841552E-2</v>
      </c>
      <c r="G187" s="59">
        <f t="shared" si="600"/>
        <v>4.3336944745395449E-2</v>
      </c>
      <c r="H187" s="59">
        <f t="shared" si="600"/>
        <v>2.8571428571428571E-2</v>
      </c>
      <c r="I187" s="59">
        <f t="shared" si="600"/>
        <v>2.0886615515771527E-2</v>
      </c>
      <c r="J187" s="82">
        <f>I187*(1+$O$187)</f>
        <v>2.1513213981244672E-2</v>
      </c>
      <c r="K187" s="82">
        <f t="shared" ref="K187:N187" si="601">J187*(1+$O$187)</f>
        <v>2.2158610400682014E-2</v>
      </c>
      <c r="L187" s="82">
        <f t="shared" si="601"/>
        <v>2.2823368712702474E-2</v>
      </c>
      <c r="M187" s="82">
        <f t="shared" si="601"/>
        <v>2.3508069774083547E-2</v>
      </c>
      <c r="N187" s="82">
        <f t="shared" si="601"/>
        <v>2.4213311867306055E-2</v>
      </c>
      <c r="O187" s="74">
        <v>0.03</v>
      </c>
    </row>
    <row r="188" spans="1:15" x14ac:dyDescent="0.3">
      <c r="A188" t="s">
        <v>121</v>
      </c>
      <c r="B188" s="78">
        <f>Historicals!B131</f>
        <v>0</v>
      </c>
      <c r="C188" s="78">
        <f>Historicals!C131</f>
        <v>0</v>
      </c>
      <c r="D188" s="78">
        <f>Historicals!D131</f>
        <v>0</v>
      </c>
      <c r="E188" s="78">
        <f>Historicals!E131</f>
        <v>0</v>
      </c>
      <c r="F188" s="78">
        <f>Historicals!F131</f>
        <v>0</v>
      </c>
      <c r="G188" s="78">
        <f>Historicals!G131</f>
        <v>0</v>
      </c>
      <c r="H188" s="79">
        <f>Historicals!H131</f>
        <v>86</v>
      </c>
      <c r="I188" s="79">
        <f>Historicals!I131</f>
        <v>123</v>
      </c>
      <c r="J188" s="79">
        <f>I188*(1+J189)</f>
        <v>167.98081395348837</v>
      </c>
      <c r="K188" s="79">
        <f t="shared" ref="K188:N188" si="602">J188*(1+K189)</f>
        <v>220.19647801176311</v>
      </c>
      <c r="L188" s="79">
        <f t="shared" si="602"/>
        <v>278.37603610690309</v>
      </c>
      <c r="M188" s="79">
        <f t="shared" si="602"/>
        <v>340.89486326768309</v>
      </c>
      <c r="N188" s="79">
        <f t="shared" si="602"/>
        <v>405.97048987147133</v>
      </c>
      <c r="O188" s="79"/>
    </row>
    <row r="189" spans="1:15" x14ac:dyDescent="0.3">
      <c r="B189" s="60" t="str">
        <f>IFERROR((B188-A188)/A188,"nm")</f>
        <v>nm</v>
      </c>
      <c r="C189" s="60" t="str">
        <f t="shared" ref="C189:I189" si="603">IFERROR((C188-B188)/B188,"nm")</f>
        <v>nm</v>
      </c>
      <c r="D189" s="60" t="str">
        <f t="shared" si="603"/>
        <v>nm</v>
      </c>
      <c r="E189" s="60" t="str">
        <f t="shared" si="603"/>
        <v>nm</v>
      </c>
      <c r="F189" s="60" t="str">
        <f t="shared" si="603"/>
        <v>nm</v>
      </c>
      <c r="G189" s="60" t="str">
        <f t="shared" si="603"/>
        <v>nm</v>
      </c>
      <c r="H189" s="60" t="str">
        <f t="shared" si="603"/>
        <v>nm</v>
      </c>
      <c r="I189" s="60">
        <f t="shared" si="603"/>
        <v>0.43023255813953487</v>
      </c>
      <c r="J189" s="82">
        <f>I189*(1+$O$189)</f>
        <v>0.36569767441860462</v>
      </c>
      <c r="K189" s="82">
        <f t="shared" ref="K189:N189" si="604">J189*(1+$O$189)</f>
        <v>0.31084302325581392</v>
      </c>
      <c r="L189" s="82">
        <f t="shared" si="604"/>
        <v>0.26421656976744184</v>
      </c>
      <c r="M189" s="82">
        <f t="shared" si="604"/>
        <v>0.22458408430232557</v>
      </c>
      <c r="N189" s="82">
        <f t="shared" si="604"/>
        <v>0.19089647165697674</v>
      </c>
      <c r="O189" s="87">
        <v>-0.15</v>
      </c>
    </row>
    <row r="190" spans="1:15" x14ac:dyDescent="0.3">
      <c r="A190" s="65"/>
      <c r="B190" s="59"/>
      <c r="C190" s="59"/>
      <c r="D190" s="59"/>
      <c r="E190" s="59"/>
      <c r="F190" s="59"/>
      <c r="G190" s="59"/>
      <c r="H190" s="59"/>
      <c r="I190" s="59"/>
      <c r="J190" s="74"/>
      <c r="K190" s="74"/>
      <c r="L190" s="74"/>
      <c r="M190" s="74"/>
      <c r="N190" s="74"/>
      <c r="O190" s="74"/>
    </row>
    <row r="191" spans="1:15" x14ac:dyDescent="0.3">
      <c r="A191" s="41" t="str">
        <f>Historicals!A176</f>
        <v>Corporate</v>
      </c>
      <c r="B191" s="41"/>
      <c r="C191" s="41"/>
      <c r="D191" s="41"/>
      <c r="E191" s="41"/>
      <c r="F191" s="41"/>
      <c r="G191" s="41"/>
      <c r="H191" s="41"/>
      <c r="I191" s="41"/>
      <c r="J191" s="73"/>
      <c r="K191" s="73"/>
      <c r="L191" s="73"/>
      <c r="M191" s="73"/>
      <c r="N191" s="73"/>
      <c r="O191" s="73"/>
    </row>
    <row r="192" spans="1:15" x14ac:dyDescent="0.3">
      <c r="A192" s="9" t="s">
        <v>136</v>
      </c>
      <c r="B192" s="13">
        <f>-SUM(B21,B51,B81,B111,B141,B159)+B3</f>
        <v>-82</v>
      </c>
      <c r="C192" s="13">
        <f t="shared" ref="C192:I192" si="605">-SUM(C21,C51,C81,C111,C141,C159)+C3</f>
        <v>-86</v>
      </c>
      <c r="D192" s="13">
        <f t="shared" si="605"/>
        <v>75</v>
      </c>
      <c r="E192" s="13">
        <f t="shared" si="605"/>
        <v>26</v>
      </c>
      <c r="F192" s="13">
        <f t="shared" si="605"/>
        <v>-7</v>
      </c>
      <c r="G192" s="13">
        <f t="shared" si="605"/>
        <v>-11</v>
      </c>
      <c r="H192" s="13">
        <f t="shared" si="605"/>
        <v>40</v>
      </c>
      <c r="I192" s="13">
        <f t="shared" si="605"/>
        <v>-72</v>
      </c>
      <c r="J192" s="89">
        <f>I192*(1+J193)</f>
        <v>33.865584190576456</v>
      </c>
      <c r="K192" s="89">
        <f t="shared" ref="K192:N192" si="606">J192*(1+K193)</f>
        <v>-23.057862440581843</v>
      </c>
      <c r="L192" s="89">
        <f t="shared" si="606"/>
        <v>15.088265076362999</v>
      </c>
      <c r="M192" s="89">
        <f t="shared" si="606"/>
        <v>-11.966197190190439</v>
      </c>
      <c r="N192" s="89">
        <f t="shared" si="606"/>
        <v>10.358780657615688</v>
      </c>
    </row>
    <row r="193" spans="1:15" x14ac:dyDescent="0.3">
      <c r="A193" s="42" t="s">
        <v>129</v>
      </c>
      <c r="B193" s="60" t="str">
        <f>IFERROR((B192-A192)/A192,"nm")</f>
        <v>nm</v>
      </c>
      <c r="C193" s="60">
        <f>IFERROR((C192-B192)/B192,"nm")</f>
        <v>4.878048780487805E-2</v>
      </c>
      <c r="D193" s="60">
        <f t="shared" ref="D193" si="607">IFERROR((D192-C192)/C192,"nm")</f>
        <v>-1.8720930232558139</v>
      </c>
      <c r="E193" s="60">
        <f t="shared" ref="E193" si="608">IFERROR((E192-D192)/D192,"nm")</f>
        <v>-0.65333333333333332</v>
      </c>
      <c r="F193" s="60">
        <f t="shared" ref="F193" si="609">IFERROR((F192-E192)/E192,"nm")</f>
        <v>-1.2692307692307692</v>
      </c>
      <c r="G193" s="60">
        <f t="shared" ref="G193" si="610">IFERROR((G192-F192)/F192,"nm")</f>
        <v>0.5714285714285714</v>
      </c>
      <c r="H193" s="60">
        <f t="shared" ref="H193" si="611">IFERROR((H192-G192)/G192,"nm")</f>
        <v>-4.6363636363636367</v>
      </c>
      <c r="I193" s="60">
        <f t="shared" ref="I193" si="612">IFERROR((I192-H192)/H192,"nm")</f>
        <v>-2.8</v>
      </c>
      <c r="J193" s="71">
        <f>AVERAGE(C193:I193)*(1+$O$194)</f>
        <v>-1.4703553359802286</v>
      </c>
      <c r="K193" s="71">
        <f>AVERAGE(D193:J193)*(1+$O$194)</f>
        <v>-1.6808641572761647</v>
      </c>
      <c r="L193" s="71">
        <f>AVERAGE(E193:K193)*(1+$O$194)</f>
        <v>-1.6543653001332703</v>
      </c>
      <c r="M193" s="71">
        <f>AVERAGE(F193:L193)*(1+$O$194)</f>
        <v>-1.7930797298184047</v>
      </c>
      <c r="N193" s="71">
        <f>AVERAGE(G193:M193)*(1+$O$194)</f>
        <v>-1.8656702286426914</v>
      </c>
    </row>
    <row r="194" spans="1:15" x14ac:dyDescent="0.3">
      <c r="A194" s="42" t="s">
        <v>137</v>
      </c>
      <c r="B194" s="59">
        <f>Historicals!B216</f>
        <v>0</v>
      </c>
      <c r="C194" s="59">
        <f>Historicals!C216</f>
        <v>0</v>
      </c>
      <c r="D194" s="59">
        <f>Historicals!D216</f>
        <v>0</v>
      </c>
      <c r="E194" s="59">
        <f>Historicals!E216</f>
        <v>0</v>
      </c>
      <c r="F194" s="59">
        <f>Historicals!F216</f>
        <v>0</v>
      </c>
      <c r="G194" s="59">
        <f>Historicals!G216</f>
        <v>0</v>
      </c>
      <c r="H194" s="59">
        <f>Historicals!H216</f>
        <v>0</v>
      </c>
      <c r="I194" s="59">
        <f>Historicals!I216</f>
        <v>0</v>
      </c>
      <c r="J194" s="82">
        <f>I194*(1+$O$194)</f>
        <v>0</v>
      </c>
      <c r="K194" s="82">
        <f>J194*(1+$O$194)</f>
        <v>0</v>
      </c>
      <c r="L194" s="82">
        <f>K194*(1+$O$194)</f>
        <v>0</v>
      </c>
      <c r="M194" s="82">
        <f>L194*(1+$O$194)</f>
        <v>0</v>
      </c>
      <c r="N194" s="82">
        <f>M194*(1+$O$194)</f>
        <v>0</v>
      </c>
      <c r="O194" s="82">
        <v>-0.03</v>
      </c>
    </row>
    <row r="195" spans="1:15" x14ac:dyDescent="0.3">
      <c r="A195" s="42" t="s">
        <v>138</v>
      </c>
      <c r="B195" s="45" t="str">
        <f t="shared" ref="B195:I195" si="613">+IFERROR(B193-B194,"nm")</f>
        <v>nm</v>
      </c>
      <c r="C195" s="45">
        <f t="shared" si="613"/>
        <v>4.878048780487805E-2</v>
      </c>
      <c r="D195" s="45">
        <f t="shared" si="613"/>
        <v>-1.8720930232558139</v>
      </c>
      <c r="E195" s="45">
        <f t="shared" si="613"/>
        <v>-0.65333333333333332</v>
      </c>
      <c r="F195" s="45">
        <f t="shared" si="613"/>
        <v>-1.2692307692307692</v>
      </c>
      <c r="G195" s="45">
        <f t="shared" si="613"/>
        <v>0.5714285714285714</v>
      </c>
      <c r="H195" s="45">
        <f t="shared" si="613"/>
        <v>-4.6363636363636367</v>
      </c>
      <c r="I195" s="45">
        <f t="shared" si="613"/>
        <v>-2.8</v>
      </c>
      <c r="J195" s="62">
        <v>0</v>
      </c>
      <c r="K195" s="62">
        <v>0</v>
      </c>
      <c r="L195" s="62">
        <v>0</v>
      </c>
      <c r="M195" s="62">
        <v>0</v>
      </c>
      <c r="N195" s="62">
        <v>0</v>
      </c>
      <c r="O195" s="62"/>
    </row>
    <row r="196" spans="1:15" x14ac:dyDescent="0.3">
      <c r="A196" s="9" t="s">
        <v>130</v>
      </c>
      <c r="B196" s="13">
        <f>-SUM(B35,B65,B95,B125,B143,B173)+B5</f>
        <v>-1022</v>
      </c>
      <c r="C196" s="13">
        <f t="shared" ref="C196:I196" si="614">-SUM(C35,C65,C95,C125,C143,C173)+C5</f>
        <v>-1089</v>
      </c>
      <c r="D196" s="13">
        <f t="shared" si="614"/>
        <v>-633</v>
      </c>
      <c r="E196" s="13">
        <f t="shared" si="614"/>
        <v>-1346</v>
      </c>
      <c r="F196" s="13">
        <f t="shared" si="614"/>
        <v>-1694</v>
      </c>
      <c r="G196" s="13">
        <f t="shared" si="614"/>
        <v>-1855</v>
      </c>
      <c r="H196" s="13">
        <f t="shared" si="614"/>
        <v>-2120</v>
      </c>
      <c r="I196" s="13">
        <f t="shared" si="614"/>
        <v>-2085</v>
      </c>
      <c r="J196" s="81">
        <f>I196*(1+J197)</f>
        <v>-2047.674326460291</v>
      </c>
      <c r="K196" s="81">
        <f t="shared" ref="K196:N196" si="615">J196*(1+K197)</f>
        <v>-2016.057259216095</v>
      </c>
      <c r="L196" s="81">
        <f t="shared" si="615"/>
        <v>-1986.9695873296448</v>
      </c>
      <c r="M196" s="81">
        <f t="shared" si="615"/>
        <v>-1948.2598259807601</v>
      </c>
      <c r="N196" s="81">
        <f t="shared" si="615"/>
        <v>-1938.2097135663009</v>
      </c>
      <c r="O196" s="81"/>
    </row>
    <row r="197" spans="1:15" x14ac:dyDescent="0.3">
      <c r="A197" s="44" t="s">
        <v>129</v>
      </c>
      <c r="B197" s="60" t="str">
        <f>IFERROR((B196-A196)/A196,"nm")</f>
        <v>nm</v>
      </c>
      <c r="C197" s="60">
        <f t="shared" ref="C197" si="616">IFERROR((C196-B196)/B196,"nm")</f>
        <v>6.5557729941291581E-2</v>
      </c>
      <c r="D197" s="60">
        <f t="shared" ref="D197" si="617">IFERROR((D196-C196)/C196,"nm")</f>
        <v>-0.41873278236914602</v>
      </c>
      <c r="E197" s="60">
        <f t="shared" ref="E197" si="618">IFERROR((E196-D196)/D196,"nm")</f>
        <v>1.1263823064770933</v>
      </c>
      <c r="F197" s="60">
        <f t="shared" ref="F197" si="619">IFERROR((F196-E196)/E196,"nm")</f>
        <v>0.25854383358098071</v>
      </c>
      <c r="G197" s="60">
        <f t="shared" ref="G197" si="620">IFERROR((G196-F196)/F196,"nm")</f>
        <v>9.5041322314049589E-2</v>
      </c>
      <c r="H197" s="60">
        <f t="shared" ref="H197" si="621">IFERROR((H196-G196)/G196,"nm")</f>
        <v>0.14285714285714285</v>
      </c>
      <c r="I197" s="60">
        <f t="shared" ref="I197" si="622">IFERROR((I196-H196)/H196,"nm")</f>
        <v>-1.6509433962264151E-2</v>
      </c>
      <c r="J197" s="88">
        <f>AVERAGE(B197:I197)*(1+$O$197)</f>
        <v>-1.7902001697702126E-2</v>
      </c>
      <c r="K197" s="88">
        <f>AVERAGE(C197:J197)*(1+$O$197)</f>
        <v>-1.5440476464268086E-2</v>
      </c>
      <c r="L197" s="88">
        <f>AVERAGE(D197:K197)*(1+$O$197)</f>
        <v>-1.4427998884198585E-2</v>
      </c>
      <c r="M197" s="88">
        <f>AVERAGE(E197:L197)*(1+$O$197)</f>
        <v>-1.9481808677760431E-2</v>
      </c>
      <c r="N197" s="88">
        <f>AVERAGE(F197:M197)*(1+$O$197)</f>
        <v>-5.1585072383247511E-3</v>
      </c>
      <c r="O197" s="70">
        <v>-1.1000000000000001</v>
      </c>
    </row>
    <row r="198" spans="1:15" x14ac:dyDescent="0.3">
      <c r="A198" s="44" t="s">
        <v>131</v>
      </c>
      <c r="B198" s="61">
        <f>IFERROR(B196/B$192, "N/A")</f>
        <v>12.463414634146341</v>
      </c>
      <c r="C198" s="61">
        <f t="shared" ref="C198:N198" si="623">IFERROR(C196/C$192, "N/A")</f>
        <v>12.662790697674419</v>
      </c>
      <c r="D198" s="61">
        <f t="shared" si="623"/>
        <v>-8.44</v>
      </c>
      <c r="E198" s="61">
        <f t="shared" si="623"/>
        <v>-51.769230769230766</v>
      </c>
      <c r="F198" s="61">
        <f t="shared" si="623"/>
        <v>242</v>
      </c>
      <c r="G198" s="61">
        <f t="shared" si="623"/>
        <v>168.63636363636363</v>
      </c>
      <c r="H198" s="61">
        <f t="shared" si="623"/>
        <v>-53</v>
      </c>
      <c r="I198" s="61">
        <f t="shared" si="623"/>
        <v>28.958333333333332</v>
      </c>
      <c r="J198" s="61">
        <f t="shared" si="623"/>
        <v>-60.464757227784169</v>
      </c>
      <c r="K198" s="61">
        <f t="shared" si="623"/>
        <v>87.434698875982264</v>
      </c>
      <c r="L198" s="61">
        <f t="shared" si="623"/>
        <v>-131.68973220402887</v>
      </c>
      <c r="M198" s="61">
        <f t="shared" si="623"/>
        <v>162.81361530444192</v>
      </c>
      <c r="N198" s="61">
        <f t="shared" si="623"/>
        <v>-187.10790175302589</v>
      </c>
    </row>
    <row r="199" spans="1:15" x14ac:dyDescent="0.3">
      <c r="A199" s="9" t="s">
        <v>132</v>
      </c>
      <c r="B199" s="13">
        <f>-SUM(B38,B68,B98,B128,B146,B176)+B8</f>
        <v>75</v>
      </c>
      <c r="C199" s="13">
        <f t="shared" ref="C199:I199" si="624">-SUM(C38,C68,C98,C128,C146,C176)+C8</f>
        <v>84</v>
      </c>
      <c r="D199" s="13">
        <f t="shared" si="624"/>
        <v>91</v>
      </c>
      <c r="E199" s="13">
        <f t="shared" si="624"/>
        <v>110</v>
      </c>
      <c r="F199" s="13">
        <f t="shared" si="624"/>
        <v>116</v>
      </c>
      <c r="G199" s="13">
        <f t="shared" si="624"/>
        <v>112</v>
      </c>
      <c r="H199" s="13">
        <f t="shared" si="624"/>
        <v>141</v>
      </c>
      <c r="I199" s="13">
        <f t="shared" si="624"/>
        <v>134</v>
      </c>
      <c r="J199" s="81">
        <f>I199*(1+J200)</f>
        <v>132.7720423399924</v>
      </c>
      <c r="K199" s="81">
        <f t="shared" ref="K199:N199" si="625">J199*(1+K200)</f>
        <v>131.72263442922645</v>
      </c>
      <c r="L199" s="81">
        <f t="shared" si="625"/>
        <v>130.89211873346895</v>
      </c>
      <c r="M199" s="81">
        <f t="shared" si="625"/>
        <v>130.21350141529479</v>
      </c>
      <c r="N199" s="81">
        <f t="shared" si="625"/>
        <v>129.88668409245486</v>
      </c>
      <c r="O199" s="81"/>
    </row>
    <row r="200" spans="1:15" x14ac:dyDescent="0.3">
      <c r="A200" s="44" t="s">
        <v>129</v>
      </c>
      <c r="B200" s="60" t="str">
        <f>IFERROR((B199-A199)/A199,"nm")</f>
        <v>nm</v>
      </c>
      <c r="C200" s="60">
        <f t="shared" ref="C200" si="626">IFERROR((C199-B199)/B199,"nm")</f>
        <v>0.12</v>
      </c>
      <c r="D200" s="60">
        <f t="shared" ref="D200" si="627">IFERROR((D199-C199)/C199,"nm")</f>
        <v>8.3333333333333329E-2</v>
      </c>
      <c r="E200" s="60">
        <f t="shared" ref="E200" si="628">IFERROR((E199-D199)/D199,"nm")</f>
        <v>0.2087912087912088</v>
      </c>
      <c r="F200" s="60">
        <f t="shared" ref="F200" si="629">IFERROR((F199-E199)/E199,"nm")</f>
        <v>5.4545454545454543E-2</v>
      </c>
      <c r="G200" s="60">
        <f t="shared" ref="G200" si="630">IFERROR((G199-F199)/F199,"nm")</f>
        <v>-3.4482758620689655E-2</v>
      </c>
      <c r="H200" s="60">
        <f t="shared" ref="H200" si="631">IFERROR((H199-G199)/G199,"nm")</f>
        <v>0.25892857142857145</v>
      </c>
      <c r="I200" s="60">
        <f t="shared" ref="I200" si="632">IFERROR((I199-H199)/H199,"nm")</f>
        <v>-4.9645390070921988E-2</v>
      </c>
      <c r="J200" s="88">
        <f>AVERAGE(B200:I200)*(1+$O$200)</f>
        <v>-9.1638631343851015E-3</v>
      </c>
      <c r="K200" s="88">
        <f t="shared" ref="K200:N200" si="633">AVERAGE(C200:J200)*(1+$O$197)</f>
        <v>-7.9038319534071484E-3</v>
      </c>
      <c r="L200" s="88">
        <f t="shared" si="633"/>
        <v>-6.3050340539895595E-3</v>
      </c>
      <c r="M200" s="88">
        <f t="shared" si="633"/>
        <v>-5.1845544616480202E-3</v>
      </c>
      <c r="N200" s="88">
        <f t="shared" si="633"/>
        <v>-2.5098574209873083E-3</v>
      </c>
      <c r="O200" s="84">
        <v>-1.1000000000000001</v>
      </c>
    </row>
    <row r="201" spans="1:15" x14ac:dyDescent="0.3">
      <c r="A201" s="44" t="s">
        <v>133</v>
      </c>
      <c r="B201" s="61">
        <f>IFERROR(B199/B192, "N/A")</f>
        <v>-0.91463414634146345</v>
      </c>
      <c r="C201" s="61">
        <f t="shared" ref="C201:N201" si="634">IFERROR(C199/C192, "N/A")</f>
        <v>-0.97674418604651159</v>
      </c>
      <c r="D201" s="61">
        <f t="shared" si="634"/>
        <v>1.2133333333333334</v>
      </c>
      <c r="E201" s="61">
        <f t="shared" si="634"/>
        <v>4.2307692307692308</v>
      </c>
      <c r="F201" s="61">
        <f t="shared" si="634"/>
        <v>-16.571428571428573</v>
      </c>
      <c r="G201" s="61">
        <f t="shared" si="634"/>
        <v>-10.181818181818182</v>
      </c>
      <c r="H201" s="61">
        <f t="shared" si="634"/>
        <v>3.5249999999999999</v>
      </c>
      <c r="I201" s="61">
        <f t="shared" si="634"/>
        <v>-1.8611111111111112</v>
      </c>
      <c r="J201" s="61">
        <f t="shared" si="634"/>
        <v>3.9205596334268451</v>
      </c>
      <c r="K201" s="61">
        <f t="shared" si="634"/>
        <v>-5.7126992915611545</v>
      </c>
      <c r="L201" s="61">
        <f t="shared" si="634"/>
        <v>8.6750940595895383</v>
      </c>
      <c r="M201" s="61">
        <f t="shared" si="634"/>
        <v>-10.881778007305467</v>
      </c>
      <c r="N201" s="61">
        <f t="shared" si="634"/>
        <v>12.538800500323681</v>
      </c>
      <c r="O201" s="84"/>
    </row>
    <row r="202" spans="1:15" x14ac:dyDescent="0.3">
      <c r="A202" s="9" t="s">
        <v>134</v>
      </c>
      <c r="B202" s="13">
        <f>-SUM(B41,B71,B101,B131,B149,B179)+B11</f>
        <v>-1097</v>
      </c>
      <c r="C202" s="13">
        <f t="shared" ref="C202:I202" si="635">-SUM(C41,C71,C101,C131,C149,C179)+C11</f>
        <v>-1173</v>
      </c>
      <c r="D202" s="13">
        <f t="shared" si="635"/>
        <v>-724</v>
      </c>
      <c r="E202" s="13">
        <f t="shared" si="635"/>
        <v>-1456</v>
      </c>
      <c r="F202" s="13">
        <f t="shared" si="635"/>
        <v>-1810</v>
      </c>
      <c r="G202" s="13">
        <f t="shared" si="635"/>
        <v>-1967</v>
      </c>
      <c r="H202" s="13">
        <f t="shared" si="635"/>
        <v>-2261</v>
      </c>
      <c r="I202" s="13">
        <f t="shared" si="635"/>
        <v>-2219</v>
      </c>
      <c r="J202" s="81">
        <f>J196-J199</f>
        <v>-2180.4463688002834</v>
      </c>
      <c r="K202" s="81">
        <f t="shared" ref="K202:N202" si="636">K196-K199</f>
        <v>-2147.7798936453214</v>
      </c>
      <c r="L202" s="81">
        <f t="shared" si="636"/>
        <v>-2117.8617060631136</v>
      </c>
      <c r="M202" s="81">
        <f t="shared" si="636"/>
        <v>-2078.4733273960546</v>
      </c>
      <c r="N202" s="81">
        <f t="shared" si="636"/>
        <v>-2068.0963976587559</v>
      </c>
      <c r="O202" s="81"/>
    </row>
    <row r="203" spans="1:15" x14ac:dyDescent="0.3">
      <c r="A203" s="44" t="s">
        <v>129</v>
      </c>
      <c r="B203" s="60" t="str">
        <f>IFERROR((B202-A202)/A202,"nm")</f>
        <v>nm</v>
      </c>
      <c r="C203" s="60">
        <f t="shared" ref="C203" si="637">IFERROR((C202-B202)/B202,"nm")</f>
        <v>6.9279854147675485E-2</v>
      </c>
      <c r="D203" s="60">
        <f t="shared" ref="D203" si="638">IFERROR((D202-C202)/C202,"nm")</f>
        <v>-0.38277919863597615</v>
      </c>
      <c r="E203" s="60">
        <f t="shared" ref="E203" si="639">IFERROR((E202-D202)/D202,"nm")</f>
        <v>1.011049723756906</v>
      </c>
      <c r="F203" s="60">
        <f t="shared" ref="F203" si="640">IFERROR((F202-E202)/E202,"nm")</f>
        <v>0.24313186813186813</v>
      </c>
      <c r="G203" s="60">
        <f t="shared" ref="G203" si="641">IFERROR((G202-F202)/F202,"nm")</f>
        <v>8.6740331491712702E-2</v>
      </c>
      <c r="H203" s="60">
        <f t="shared" ref="H203" si="642">IFERROR((H202-G202)/G202,"nm")</f>
        <v>0.1494661921708185</v>
      </c>
      <c r="I203" s="60">
        <f t="shared" ref="I203" si="643">IFERROR((I202-H202)/H202,"nm")</f>
        <v>-1.8575851393188854E-2</v>
      </c>
      <c r="J203" s="88">
        <f>AVERAGE(B203:I203)*(1+$O$203)</f>
        <v>-1.6547327423854528E-2</v>
      </c>
      <c r="K203" s="88">
        <f t="shared" ref="K203:N203" si="644">AVERAGE(C203:J203)*(1+$O$203)</f>
        <v>-1.4272069903074528E-2</v>
      </c>
      <c r="L203" s="88">
        <f t="shared" si="644"/>
        <v>-1.3227670852440155E-2</v>
      </c>
      <c r="M203" s="88">
        <f t="shared" si="644"/>
        <v>-1.784706494973436E-2</v>
      </c>
      <c r="N203" s="88">
        <f t="shared" si="644"/>
        <v>-4.9858550909013411E-3</v>
      </c>
      <c r="O203" s="84">
        <v>-1.1000000000000001</v>
      </c>
    </row>
    <row r="204" spans="1:15" x14ac:dyDescent="0.3">
      <c r="A204" s="44" t="s">
        <v>131</v>
      </c>
      <c r="B204" s="61">
        <f>IFERROR(B202/B192, "N/A")</f>
        <v>13.378048780487806</v>
      </c>
      <c r="C204" s="61">
        <f t="shared" ref="C204:N204" si="645">IFERROR(C202/C192, "N/A")</f>
        <v>13.63953488372093</v>
      </c>
      <c r="D204" s="61">
        <f t="shared" si="645"/>
        <v>-9.6533333333333342</v>
      </c>
      <c r="E204" s="61">
        <f t="shared" si="645"/>
        <v>-56</v>
      </c>
      <c r="F204" s="61">
        <f t="shared" si="645"/>
        <v>258.57142857142856</v>
      </c>
      <c r="G204" s="61">
        <f t="shared" si="645"/>
        <v>178.81818181818181</v>
      </c>
      <c r="H204" s="61">
        <f t="shared" si="645"/>
        <v>-56.524999999999999</v>
      </c>
      <c r="I204" s="61">
        <f t="shared" si="645"/>
        <v>30.819444444444443</v>
      </c>
      <c r="J204" s="61">
        <f t="shared" si="645"/>
        <v>-64.38531686121101</v>
      </c>
      <c r="K204" s="61">
        <f t="shared" si="645"/>
        <v>93.147398167543415</v>
      </c>
      <c r="L204" s="61">
        <f t="shared" si="645"/>
        <v>-140.36482626361843</v>
      </c>
      <c r="M204" s="61">
        <f t="shared" si="645"/>
        <v>173.69539331174738</v>
      </c>
      <c r="N204" s="61">
        <f t="shared" si="645"/>
        <v>-199.64670225334959</v>
      </c>
    </row>
    <row r="205" spans="1:15" x14ac:dyDescent="0.3">
      <c r="A205" s="9" t="s">
        <v>135</v>
      </c>
      <c r="B205" s="13">
        <f>-SUM(B44,B74,B104,B134,B152,B182)+B14</f>
        <v>104</v>
      </c>
      <c r="C205" s="13">
        <f t="shared" ref="C205:N205" si="646">-SUM(C44,C74,C104,C134,C152,C182)+C14</f>
        <v>264</v>
      </c>
      <c r="D205" s="13">
        <f t="shared" si="646"/>
        <v>291</v>
      </c>
      <c r="E205" s="13">
        <f t="shared" si="646"/>
        <v>159</v>
      </c>
      <c r="F205" s="13">
        <f t="shared" si="646"/>
        <v>377</v>
      </c>
      <c r="G205" s="13">
        <f t="shared" si="646"/>
        <v>318</v>
      </c>
      <c r="H205" s="13">
        <f t="shared" si="646"/>
        <v>11</v>
      </c>
      <c r="I205" s="13">
        <f t="shared" si="646"/>
        <v>50</v>
      </c>
      <c r="J205" s="13">
        <f t="shared" si="646"/>
        <v>0</v>
      </c>
      <c r="K205" s="13">
        <f t="shared" si="646"/>
        <v>0</v>
      </c>
      <c r="L205" s="13">
        <f t="shared" si="646"/>
        <v>0</v>
      </c>
      <c r="M205" s="13">
        <f t="shared" si="646"/>
        <v>0</v>
      </c>
      <c r="N205" s="13">
        <f t="shared" si="646"/>
        <v>0</v>
      </c>
      <c r="O205" s="81"/>
    </row>
    <row r="206" spans="1:15" x14ac:dyDescent="0.3">
      <c r="A206" s="44" t="s">
        <v>129</v>
      </c>
      <c r="B206" s="60" t="str">
        <f>IFERROR((B205-A205)/A205,"nm")</f>
        <v>nm</v>
      </c>
      <c r="C206" s="60">
        <f t="shared" ref="C206" si="647">IFERROR((C205-B205)/B205,"nm")</f>
        <v>1.5384615384615385</v>
      </c>
      <c r="D206" s="60">
        <f t="shared" ref="D206" si="648">IFERROR((D205-C205)/C205,"nm")</f>
        <v>0.10227272727272728</v>
      </c>
      <c r="E206" s="60">
        <f t="shared" ref="E206" si="649">IFERROR((E205-D205)/D205,"nm")</f>
        <v>-0.45360824742268041</v>
      </c>
      <c r="F206" s="60">
        <f t="shared" ref="F206" si="650">IFERROR((F205-E205)/E205,"nm")</f>
        <v>1.371069182389937</v>
      </c>
      <c r="G206" s="60">
        <f t="shared" ref="G206" si="651">IFERROR((G205-F205)/F205,"nm")</f>
        <v>-0.15649867374005305</v>
      </c>
      <c r="H206" s="60">
        <f t="shared" ref="H206" si="652">IFERROR((H205-G205)/G205,"nm")</f>
        <v>-0.96540880503144655</v>
      </c>
      <c r="I206" s="60">
        <f t="shared" ref="I206" si="653">IFERROR((I205-H205)/H205,"nm")</f>
        <v>3.5454545454545454</v>
      </c>
      <c r="J206" s="88">
        <f>AVERAGE(D206:I206)*(1+$O$206)</f>
        <v>0.59109652513178679</v>
      </c>
      <c r="K206" s="88">
        <f t="shared" ref="K206:N206" si="654">AVERAGE(E206:J206)*(1+$O$206)</f>
        <v>0.67501127709759201</v>
      </c>
      <c r="L206" s="88">
        <f t="shared" si="654"/>
        <v>0.86875762880690544</v>
      </c>
      <c r="M206" s="88">
        <f t="shared" si="654"/>
        <v>0.78252747877515172</v>
      </c>
      <c r="N206" s="88">
        <f t="shared" si="654"/>
        <v>0.94372696829026192</v>
      </c>
      <c r="O206" s="84">
        <v>0.03</v>
      </c>
    </row>
    <row r="207" spans="1:15" x14ac:dyDescent="0.3">
      <c r="A207" s="44" t="s">
        <v>133</v>
      </c>
      <c r="B207" s="61">
        <f>IFERROR(B205/B192, "N/A")</f>
        <v>-1.2682926829268293</v>
      </c>
      <c r="C207" s="61">
        <f t="shared" ref="C207:N207" si="655">IFERROR(C205/C192, "N/A")</f>
        <v>-3.0697674418604652</v>
      </c>
      <c r="D207" s="61">
        <f t="shared" si="655"/>
        <v>3.88</v>
      </c>
      <c r="E207" s="61">
        <f t="shared" si="655"/>
        <v>6.115384615384615</v>
      </c>
      <c r="F207" s="61">
        <f t="shared" si="655"/>
        <v>-53.857142857142854</v>
      </c>
      <c r="G207" s="61">
        <f t="shared" si="655"/>
        <v>-28.90909090909091</v>
      </c>
      <c r="H207" s="61">
        <f t="shared" si="655"/>
        <v>0.27500000000000002</v>
      </c>
      <c r="I207" s="61">
        <f t="shared" si="655"/>
        <v>-0.69444444444444442</v>
      </c>
      <c r="J207" s="61">
        <f t="shared" si="655"/>
        <v>0</v>
      </c>
      <c r="K207" s="61">
        <f t="shared" si="655"/>
        <v>0</v>
      </c>
      <c r="L207" s="61">
        <f t="shared" si="655"/>
        <v>0</v>
      </c>
      <c r="M207" s="61">
        <f t="shared" si="655"/>
        <v>0</v>
      </c>
      <c r="N207" s="61">
        <f t="shared" si="655"/>
        <v>0</v>
      </c>
      <c r="O207" s="84"/>
    </row>
    <row r="208" spans="1:15" x14ac:dyDescent="0.3">
      <c r="A208" s="66" t="s">
        <v>146</v>
      </c>
      <c r="B208" s="13">
        <f>-SUM(B47,B77,B107,B137,B155,B185)+B17</f>
        <v>713</v>
      </c>
      <c r="C208" s="13">
        <f t="shared" ref="C208:I208" si="656">-SUM(C47,C77,C107,C137,C155,C185)+C17</f>
        <v>937</v>
      </c>
      <c r="D208" s="13">
        <f t="shared" si="656"/>
        <v>1238</v>
      </c>
      <c r="E208" s="13">
        <f t="shared" si="656"/>
        <v>1450</v>
      </c>
      <c r="F208" s="13">
        <f t="shared" si="656"/>
        <v>1673</v>
      </c>
      <c r="G208" s="13">
        <f t="shared" si="656"/>
        <v>1916</v>
      </c>
      <c r="H208" s="13">
        <f t="shared" si="656"/>
        <v>1870</v>
      </c>
      <c r="I208" s="13">
        <f t="shared" si="656"/>
        <v>1817</v>
      </c>
      <c r="J208" s="81">
        <f>I208*(1+J209)</f>
        <v>1763.9572032085562</v>
      </c>
      <c r="K208" s="81">
        <f t="shared" ref="K208:N208" si="657">J208*(1+K209)</f>
        <v>1710.9180286444653</v>
      </c>
      <c r="L208" s="81">
        <f t="shared" si="657"/>
        <v>1657.9303199768776</v>
      </c>
      <c r="M208" s="81">
        <f t="shared" si="657"/>
        <v>1605.0432586830248</v>
      </c>
      <c r="N208" s="81">
        <f t="shared" si="657"/>
        <v>1552.3072656296426</v>
      </c>
      <c r="O208" s="80"/>
    </row>
    <row r="209" spans="1:15" x14ac:dyDescent="0.3">
      <c r="A209" s="65" t="s">
        <v>129</v>
      </c>
      <c r="B209" s="60" t="str">
        <f>IFERROR((B208-A208)/A208,"nm")</f>
        <v>nm</v>
      </c>
      <c r="C209" s="60">
        <f t="shared" ref="C209:I209" si="658">IFERROR((C208-B208)/B208,"nm")</f>
        <v>0.31416549789621318</v>
      </c>
      <c r="D209" s="60">
        <f t="shared" si="658"/>
        <v>0.32123799359658484</v>
      </c>
      <c r="E209" s="60">
        <f t="shared" si="658"/>
        <v>0.17124394184168013</v>
      </c>
      <c r="F209" s="60">
        <f t="shared" si="658"/>
        <v>0.15379310344827588</v>
      </c>
      <c r="G209" s="60">
        <f t="shared" si="658"/>
        <v>0.1452480573819486</v>
      </c>
      <c r="H209" s="60">
        <f t="shared" si="658"/>
        <v>-2.4008350730688934E-2</v>
      </c>
      <c r="I209" s="60">
        <f t="shared" si="658"/>
        <v>-2.8342245989304814E-2</v>
      </c>
      <c r="J209" s="88">
        <f>I209*(1+$O$209)</f>
        <v>-2.9192513368983958E-2</v>
      </c>
      <c r="K209" s="88">
        <f t="shared" ref="K209:N209" si="659">J209*(1+$O$206)</f>
        <v>-3.0068288770053478E-2</v>
      </c>
      <c r="L209" s="88">
        <f t="shared" si="659"/>
        <v>-3.0970337433155082E-2</v>
      </c>
      <c r="M209" s="88">
        <f t="shared" si="659"/>
        <v>-3.1899447556149735E-2</v>
      </c>
      <c r="N209" s="88">
        <f t="shared" si="659"/>
        <v>-3.285643098283423E-2</v>
      </c>
      <c r="O209" s="88">
        <v>0.03</v>
      </c>
    </row>
    <row r="210" spans="1:15" x14ac:dyDescent="0.3">
      <c r="A210" s="65" t="s">
        <v>133</v>
      </c>
      <c r="B210" s="61">
        <f>IFERROR(B208/B192, "N/A")</f>
        <v>-8.6951219512195124</v>
      </c>
      <c r="C210" s="61">
        <f t="shared" ref="C210:N210" si="660">IFERROR(C208/C192, "N/A")</f>
        <v>-10.895348837209303</v>
      </c>
      <c r="D210" s="61">
        <f t="shared" si="660"/>
        <v>16.506666666666668</v>
      </c>
      <c r="E210" s="61">
        <f t="shared" si="660"/>
        <v>55.769230769230766</v>
      </c>
      <c r="F210" s="61">
        <f t="shared" si="660"/>
        <v>-239</v>
      </c>
      <c r="G210" s="61">
        <f t="shared" si="660"/>
        <v>-174.18181818181819</v>
      </c>
      <c r="H210" s="61">
        <f t="shared" si="660"/>
        <v>46.75</v>
      </c>
      <c r="I210" s="61">
        <f t="shared" si="660"/>
        <v>-25.236111111111111</v>
      </c>
      <c r="J210" s="61">
        <f t="shared" si="660"/>
        <v>52.087015339289508</v>
      </c>
      <c r="K210" s="61">
        <f t="shared" si="660"/>
        <v>-74.2010684231184</v>
      </c>
      <c r="L210" s="61">
        <f t="shared" si="660"/>
        <v>109.88210450876562</v>
      </c>
      <c r="M210" s="61">
        <f t="shared" si="660"/>
        <v>-134.13143985282102</v>
      </c>
      <c r="N210" s="61">
        <f t="shared" si="660"/>
        <v>149.85424606789019</v>
      </c>
    </row>
    <row r="212" spans="1:15" x14ac:dyDescent="0.3">
      <c r="B212" s="77"/>
    </row>
    <row r="213" spans="1:15" x14ac:dyDescent="0.3">
      <c r="B213" s="8"/>
      <c r="C213" s="8"/>
      <c r="D213" s="8"/>
      <c r="E213" s="8"/>
      <c r="F213" s="8"/>
      <c r="G213" s="8"/>
      <c r="H213" s="8"/>
      <c r="I213"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7"/>
  <sheetViews>
    <sheetView tabSelected="1" topLeftCell="B17" zoomScale="90" zoomScaleNormal="90" workbookViewId="0">
      <selection activeCell="O27" sqref="O27"/>
    </sheetView>
  </sheetViews>
  <sheetFormatPr defaultRowHeight="14.4" x14ac:dyDescent="0.3"/>
  <cols>
    <col min="1" max="1" width="45.88671875" customWidth="1"/>
    <col min="2" max="2" width="11.88671875" customWidth="1"/>
    <col min="3" max="3" width="11.44140625" customWidth="1"/>
    <col min="4" max="4" width="12.33203125" customWidth="1"/>
    <col min="5" max="5" width="12.5546875" customWidth="1"/>
    <col min="6" max="6" width="12.44140625" customWidth="1"/>
    <col min="7" max="7" width="12" customWidth="1"/>
    <col min="8" max="8" width="10.6640625" customWidth="1"/>
    <col min="9" max="10" width="12.88671875" customWidth="1"/>
    <col min="11" max="12" width="11.33203125" customWidth="1"/>
    <col min="13" max="14" width="10.44140625" bestFit="1" customWidth="1"/>
    <col min="15" max="15" width="35.88671875" style="172" customWidth="1"/>
    <col min="16" max="16" width="47.33203125" customWidth="1"/>
    <col min="17" max="17" width="36.6640625" customWidth="1"/>
  </cols>
  <sheetData>
    <row r="1" spans="1:17" ht="66" customHeight="1" x14ac:dyDescent="0.35">
      <c r="A1" s="90" t="s">
        <v>196</v>
      </c>
      <c r="B1" s="91">
        <f t="shared" ref="B1:H1" si="0">+C1-1</f>
        <v>2015</v>
      </c>
      <c r="C1" s="91">
        <f t="shared" si="0"/>
        <v>2016</v>
      </c>
      <c r="D1" s="91">
        <f t="shared" si="0"/>
        <v>2017</v>
      </c>
      <c r="E1" s="91">
        <f t="shared" si="0"/>
        <v>2018</v>
      </c>
      <c r="F1" s="91">
        <f t="shared" si="0"/>
        <v>2019</v>
      </c>
      <c r="G1" s="91">
        <f t="shared" si="0"/>
        <v>2020</v>
      </c>
      <c r="H1" s="91">
        <f t="shared" si="0"/>
        <v>2021</v>
      </c>
      <c r="I1" s="91">
        <v>2022</v>
      </c>
      <c r="J1" s="37">
        <f>I1+1</f>
        <v>2023</v>
      </c>
      <c r="K1" s="37">
        <f t="shared" ref="K1:N1" si="1">J1+1</f>
        <v>2024</v>
      </c>
      <c r="L1" s="37">
        <f t="shared" si="1"/>
        <v>2025</v>
      </c>
      <c r="M1" s="37">
        <f t="shared" si="1"/>
        <v>2026</v>
      </c>
      <c r="N1" s="37">
        <f t="shared" si="1"/>
        <v>2027</v>
      </c>
      <c r="O1" s="173" t="s">
        <v>229</v>
      </c>
      <c r="P1" s="37"/>
    </row>
    <row r="2" spans="1:17" x14ac:dyDescent="0.3">
      <c r="A2" s="92" t="s">
        <v>147</v>
      </c>
      <c r="B2" s="92"/>
      <c r="C2" s="92"/>
      <c r="D2" s="92"/>
      <c r="E2" s="92"/>
      <c r="F2" s="92"/>
      <c r="G2" s="92"/>
      <c r="H2" s="92"/>
      <c r="I2" s="92"/>
      <c r="J2" s="37"/>
      <c r="K2" s="37"/>
      <c r="L2" s="37"/>
      <c r="M2" s="37"/>
      <c r="N2" s="37"/>
      <c r="O2" s="149"/>
      <c r="P2" s="37"/>
    </row>
    <row r="3" spans="1:17" x14ac:dyDescent="0.3">
      <c r="A3" s="93" t="s">
        <v>136</v>
      </c>
      <c r="B3" s="94">
        <f>'Segmental forecast'!B3</f>
        <v>30601</v>
      </c>
      <c r="C3" s="94">
        <f>'Segmental forecast'!C3</f>
        <v>32376</v>
      </c>
      <c r="D3" s="94">
        <f>'Segmental forecast'!D3</f>
        <v>34350</v>
      </c>
      <c r="E3" s="94">
        <f>'Segmental forecast'!E3</f>
        <v>36397</v>
      </c>
      <c r="F3" s="94">
        <f>'Segmental forecast'!F3</f>
        <v>39117</v>
      </c>
      <c r="G3" s="94">
        <f>'Segmental forecast'!G3</f>
        <v>37403</v>
      </c>
      <c r="H3" s="94">
        <f>'Segmental forecast'!H3</f>
        <v>44538</v>
      </c>
      <c r="I3" s="94">
        <f>'Segmental forecast'!I3</f>
        <v>46710</v>
      </c>
      <c r="J3" s="69">
        <f>'Segmental forecast'!J3</f>
        <v>51040.36400695359</v>
      </c>
      <c r="K3" s="69">
        <f>'Segmental forecast'!K3</f>
        <v>55561.256504157267</v>
      </c>
      <c r="L3" s="69">
        <f>'Segmental forecast'!L3</f>
        <v>58538.524996838321</v>
      </c>
      <c r="M3" s="69">
        <f>'Segmental forecast'!M3</f>
        <v>61475.575719132823</v>
      </c>
      <c r="N3" s="69">
        <f>'Segmental forecast'!N3</f>
        <v>64490.509223470508</v>
      </c>
      <c r="O3" s="150"/>
      <c r="P3" s="69"/>
    </row>
    <row r="4" spans="1:17" x14ac:dyDescent="0.3">
      <c r="A4" s="95" t="s">
        <v>129</v>
      </c>
      <c r="B4" s="114" t="str">
        <f>'Segmental forecast'!B4</f>
        <v>nm</v>
      </c>
      <c r="C4" s="115">
        <f>'Segmental forecast'!C4</f>
        <v>5.8004640371229696E-2</v>
      </c>
      <c r="D4" s="115">
        <f>'Segmental forecast'!D4</f>
        <v>6.0971089696071165E-2</v>
      </c>
      <c r="E4" s="115">
        <f>'Segmental forecast'!E4</f>
        <v>5.9592430858806403E-2</v>
      </c>
      <c r="F4" s="115">
        <f>'Segmental forecast'!F4</f>
        <v>7.4731433909388134E-2</v>
      </c>
      <c r="G4" s="115">
        <f>'Segmental forecast'!G4</f>
        <v>-4.3817266150267146E-2</v>
      </c>
      <c r="H4" s="115">
        <f>'Segmental forecast'!H4</f>
        <v>0.1907600994572628</v>
      </c>
      <c r="I4" s="115">
        <f>'Segmental forecast'!I4</f>
        <v>4.8767344739323724E-2</v>
      </c>
      <c r="J4" s="70">
        <f>(J3-I3)/I3</f>
        <v>9.2707428964966615E-2</v>
      </c>
      <c r="K4" s="70">
        <f t="shared" ref="K4:N4" si="2">(K3-J3)/J3</f>
        <v>8.8574848262989725E-2</v>
      </c>
      <c r="L4" s="70">
        <f t="shared" si="2"/>
        <v>5.3585334098020007E-2</v>
      </c>
      <c r="M4" s="70">
        <f t="shared" si="2"/>
        <v>5.0172954006837932E-2</v>
      </c>
      <c r="N4" s="70">
        <f t="shared" si="2"/>
        <v>4.9042786001910643E-2</v>
      </c>
      <c r="O4" s="151"/>
      <c r="P4" s="70"/>
    </row>
    <row r="5" spans="1:17" x14ac:dyDescent="0.3">
      <c r="A5" s="93" t="s">
        <v>148</v>
      </c>
      <c r="B5" s="94">
        <f>'Segmental forecast'!B5</f>
        <v>4839</v>
      </c>
      <c r="C5" s="94">
        <f>'Segmental forecast'!C5</f>
        <v>5291</v>
      </c>
      <c r="D5" s="94">
        <f>'Segmental forecast'!D5</f>
        <v>5651</v>
      </c>
      <c r="E5" s="94">
        <f>'Segmental forecast'!E5</f>
        <v>5126</v>
      </c>
      <c r="F5" s="94">
        <f>'Segmental forecast'!F5</f>
        <v>5555</v>
      </c>
      <c r="G5" s="94">
        <f>'Segmental forecast'!G5</f>
        <v>3697</v>
      </c>
      <c r="H5" s="94">
        <f>'Segmental forecast'!H5</f>
        <v>7667</v>
      </c>
      <c r="I5" s="94">
        <f>'Segmental forecast'!I5</f>
        <v>7573</v>
      </c>
      <c r="J5" s="69">
        <f>'Segmental forecast'!J5</f>
        <v>7870.7517029125293</v>
      </c>
      <c r="K5" s="69">
        <f>'Segmental forecast'!K5</f>
        <v>9935.8088673127186</v>
      </c>
      <c r="L5" s="69">
        <f>'Segmental forecast'!L5</f>
        <v>12017.479022396448</v>
      </c>
      <c r="M5" s="69">
        <f>'Segmental forecast'!M5</f>
        <v>14779.740317908801</v>
      </c>
      <c r="N5" s="69">
        <f>'Segmental forecast'!N5</f>
        <v>17350.893157316605</v>
      </c>
      <c r="O5" s="150"/>
      <c r="P5" s="69"/>
    </row>
    <row r="6" spans="1:17" x14ac:dyDescent="0.3">
      <c r="A6" s="97" t="s">
        <v>132</v>
      </c>
      <c r="B6" s="98">
        <f>'Segmental forecast'!B8</f>
        <v>606</v>
      </c>
      <c r="C6" s="98">
        <f>'Segmental forecast'!C8</f>
        <v>649</v>
      </c>
      <c r="D6" s="98">
        <f>'Segmental forecast'!D8</f>
        <v>706</v>
      </c>
      <c r="E6" s="98">
        <f>'Segmental forecast'!E8</f>
        <v>747</v>
      </c>
      <c r="F6" s="98">
        <f>'Segmental forecast'!F8</f>
        <v>705</v>
      </c>
      <c r="G6" s="98">
        <f>'Segmental forecast'!G8</f>
        <v>721</v>
      </c>
      <c r="H6" s="98">
        <f>'Segmental forecast'!H8</f>
        <v>744</v>
      </c>
      <c r="I6" s="98">
        <f>'Segmental forecast'!I8</f>
        <v>717</v>
      </c>
      <c r="J6" s="125">
        <f>'Segmental forecast'!J8</f>
        <v>749.63291420891494</v>
      </c>
      <c r="K6" s="125">
        <f>'Segmental forecast'!K8</f>
        <v>769.25061335262978</v>
      </c>
      <c r="L6" s="125">
        <f>'Segmental forecast'!L8</f>
        <v>777.15373818243461</v>
      </c>
      <c r="M6" s="125">
        <f>'Segmental forecast'!M8</f>
        <v>807.69621626010246</v>
      </c>
      <c r="N6" s="125">
        <f>'Segmental forecast'!N8</f>
        <v>837.25221053191831</v>
      </c>
      <c r="O6" s="152"/>
      <c r="P6" s="125"/>
    </row>
    <row r="7" spans="1:17" x14ac:dyDescent="0.3">
      <c r="A7" s="99" t="s">
        <v>134</v>
      </c>
      <c r="B7" s="100">
        <f>B5-B6</f>
        <v>4233</v>
      </c>
      <c r="C7" s="100">
        <f t="shared" ref="C7:I7" si="3">C5-C6</f>
        <v>4642</v>
      </c>
      <c r="D7" s="100">
        <f t="shared" si="3"/>
        <v>4945</v>
      </c>
      <c r="E7" s="100">
        <f t="shared" si="3"/>
        <v>4379</v>
      </c>
      <c r="F7" s="100">
        <f t="shared" si="3"/>
        <v>4850</v>
      </c>
      <c r="G7" s="100">
        <f t="shared" si="3"/>
        <v>2976</v>
      </c>
      <c r="H7" s="100">
        <f t="shared" si="3"/>
        <v>6923</v>
      </c>
      <c r="I7" s="100">
        <f t="shared" si="3"/>
        <v>6856</v>
      </c>
      <c r="J7" s="126">
        <f>J5-J6</f>
        <v>7121.118788703614</v>
      </c>
      <c r="K7" s="126">
        <f t="shared" ref="K7:N7" si="4">K5-K6</f>
        <v>9166.5582539600891</v>
      </c>
      <c r="L7" s="126">
        <f t="shared" si="4"/>
        <v>11240.325284214014</v>
      </c>
      <c r="M7" s="126">
        <f t="shared" si="4"/>
        <v>13972.044101648698</v>
      </c>
      <c r="N7" s="126">
        <f t="shared" si="4"/>
        <v>16513.640946784686</v>
      </c>
      <c r="O7" s="153"/>
      <c r="P7" s="126"/>
    </row>
    <row r="8" spans="1:17" x14ac:dyDescent="0.3">
      <c r="A8" s="95" t="s">
        <v>129</v>
      </c>
      <c r="B8" s="96" t="str">
        <f>'Segmental forecast'!B12</f>
        <v>nm</v>
      </c>
      <c r="C8" s="96">
        <f>'Segmental forecast'!C12</f>
        <v>9.6621781242617527E-2</v>
      </c>
      <c r="D8" s="96">
        <f>'Segmental forecast'!D12</f>
        <v>6.527358897027144E-2</v>
      </c>
      <c r="E8" s="96">
        <f>'Segmental forecast'!E12</f>
        <v>-0.11445904954499495</v>
      </c>
      <c r="F8" s="96">
        <f>'Segmental forecast'!F12</f>
        <v>0.10755880337976707</v>
      </c>
      <c r="G8" s="96">
        <f>'Segmental forecast'!G12</f>
        <v>-0.38639175257731961</v>
      </c>
      <c r="H8" s="96">
        <f>'Segmental forecast'!H12</f>
        <v>1.32627688172043</v>
      </c>
      <c r="I8" s="96">
        <f>'Segmental forecast'!I12</f>
        <v>-9.6778853098367767E-3</v>
      </c>
      <c r="J8" s="70">
        <f>(J7-I7)/I7</f>
        <v>3.866960161954696E-2</v>
      </c>
      <c r="K8" s="70">
        <f t="shared" ref="K8:N8" si="5">(K7-J7)/J7</f>
        <v>0.28723568949603823</v>
      </c>
      <c r="L8" s="70">
        <f t="shared" si="5"/>
        <v>0.22623180618069236</v>
      </c>
      <c r="M8" s="70">
        <f t="shared" si="5"/>
        <v>0.24302844876483498</v>
      </c>
      <c r="N8" s="70">
        <f t="shared" si="5"/>
        <v>0.18190587051153667</v>
      </c>
      <c r="O8" s="151"/>
      <c r="P8" s="70"/>
    </row>
    <row r="9" spans="1:17" ht="19.5" customHeight="1" x14ac:dyDescent="0.3">
      <c r="A9" s="95" t="s">
        <v>131</v>
      </c>
      <c r="B9" s="96">
        <f>'Segmental forecast'!B7</f>
        <v>0.15813208718669325</v>
      </c>
      <c r="C9" s="96">
        <f>'Segmental forecast'!C7</f>
        <v>0.16342352359772672</v>
      </c>
      <c r="D9" s="96">
        <f>'Segmental forecast'!D7</f>
        <v>0.16451237263464338</v>
      </c>
      <c r="E9" s="96">
        <f>'Segmental forecast'!E7</f>
        <v>0.14083578316894249</v>
      </c>
      <c r="F9" s="96">
        <f>'Segmental forecast'!F7</f>
        <v>0.14200986783240024</v>
      </c>
      <c r="G9" s="96">
        <f>'Segmental forecast'!G7</f>
        <v>9.8842338849824879E-2</v>
      </c>
      <c r="H9" s="96">
        <f>'Segmental forecast'!H7</f>
        <v>0.17214513449189456</v>
      </c>
      <c r="I9" s="96">
        <f>'Segmental forecast'!I7</f>
        <v>0.16212802397773496</v>
      </c>
      <c r="J9" s="71">
        <f>J5/J3</f>
        <v>0.15420641792131892</v>
      </c>
      <c r="K9" s="71">
        <f t="shared" ref="K9:N9" si="6">K5/K3</f>
        <v>0.17882620898915938</v>
      </c>
      <c r="L9" s="71">
        <f t="shared" si="6"/>
        <v>0.20529179754777754</v>
      </c>
      <c r="M9" s="71">
        <f t="shared" si="6"/>
        <v>0.24041646044005988</v>
      </c>
      <c r="N9" s="71">
        <f t="shared" si="6"/>
        <v>0.2690456838725343</v>
      </c>
      <c r="O9" s="154"/>
      <c r="P9" s="71"/>
      <c r="Q9" s="19"/>
    </row>
    <row r="10" spans="1:17" x14ac:dyDescent="0.3">
      <c r="A10" s="101" t="s">
        <v>24</v>
      </c>
      <c r="B10" s="102">
        <f>Historicals!B8</f>
        <v>28</v>
      </c>
      <c r="C10" s="102">
        <f>Historicals!C8</f>
        <v>19</v>
      </c>
      <c r="D10" s="102">
        <f>Historicals!D8</f>
        <v>59</v>
      </c>
      <c r="E10" s="102">
        <f>Historicals!E8</f>
        <v>54</v>
      </c>
      <c r="F10" s="102">
        <f>Historicals!F8</f>
        <v>49</v>
      </c>
      <c r="G10" s="102">
        <f>Historicals!G8</f>
        <v>89</v>
      </c>
      <c r="H10" s="102">
        <f>Historicals!H8</f>
        <v>262</v>
      </c>
      <c r="I10" s="102">
        <f>Historicals!I8</f>
        <v>205</v>
      </c>
      <c r="J10" s="126">
        <f>J50</f>
        <v>248.64600000000002</v>
      </c>
      <c r="K10" s="126">
        <f t="shared" ref="K10:N10" si="7">K50</f>
        <v>244.09796737312163</v>
      </c>
      <c r="L10" s="126">
        <f t="shared" si="7"/>
        <v>288.0996721225103</v>
      </c>
      <c r="M10" s="126">
        <f t="shared" si="7"/>
        <v>399.95428693739785</v>
      </c>
      <c r="N10" s="126">
        <f t="shared" si="7"/>
        <v>590.06062959171652</v>
      </c>
      <c r="O10" s="153"/>
      <c r="P10" s="126"/>
    </row>
    <row r="11" spans="1:17" x14ac:dyDescent="0.3">
      <c r="A11" s="99" t="s">
        <v>149</v>
      </c>
      <c r="B11" s="100">
        <f>B7-B10</f>
        <v>4205</v>
      </c>
      <c r="C11" s="100">
        <f t="shared" ref="C11:N11" si="8">C7-C10</f>
        <v>4623</v>
      </c>
      <c r="D11" s="100">
        <f t="shared" si="8"/>
        <v>4886</v>
      </c>
      <c r="E11" s="100">
        <f t="shared" si="8"/>
        <v>4325</v>
      </c>
      <c r="F11" s="100">
        <f t="shared" si="8"/>
        <v>4801</v>
      </c>
      <c r="G11" s="100">
        <f t="shared" si="8"/>
        <v>2887</v>
      </c>
      <c r="H11" s="100">
        <f t="shared" si="8"/>
        <v>6661</v>
      </c>
      <c r="I11" s="100">
        <f t="shared" si="8"/>
        <v>6651</v>
      </c>
      <c r="J11" s="100">
        <f t="shared" si="8"/>
        <v>6872.4727887036142</v>
      </c>
      <c r="K11" s="100">
        <f t="shared" si="8"/>
        <v>8922.4602865869674</v>
      </c>
      <c r="L11" s="100">
        <f t="shared" si="8"/>
        <v>10952.225612091503</v>
      </c>
      <c r="M11" s="100">
        <f t="shared" si="8"/>
        <v>13572.0898147113</v>
      </c>
      <c r="N11" s="100">
        <f t="shared" si="8"/>
        <v>15923.580317192969</v>
      </c>
      <c r="O11" s="155"/>
      <c r="P11" s="94"/>
    </row>
    <row r="12" spans="1:17" x14ac:dyDescent="0.3">
      <c r="A12" s="103" t="s">
        <v>26</v>
      </c>
      <c r="B12" s="102">
        <f>Historicals!B11</f>
        <v>932</v>
      </c>
      <c r="C12" s="102">
        <f>Historicals!C11</f>
        <v>863</v>
      </c>
      <c r="D12" s="102">
        <f>Historicals!D11</f>
        <v>646</v>
      </c>
      <c r="E12" s="102">
        <f>Historicals!E11</f>
        <v>2392</v>
      </c>
      <c r="F12" s="102">
        <f>Historicals!F11</f>
        <v>772</v>
      </c>
      <c r="G12" s="102">
        <f>Historicals!G11</f>
        <v>348</v>
      </c>
      <c r="H12" s="102">
        <f>Historicals!H11</f>
        <v>934</v>
      </c>
      <c r="I12" s="102">
        <f>Historicals!I11</f>
        <v>605</v>
      </c>
      <c r="J12" s="126">
        <f>J11*J13</f>
        <v>687.66059853890476</v>
      </c>
      <c r="K12" s="126">
        <f t="shared" ref="K12:N12" si="9">K11*K13</f>
        <v>982.06090103683505</v>
      </c>
      <c r="L12" s="126">
        <f t="shared" si="9"/>
        <v>1326.0163036031793</v>
      </c>
      <c r="M12" s="126">
        <f t="shared" si="9"/>
        <v>1807.5315745181006</v>
      </c>
      <c r="N12" s="126">
        <f t="shared" si="9"/>
        <v>2332.7735120536295</v>
      </c>
      <c r="O12" s="153"/>
      <c r="P12" s="126"/>
    </row>
    <row r="13" spans="1:17" x14ac:dyDescent="0.3">
      <c r="A13" s="104" t="s">
        <v>150</v>
      </c>
      <c r="B13" s="96">
        <f>B12/B11</f>
        <v>0.22164090368608799</v>
      </c>
      <c r="C13" s="96">
        <f t="shared" ref="C13:I13" si="10">C12/C11</f>
        <v>0.18667531905688947</v>
      </c>
      <c r="D13" s="96">
        <f t="shared" si="10"/>
        <v>0.13221449038067951</v>
      </c>
      <c r="E13" s="96">
        <f t="shared" si="10"/>
        <v>0.55306358381502885</v>
      </c>
      <c r="F13" s="96">
        <f t="shared" si="10"/>
        <v>0.16079983336804832</v>
      </c>
      <c r="G13" s="96">
        <f t="shared" si="10"/>
        <v>0.12054035330793211</v>
      </c>
      <c r="H13" s="96">
        <f t="shared" si="10"/>
        <v>0.14021918630836211</v>
      </c>
      <c r="I13" s="96">
        <f t="shared" si="10"/>
        <v>9.0963764847391368E-2</v>
      </c>
      <c r="J13" s="84">
        <f>I13*(1+$Q$13)</f>
        <v>0.10006014133213051</v>
      </c>
      <c r="K13" s="84">
        <f t="shared" ref="K13:N13" si="11">J13*(1+$Q$13)</f>
        <v>0.11006615546534357</v>
      </c>
      <c r="L13" s="84">
        <f t="shared" si="11"/>
        <v>0.12107277101187794</v>
      </c>
      <c r="M13" s="84">
        <f t="shared" si="11"/>
        <v>0.13318004811306575</v>
      </c>
      <c r="N13" s="84">
        <f t="shared" si="11"/>
        <v>0.14649805292437235</v>
      </c>
      <c r="O13" s="151"/>
      <c r="P13" t="s">
        <v>225</v>
      </c>
      <c r="Q13" s="136">
        <v>0.1</v>
      </c>
    </row>
    <row r="14" spans="1:17" ht="15" thickBot="1" x14ac:dyDescent="0.35">
      <c r="A14" s="105" t="s">
        <v>151</v>
      </c>
      <c r="B14" s="106">
        <f>B11-B12</f>
        <v>3273</v>
      </c>
      <c r="C14" s="106">
        <f t="shared" ref="C14:N14" si="12">C11-C12</f>
        <v>3760</v>
      </c>
      <c r="D14" s="106">
        <f t="shared" si="12"/>
        <v>4240</v>
      </c>
      <c r="E14" s="106">
        <f t="shared" si="12"/>
        <v>1933</v>
      </c>
      <c r="F14" s="106">
        <f t="shared" si="12"/>
        <v>4029</v>
      </c>
      <c r="G14" s="106">
        <f t="shared" si="12"/>
        <v>2539</v>
      </c>
      <c r="H14" s="106">
        <f t="shared" si="12"/>
        <v>5727</v>
      </c>
      <c r="I14" s="106">
        <f t="shared" si="12"/>
        <v>6046</v>
      </c>
      <c r="J14" s="106">
        <f t="shared" si="12"/>
        <v>6184.8121901647091</v>
      </c>
      <c r="K14" s="106">
        <f t="shared" si="12"/>
        <v>7940.3993855501321</v>
      </c>
      <c r="L14" s="106">
        <f t="shared" si="12"/>
        <v>9626.2093084883236</v>
      </c>
      <c r="M14" s="106">
        <f t="shared" si="12"/>
        <v>11764.558240193201</v>
      </c>
      <c r="N14" s="106">
        <f t="shared" si="12"/>
        <v>13590.80680513934</v>
      </c>
      <c r="O14" s="155"/>
      <c r="P14" s="94"/>
    </row>
    <row r="15" spans="1:17" ht="15" thickTop="1" x14ac:dyDescent="0.3">
      <c r="A15" s="103" t="s">
        <v>152</v>
      </c>
      <c r="B15" s="102">
        <f>Historicals!B18</f>
        <v>1768.8</v>
      </c>
      <c r="C15" s="102">
        <f>Historicals!C18</f>
        <v>1742.5</v>
      </c>
      <c r="D15" s="102">
        <f>Historicals!D18</f>
        <v>1692</v>
      </c>
      <c r="E15" s="102">
        <f>Historicals!E18</f>
        <v>1659.1</v>
      </c>
      <c r="F15" s="102">
        <f>Historicals!F18</f>
        <v>1618.4</v>
      </c>
      <c r="G15" s="102">
        <f>Historicals!G18</f>
        <v>1591.6</v>
      </c>
      <c r="H15" s="102">
        <f>Historicals!H18</f>
        <v>1609.4</v>
      </c>
      <c r="I15" s="102">
        <f>Historicals!I18</f>
        <v>1610.8</v>
      </c>
      <c r="J15" s="128">
        <f>I15</f>
        <v>1610.8</v>
      </c>
      <c r="K15" s="128">
        <f t="shared" ref="K15:N15" si="13">J15</f>
        <v>1610.8</v>
      </c>
      <c r="L15" s="128">
        <f t="shared" si="13"/>
        <v>1610.8</v>
      </c>
      <c r="M15" s="128">
        <f t="shared" si="13"/>
        <v>1610.8</v>
      </c>
      <c r="N15" s="128">
        <f t="shared" si="13"/>
        <v>1610.8</v>
      </c>
      <c r="O15" s="156"/>
      <c r="P15" t="s">
        <v>223</v>
      </c>
    </row>
    <row r="16" spans="1:17" x14ac:dyDescent="0.3">
      <c r="A16" s="103" t="s">
        <v>153</v>
      </c>
      <c r="B16" s="107">
        <f>Historicals!B15</f>
        <v>1.85</v>
      </c>
      <c r="C16" s="107">
        <f>Historicals!C15</f>
        <v>2.16</v>
      </c>
      <c r="D16" s="107">
        <f>Historicals!D15</f>
        <v>2.5099999999999998</v>
      </c>
      <c r="E16" s="107">
        <f>Historicals!E15</f>
        <v>1.17</v>
      </c>
      <c r="F16" s="107">
        <f>Historicals!F15</f>
        <v>2.4900000000000002</v>
      </c>
      <c r="G16" s="107">
        <f>Historicals!G15</f>
        <v>1.6</v>
      </c>
      <c r="H16" s="107">
        <f>Historicals!H15</f>
        <v>3.56</v>
      </c>
      <c r="I16" s="107">
        <f>Historicals!I15</f>
        <v>3.75</v>
      </c>
      <c r="J16" s="134">
        <f>J14/J15</f>
        <v>3.839590383762546</v>
      </c>
      <c r="K16" s="134">
        <f t="shared" ref="K16:N16" si="14">K14/K15</f>
        <v>4.9294756552955876</v>
      </c>
      <c r="L16" s="134">
        <f t="shared" si="14"/>
        <v>5.9760425307228235</v>
      </c>
      <c r="M16" s="134">
        <f t="shared" si="14"/>
        <v>7.3035499380389872</v>
      </c>
      <c r="N16" s="134">
        <f t="shared" si="14"/>
        <v>8.4373024615963121</v>
      </c>
      <c r="O16" s="157"/>
      <c r="P16" s="134"/>
    </row>
    <row r="17" spans="1:17" x14ac:dyDescent="0.3">
      <c r="A17" s="103" t="s">
        <v>154</v>
      </c>
      <c r="B17" s="107">
        <f>ABS(Historicals!B92/'Three Statements'!B15)</f>
        <v>0.508254183627318</v>
      </c>
      <c r="C17" s="107">
        <f>ABS(Historicals!C92/'Three Statements'!C15)</f>
        <v>0.58651362984218081</v>
      </c>
      <c r="D17" s="107">
        <f>ABS(Historicals!D92/'Three Statements'!D15)</f>
        <v>0.66962174940898345</v>
      </c>
      <c r="E17" s="107">
        <f>ABS(Historicals!E92/'Three Statements'!E15)</f>
        <v>0.74920137423904531</v>
      </c>
      <c r="F17" s="107">
        <f>ABS(Historicals!F92/'Three Statements'!F15)</f>
        <v>0.82303509639149774</v>
      </c>
      <c r="G17" s="107">
        <f>ABS(Historicals!G92/'Three Statements'!G15)</f>
        <v>0.91228951997989449</v>
      </c>
      <c r="H17" s="107">
        <f>ABS(Historicals!H92/'Three Statements'!H15)</f>
        <v>1.0177705977382876</v>
      </c>
      <c r="I17" s="107">
        <f>ABS(Historicals!I92/'Three Statements'!I15)</f>
        <v>1.1404271169605165</v>
      </c>
      <c r="J17" s="134">
        <f>I17*(1+$Q$17)</f>
        <v>1.0948100322820957</v>
      </c>
      <c r="K17" s="134">
        <f t="shared" ref="K17" si="15">J17*(1+$Q$17)</f>
        <v>1.0510176309908119</v>
      </c>
      <c r="L17" s="134">
        <f>K17*(1+2%)</f>
        <v>1.0720379836106282</v>
      </c>
      <c r="M17" s="134">
        <f t="shared" ref="M17:N17" si="16">L17*(1+2%)</f>
        <v>1.0934787432828408</v>
      </c>
      <c r="N17" s="134">
        <f t="shared" si="16"/>
        <v>1.1153483181484976</v>
      </c>
      <c r="O17" s="157" t="s">
        <v>231</v>
      </c>
      <c r="P17" s="134"/>
      <c r="Q17" s="136">
        <v>-0.04</v>
      </c>
    </row>
    <row r="18" spans="1:17" x14ac:dyDescent="0.3">
      <c r="A18" s="104" t="s">
        <v>129</v>
      </c>
      <c r="B18" s="60" t="str">
        <f>IFERROR((B17-A17)/A17,"nm")</f>
        <v>nm</v>
      </c>
      <c r="C18" s="60">
        <f t="shared" ref="C18:I18" si="17">IFERROR((C17-B17)/B17,"nm")</f>
        <v>0.15397698383186798</v>
      </c>
      <c r="D18" s="60">
        <f t="shared" si="17"/>
        <v>0.14169853067040469</v>
      </c>
      <c r="E18" s="60">
        <f t="shared" si="17"/>
        <v>0.11884265243818595</v>
      </c>
      <c r="F18" s="60">
        <f t="shared" si="17"/>
        <v>9.8549902190775404E-2</v>
      </c>
      <c r="G18" s="60">
        <f t="shared" si="17"/>
        <v>0.10844546481641239</v>
      </c>
      <c r="H18" s="60">
        <f t="shared" si="17"/>
        <v>0.1156223714602331</v>
      </c>
      <c r="I18" s="60">
        <f t="shared" si="17"/>
        <v>0.12051489745803122</v>
      </c>
      <c r="J18" s="60">
        <f t="shared" ref="J18" si="18">IFERROR((J17-I17)/I17,"nm")</f>
        <v>-4.000000000000007E-2</v>
      </c>
      <c r="K18" s="60">
        <f t="shared" ref="K18" si="19">IFERROR((K17-J17)/J17,"nm")</f>
        <v>-3.9999999999999987E-2</v>
      </c>
      <c r="L18" s="60">
        <f t="shared" ref="L18" si="20">IFERROR((L17-K17)/K17,"nm")</f>
        <v>2.0000000000000035E-2</v>
      </c>
      <c r="M18" s="60">
        <f t="shared" ref="M18" si="21">IFERROR((M17-L17)/L17,"nm")</f>
        <v>2.0000000000000028E-2</v>
      </c>
      <c r="N18" s="60">
        <f t="shared" ref="N18" si="22">IFERROR((N17-M17)/M17,"nm")</f>
        <v>1.9999999999999959E-2</v>
      </c>
      <c r="O18" s="158" t="s">
        <v>230</v>
      </c>
      <c r="P18" s="60"/>
    </row>
    <row r="19" spans="1:17" x14ac:dyDescent="0.3">
      <c r="A19" s="104" t="s">
        <v>155</v>
      </c>
      <c r="B19" s="96">
        <f>B17/B16</f>
        <v>0.2747319911499016</v>
      </c>
      <c r="C19" s="96">
        <f t="shared" ref="C19:N19" si="23">C17/C16</f>
        <v>0.27153408788989852</v>
      </c>
      <c r="D19" s="96">
        <f t="shared" si="23"/>
        <v>0.26678157346971454</v>
      </c>
      <c r="E19" s="96">
        <f t="shared" si="23"/>
        <v>0.64034305490516696</v>
      </c>
      <c r="F19" s="96">
        <f t="shared" si="23"/>
        <v>0.33053618328975809</v>
      </c>
      <c r="G19" s="96">
        <f t="shared" si="23"/>
        <v>0.57018094998743407</v>
      </c>
      <c r="H19" s="96">
        <f t="shared" si="23"/>
        <v>0.2858906173422156</v>
      </c>
      <c r="I19" s="96">
        <f t="shared" si="23"/>
        <v>0.30411389785613774</v>
      </c>
      <c r="J19" s="96">
        <f t="shared" si="23"/>
        <v>0.28513719507997465</v>
      </c>
      <c r="K19" s="96">
        <f t="shared" si="23"/>
        <v>0.21321083711240876</v>
      </c>
      <c r="L19" s="96">
        <f t="shared" si="23"/>
        <v>0.17938928280702202</v>
      </c>
      <c r="M19" s="96">
        <f t="shared" si="23"/>
        <v>0.14971880148141237</v>
      </c>
      <c r="N19" s="96">
        <f t="shared" si="23"/>
        <v>0.13219252518505506</v>
      </c>
      <c r="O19" s="159"/>
      <c r="P19" s="96"/>
    </row>
    <row r="20" spans="1:17" x14ac:dyDescent="0.3">
      <c r="A20" s="108" t="s">
        <v>156</v>
      </c>
      <c r="B20" s="92"/>
      <c r="C20" s="92"/>
      <c r="D20" s="92"/>
      <c r="E20" s="92"/>
      <c r="F20" s="92"/>
      <c r="G20" s="92"/>
      <c r="H20" s="92"/>
      <c r="I20" s="92"/>
      <c r="J20" s="129"/>
      <c r="K20" s="129"/>
      <c r="L20" s="129"/>
      <c r="M20" s="129"/>
      <c r="N20" s="129"/>
      <c r="O20" s="150"/>
      <c r="P20" s="129"/>
    </row>
    <row r="21" spans="1:17" x14ac:dyDescent="0.3">
      <c r="A21" s="103" t="s">
        <v>157</v>
      </c>
      <c r="B21" s="102">
        <f>Historicals!B25</f>
        <v>3852</v>
      </c>
      <c r="C21" s="102">
        <f>Historicals!C25</f>
        <v>3138</v>
      </c>
      <c r="D21" s="102">
        <f>Historicals!D25</f>
        <v>3808</v>
      </c>
      <c r="E21" s="102">
        <f>Historicals!E25</f>
        <v>4249</v>
      </c>
      <c r="F21" s="102">
        <f>Historicals!F25</f>
        <v>4466</v>
      </c>
      <c r="G21" s="102">
        <f>Historicals!G25</f>
        <v>8348</v>
      </c>
      <c r="H21" s="102">
        <f>Historicals!H25</f>
        <v>9889</v>
      </c>
      <c r="I21" s="102">
        <f>Historicals!I25</f>
        <v>8574</v>
      </c>
      <c r="J21" s="50">
        <f>I21*(1+$Q$21)</f>
        <v>8745.48</v>
      </c>
      <c r="K21" s="50">
        <f t="shared" ref="K21:N21" si="24">J21*(1+$Q$21)</f>
        <v>8920.3896000000004</v>
      </c>
      <c r="L21" s="50">
        <f t="shared" si="24"/>
        <v>9098.7973920000004</v>
      </c>
      <c r="M21" s="50">
        <f t="shared" si="24"/>
        <v>9280.7733398400014</v>
      </c>
      <c r="N21" s="50">
        <f t="shared" si="24"/>
        <v>9466.3888066368017</v>
      </c>
      <c r="O21" s="160"/>
      <c r="P21" t="s">
        <v>226</v>
      </c>
      <c r="Q21" s="136">
        <v>0.02</v>
      </c>
    </row>
    <row r="22" spans="1:17" x14ac:dyDescent="0.3">
      <c r="A22" s="103" t="s">
        <v>158</v>
      </c>
      <c r="B22" s="102">
        <f>Historicals!B26</f>
        <v>2072</v>
      </c>
      <c r="C22" s="102">
        <f>Historicals!C26</f>
        <v>2319</v>
      </c>
      <c r="D22" s="102">
        <f>Historicals!D26</f>
        <v>2371</v>
      </c>
      <c r="E22" s="102">
        <f>Historicals!E26</f>
        <v>996</v>
      </c>
      <c r="F22" s="102">
        <f>Historicals!F26</f>
        <v>197</v>
      </c>
      <c r="G22" s="102">
        <f>Historicals!G26</f>
        <v>439</v>
      </c>
      <c r="H22" s="102">
        <f>Historicals!H26</f>
        <v>3587</v>
      </c>
      <c r="I22" s="102">
        <f>Historicals!I26</f>
        <v>4423</v>
      </c>
      <c r="J22" s="142">
        <f>I22</f>
        <v>4423</v>
      </c>
      <c r="K22" s="142">
        <f t="shared" ref="K22:N22" si="25">J22</f>
        <v>4423</v>
      </c>
      <c r="L22" s="142">
        <f t="shared" si="25"/>
        <v>4423</v>
      </c>
      <c r="M22" s="142">
        <f t="shared" si="25"/>
        <v>4423</v>
      </c>
      <c r="N22" s="142">
        <f t="shared" si="25"/>
        <v>4423</v>
      </c>
      <c r="O22" s="161"/>
    </row>
    <row r="23" spans="1:17" x14ac:dyDescent="0.3">
      <c r="A23" s="103" t="s">
        <v>159</v>
      </c>
      <c r="B23" s="102">
        <f>(Historicals!B28+Historicals!B27)-Historicals!B41</f>
        <v>5564</v>
      </c>
      <c r="C23" s="102">
        <f>(Historicals!C28+Historicals!C27)-Historicals!C41</f>
        <v>5888</v>
      </c>
      <c r="D23" s="102">
        <f>(Historicals!D28+Historicals!D27)-Historicals!D41</f>
        <v>6684</v>
      </c>
      <c r="E23" s="102">
        <f>(Historicals!E28+Historicals!E27)-Historicals!E41</f>
        <v>6480</v>
      </c>
      <c r="F23" s="102">
        <f>(Historicals!F28+Historicals!F27)-Historicals!F41</f>
        <v>7282</v>
      </c>
      <c r="G23" s="102">
        <f>(Historicals!G28+Historicals!G27)-Historicals!G41</f>
        <v>7868</v>
      </c>
      <c r="H23" s="102">
        <f>(Historicals!H28+Historicals!H27)-Historicals!H41</f>
        <v>8481</v>
      </c>
      <c r="I23" s="102">
        <f>(Historicals!I28+Historicals!I27)-Historicals!I41</f>
        <v>9729</v>
      </c>
      <c r="J23" s="50">
        <f>$Q$24*J3</f>
        <v>10208.072801390719</v>
      </c>
      <c r="K23" s="50">
        <f t="shared" ref="K23:N23" si="26">J24*K3</f>
        <v>11112.251300831455</v>
      </c>
      <c r="L23" s="50">
        <f t="shared" si="26"/>
        <v>11707.704999367665</v>
      </c>
      <c r="M23" s="50">
        <f t="shared" si="26"/>
        <v>12295.115143826566</v>
      </c>
      <c r="N23" s="50">
        <f t="shared" si="26"/>
        <v>12898.101844694102</v>
      </c>
      <c r="O23" s="160" t="s">
        <v>232</v>
      </c>
      <c r="P23" s="69"/>
    </row>
    <row r="24" spans="1:17" x14ac:dyDescent="0.3">
      <c r="A24" s="104" t="s">
        <v>160</v>
      </c>
      <c r="B24" s="96">
        <f>B23/B3</f>
        <v>0.18182412339466031</v>
      </c>
      <c r="C24" s="96">
        <f t="shared" ref="C24:N24" si="27">C23/C3</f>
        <v>0.1818631084754139</v>
      </c>
      <c r="D24" s="96">
        <f t="shared" si="27"/>
        <v>0.19458515283842795</v>
      </c>
      <c r="E24" s="96">
        <f t="shared" si="27"/>
        <v>0.17803665137236585</v>
      </c>
      <c r="F24" s="96">
        <f t="shared" si="27"/>
        <v>0.18615947030702765</v>
      </c>
      <c r="G24" s="96">
        <f t="shared" si="27"/>
        <v>0.21035745795791783</v>
      </c>
      <c r="H24" s="96">
        <f t="shared" si="27"/>
        <v>0.19042166240064665</v>
      </c>
      <c r="I24" s="96">
        <f t="shared" si="27"/>
        <v>0.20828516377649325</v>
      </c>
      <c r="J24" s="145">
        <f t="shared" si="27"/>
        <v>0.2</v>
      </c>
      <c r="K24" s="145">
        <f t="shared" si="27"/>
        <v>0.2</v>
      </c>
      <c r="L24" s="145">
        <f t="shared" si="27"/>
        <v>0.2</v>
      </c>
      <c r="M24" s="145">
        <f t="shared" si="27"/>
        <v>0.2</v>
      </c>
      <c r="N24" s="145">
        <f t="shared" si="27"/>
        <v>0.2</v>
      </c>
      <c r="O24" s="158" t="s">
        <v>230</v>
      </c>
      <c r="P24" s="146" t="s">
        <v>224</v>
      </c>
      <c r="Q24" s="136">
        <v>0.2</v>
      </c>
    </row>
    <row r="25" spans="1:17" x14ac:dyDescent="0.3">
      <c r="A25" s="103" t="s">
        <v>161</v>
      </c>
      <c r="B25" s="102">
        <f>Historicals!B29</f>
        <v>1968</v>
      </c>
      <c r="C25" s="102">
        <f>Historicals!C29</f>
        <v>1489</v>
      </c>
      <c r="D25" s="102">
        <f>Historicals!D29</f>
        <v>1150</v>
      </c>
      <c r="E25" s="102">
        <f>Historicals!E29</f>
        <v>1130</v>
      </c>
      <c r="F25" s="102">
        <f>Historicals!F29</f>
        <v>1968</v>
      </c>
      <c r="G25" s="102">
        <f>Historicals!G29</f>
        <v>1653</v>
      </c>
      <c r="H25" s="102">
        <f>Historicals!H29</f>
        <v>1498</v>
      </c>
      <c r="I25" s="102">
        <f>Historicals!I29</f>
        <v>2129</v>
      </c>
      <c r="J25" s="142">
        <f>I25</f>
        <v>2129</v>
      </c>
      <c r="K25" s="142">
        <f t="shared" ref="K25:N25" si="28">J25</f>
        <v>2129</v>
      </c>
      <c r="L25" s="142">
        <f t="shared" si="28"/>
        <v>2129</v>
      </c>
      <c r="M25" s="142">
        <f t="shared" si="28"/>
        <v>2129</v>
      </c>
      <c r="N25" s="142">
        <f t="shared" si="28"/>
        <v>2129</v>
      </c>
      <c r="O25" s="161"/>
      <c r="P25" s="69"/>
    </row>
    <row r="26" spans="1:17" x14ac:dyDescent="0.3">
      <c r="A26" s="103" t="s">
        <v>162</v>
      </c>
      <c r="B26" s="102">
        <f>Historicals!B31</f>
        <v>3011</v>
      </c>
      <c r="C26" s="102">
        <f>Historicals!C31</f>
        <v>3520</v>
      </c>
      <c r="D26" s="102">
        <f>Historicals!D31</f>
        <v>3989</v>
      </c>
      <c r="E26" s="102">
        <f>Historicals!E31</f>
        <v>4454</v>
      </c>
      <c r="F26" s="102">
        <f>Historicals!F31</f>
        <v>4744</v>
      </c>
      <c r="G26" s="102">
        <f>Historicals!G31</f>
        <v>4866</v>
      </c>
      <c r="H26" s="102">
        <f>Historicals!H31</f>
        <v>4904</v>
      </c>
      <c r="I26" s="102">
        <f>Historicals!I31</f>
        <v>4791</v>
      </c>
      <c r="J26" s="142">
        <f t="shared" ref="J26:N30" si="29">I26</f>
        <v>4791</v>
      </c>
      <c r="K26" s="142">
        <f t="shared" si="29"/>
        <v>4791</v>
      </c>
      <c r="L26" s="142">
        <f t="shared" si="29"/>
        <v>4791</v>
      </c>
      <c r="M26" s="142">
        <f t="shared" si="29"/>
        <v>4791</v>
      </c>
      <c r="N26" s="142">
        <f t="shared" si="29"/>
        <v>4791</v>
      </c>
      <c r="O26" s="160" t="s">
        <v>236</v>
      </c>
      <c r="P26" s="69"/>
    </row>
    <row r="27" spans="1:17" x14ac:dyDescent="0.3">
      <c r="A27" s="103" t="s">
        <v>163</v>
      </c>
      <c r="B27" s="102">
        <f>Historicals!B33</f>
        <v>281</v>
      </c>
      <c r="C27" s="102">
        <f>Historicals!C33</f>
        <v>281</v>
      </c>
      <c r="D27" s="102">
        <f>Historicals!D33</f>
        <v>283</v>
      </c>
      <c r="E27" s="102">
        <f>Historicals!E33</f>
        <v>285</v>
      </c>
      <c r="F27" s="102">
        <f>Historicals!F33</f>
        <v>283</v>
      </c>
      <c r="G27" s="102">
        <f>Historicals!G33</f>
        <v>274</v>
      </c>
      <c r="H27" s="102">
        <f>Historicals!H33</f>
        <v>269</v>
      </c>
      <c r="I27" s="102">
        <f>Historicals!I33</f>
        <v>286</v>
      </c>
      <c r="J27" s="142">
        <f t="shared" si="29"/>
        <v>286</v>
      </c>
      <c r="K27" s="142">
        <f t="shared" si="29"/>
        <v>286</v>
      </c>
      <c r="L27" s="142">
        <f t="shared" si="29"/>
        <v>286</v>
      </c>
      <c r="M27" s="142">
        <f t="shared" si="29"/>
        <v>286</v>
      </c>
      <c r="N27" s="142">
        <f t="shared" si="29"/>
        <v>286</v>
      </c>
      <c r="O27" s="161"/>
      <c r="P27" s="69"/>
    </row>
    <row r="28" spans="1:17" x14ac:dyDescent="0.3">
      <c r="A28" s="103" t="s">
        <v>40</v>
      </c>
      <c r="B28" s="102">
        <f>Historicals!B34</f>
        <v>131</v>
      </c>
      <c r="C28" s="102">
        <f>Historicals!C34</f>
        <v>131</v>
      </c>
      <c r="D28" s="102">
        <f>Historicals!D34</f>
        <v>139</v>
      </c>
      <c r="E28" s="102">
        <f>Historicals!E34</f>
        <v>154</v>
      </c>
      <c r="F28" s="102">
        <f>Historicals!F34</f>
        <v>154</v>
      </c>
      <c r="G28" s="102">
        <f>Historicals!G34</f>
        <v>223</v>
      </c>
      <c r="H28" s="102">
        <f>Historicals!H34</f>
        <v>242</v>
      </c>
      <c r="I28" s="102">
        <f>Historicals!I34</f>
        <v>284</v>
      </c>
      <c r="J28" s="142">
        <f t="shared" si="29"/>
        <v>284</v>
      </c>
      <c r="K28" s="142">
        <f t="shared" si="29"/>
        <v>284</v>
      </c>
      <c r="L28" s="142">
        <f t="shared" si="29"/>
        <v>284</v>
      </c>
      <c r="M28" s="142">
        <f t="shared" si="29"/>
        <v>284</v>
      </c>
      <c r="N28" s="142">
        <f t="shared" si="29"/>
        <v>284</v>
      </c>
      <c r="O28" s="161"/>
      <c r="P28" s="69"/>
    </row>
    <row r="29" spans="1:17" x14ac:dyDescent="0.3">
      <c r="A29" s="109" t="s">
        <v>38</v>
      </c>
      <c r="B29" s="102">
        <f>Historicals!B32</f>
        <v>0</v>
      </c>
      <c r="C29" s="102">
        <f>Historicals!C32</f>
        <v>0</v>
      </c>
      <c r="D29" s="102">
        <f>Historicals!D32</f>
        <v>0</v>
      </c>
      <c r="E29" s="102">
        <f>Historicals!E32</f>
        <v>0</v>
      </c>
      <c r="F29" s="102">
        <f>Historicals!F32</f>
        <v>0</v>
      </c>
      <c r="G29" s="102">
        <f>Historicals!G32</f>
        <v>3097</v>
      </c>
      <c r="H29" s="102">
        <f>Historicals!H32</f>
        <v>3113</v>
      </c>
      <c r="I29" s="102">
        <f>Historicals!I32</f>
        <v>2926</v>
      </c>
      <c r="J29" s="142">
        <f t="shared" si="29"/>
        <v>2926</v>
      </c>
      <c r="K29" s="142">
        <f t="shared" si="29"/>
        <v>2926</v>
      </c>
      <c r="L29" s="142">
        <f t="shared" si="29"/>
        <v>2926</v>
      </c>
      <c r="M29" s="142">
        <f t="shared" si="29"/>
        <v>2926</v>
      </c>
      <c r="N29" s="142">
        <f t="shared" si="29"/>
        <v>2926</v>
      </c>
      <c r="O29" s="161"/>
      <c r="P29" s="69"/>
    </row>
    <row r="30" spans="1:17" x14ac:dyDescent="0.3">
      <c r="A30" s="103" t="s">
        <v>164</v>
      </c>
      <c r="B30" s="102">
        <f>Historicals!B35</f>
        <v>2587</v>
      </c>
      <c r="C30" s="102">
        <f>Historicals!C35</f>
        <v>2439</v>
      </c>
      <c r="D30" s="102">
        <f>Historicals!D35</f>
        <v>2787</v>
      </c>
      <c r="E30" s="102">
        <f>Historicals!E35</f>
        <v>2509</v>
      </c>
      <c r="F30" s="102">
        <f>Historicals!F35</f>
        <v>2011</v>
      </c>
      <c r="G30" s="102">
        <f>Historicals!G35</f>
        <v>2326</v>
      </c>
      <c r="H30" s="102">
        <f>Historicals!H35</f>
        <v>2921</v>
      </c>
      <c r="I30" s="102">
        <f>Historicals!I35</f>
        <v>3821</v>
      </c>
      <c r="J30" s="142">
        <f t="shared" si="29"/>
        <v>3821</v>
      </c>
      <c r="K30" s="142">
        <f t="shared" si="29"/>
        <v>3821</v>
      </c>
      <c r="L30" s="142">
        <f t="shared" si="29"/>
        <v>3821</v>
      </c>
      <c r="M30" s="142">
        <f t="shared" si="29"/>
        <v>3821</v>
      </c>
      <c r="N30" s="142">
        <f t="shared" si="29"/>
        <v>3821</v>
      </c>
      <c r="O30" s="161"/>
      <c r="P30" s="69"/>
    </row>
    <row r="31" spans="1:17" ht="15" thickBot="1" x14ac:dyDescent="0.35">
      <c r="A31" s="105" t="s">
        <v>165</v>
      </c>
      <c r="B31" s="106">
        <f>+B21+B22+B23+B25+B26+B27+B28+B29+B30</f>
        <v>19466</v>
      </c>
      <c r="C31" s="106">
        <f t="shared" ref="C31:N31" si="30">+C21+C22+C23+C25+C26+C27+C28+C29+C30</f>
        <v>19205</v>
      </c>
      <c r="D31" s="106">
        <f t="shared" si="30"/>
        <v>21211</v>
      </c>
      <c r="E31" s="106">
        <f t="shared" si="30"/>
        <v>20257</v>
      </c>
      <c r="F31" s="106">
        <f t="shared" si="30"/>
        <v>21105</v>
      </c>
      <c r="G31" s="106">
        <f t="shared" si="30"/>
        <v>29094</v>
      </c>
      <c r="H31" s="106">
        <f t="shared" si="30"/>
        <v>34904</v>
      </c>
      <c r="I31" s="106">
        <f t="shared" si="30"/>
        <v>36963</v>
      </c>
      <c r="J31" s="106">
        <f t="shared" si="30"/>
        <v>37613.552801390717</v>
      </c>
      <c r="K31" s="106">
        <f t="shared" si="30"/>
        <v>38692.640900831451</v>
      </c>
      <c r="L31" s="106">
        <f t="shared" si="30"/>
        <v>39466.502391367663</v>
      </c>
      <c r="M31" s="106">
        <f t="shared" si="30"/>
        <v>40235.888483666567</v>
      </c>
      <c r="N31" s="106">
        <f t="shared" si="30"/>
        <v>41024.490651330903</v>
      </c>
      <c r="O31" s="155"/>
      <c r="P31" s="94"/>
    </row>
    <row r="32" spans="1:17" ht="15" thickTop="1" x14ac:dyDescent="0.3">
      <c r="A32" s="103" t="s">
        <v>166</v>
      </c>
      <c r="B32" s="102">
        <f>B33+B34</f>
        <v>181</v>
      </c>
      <c r="C32" s="102">
        <f t="shared" ref="C32:I32" si="31">C33+C34</f>
        <v>45</v>
      </c>
      <c r="D32" s="102">
        <f t="shared" si="31"/>
        <v>331</v>
      </c>
      <c r="E32" s="102">
        <f t="shared" si="31"/>
        <v>342</v>
      </c>
      <c r="F32" s="102">
        <f t="shared" si="31"/>
        <v>15</v>
      </c>
      <c r="G32" s="102">
        <f t="shared" si="31"/>
        <v>251</v>
      </c>
      <c r="H32" s="102">
        <f t="shared" si="31"/>
        <v>2</v>
      </c>
      <c r="I32" s="102">
        <f t="shared" si="31"/>
        <v>510</v>
      </c>
      <c r="J32" s="50">
        <f>I32*(1+$Q$32)</f>
        <v>538.04999999999995</v>
      </c>
      <c r="K32" s="50">
        <f t="shared" ref="K32:N32" si="32">J32*(1+$Q$32)</f>
        <v>567.64274999999986</v>
      </c>
      <c r="L32" s="50">
        <f t="shared" si="32"/>
        <v>598.86310124999977</v>
      </c>
      <c r="M32" s="50">
        <f t="shared" si="32"/>
        <v>631.80057181874975</v>
      </c>
      <c r="N32" s="50">
        <f t="shared" si="32"/>
        <v>666.54960326878097</v>
      </c>
      <c r="O32" s="160"/>
      <c r="P32" t="s">
        <v>227</v>
      </c>
      <c r="Q32" s="143">
        <v>5.5E-2</v>
      </c>
    </row>
    <row r="33" spans="1:17" x14ac:dyDescent="0.3">
      <c r="A33" s="101" t="s">
        <v>45</v>
      </c>
      <c r="B33" s="102">
        <f>Historicals!B39</f>
        <v>107</v>
      </c>
      <c r="C33" s="102">
        <f>Historicals!C39</f>
        <v>44</v>
      </c>
      <c r="D33" s="102">
        <f>Historicals!D39</f>
        <v>6</v>
      </c>
      <c r="E33" s="102">
        <f>Historicals!E39</f>
        <v>6</v>
      </c>
      <c r="F33" s="102">
        <f>Historicals!F39</f>
        <v>6</v>
      </c>
      <c r="G33" s="102">
        <f>Historicals!G39</f>
        <v>3</v>
      </c>
      <c r="H33" s="102">
        <f>Historicals!H39</f>
        <v>0</v>
      </c>
      <c r="I33" s="102">
        <f>Historicals!I39</f>
        <v>500</v>
      </c>
      <c r="J33" s="50">
        <f>I33*(1+$Q$33)</f>
        <v>375</v>
      </c>
      <c r="K33" s="50">
        <f t="shared" ref="K33:N33" si="33">J33*(1+$Q$33)</f>
        <v>281.25</v>
      </c>
      <c r="L33" s="50">
        <f t="shared" si="33"/>
        <v>210.9375</v>
      </c>
      <c r="M33" s="50">
        <f t="shared" si="33"/>
        <v>158.203125</v>
      </c>
      <c r="N33" s="50">
        <f t="shared" si="33"/>
        <v>118.65234375</v>
      </c>
      <c r="O33" s="160" t="s">
        <v>233</v>
      </c>
      <c r="P33" s="69"/>
      <c r="Q33" s="144">
        <v>-0.25</v>
      </c>
    </row>
    <row r="34" spans="1:17" x14ac:dyDescent="0.3">
      <c r="A34" s="101" t="s">
        <v>46</v>
      </c>
      <c r="B34" s="102">
        <f>Historicals!B40</f>
        <v>74</v>
      </c>
      <c r="C34" s="102">
        <f>Historicals!C40</f>
        <v>1</v>
      </c>
      <c r="D34" s="102">
        <f>Historicals!D40</f>
        <v>325</v>
      </c>
      <c r="E34" s="102">
        <f>Historicals!E40</f>
        <v>336</v>
      </c>
      <c r="F34" s="102">
        <f>Historicals!F40</f>
        <v>9</v>
      </c>
      <c r="G34" s="102">
        <f>Historicals!G40</f>
        <v>248</v>
      </c>
      <c r="H34" s="102">
        <f>Historicals!H40</f>
        <v>2</v>
      </c>
      <c r="I34" s="102">
        <f>Historicals!I40</f>
        <v>10</v>
      </c>
      <c r="J34" s="142">
        <f>I34</f>
        <v>10</v>
      </c>
      <c r="K34" s="142">
        <f t="shared" ref="K34:N34" si="34">J34</f>
        <v>10</v>
      </c>
      <c r="L34" s="142">
        <f t="shared" si="34"/>
        <v>10</v>
      </c>
      <c r="M34" s="142">
        <f t="shared" si="34"/>
        <v>10</v>
      </c>
      <c r="N34" s="142">
        <f t="shared" si="34"/>
        <v>10</v>
      </c>
      <c r="O34" s="161"/>
      <c r="P34" s="69"/>
    </row>
    <row r="35" spans="1:17" x14ac:dyDescent="0.3">
      <c r="A35" s="103" t="s">
        <v>167</v>
      </c>
      <c r="B35" s="102">
        <f>+Historicals!B42+Historicals!B43+Historicals!B44</f>
        <v>4020</v>
      </c>
      <c r="C35" s="102">
        <f>+Historicals!C42+Historicals!C43+Historicals!C44</f>
        <v>3122</v>
      </c>
      <c r="D35" s="102">
        <f>+Historicals!D42+Historicals!D43+Historicals!D44</f>
        <v>3095</v>
      </c>
      <c r="E35" s="102">
        <f>+Historicals!E42+Historicals!E43+Historicals!E44</f>
        <v>3419</v>
      </c>
      <c r="F35" s="102">
        <f>+Historicals!F42+Historicals!F43+Historicals!F44</f>
        <v>5239</v>
      </c>
      <c r="G35" s="102">
        <f>+Historicals!G42+Historicals!G43+Historicals!G44</f>
        <v>5785</v>
      </c>
      <c r="H35" s="102">
        <f>+Historicals!H42+Historicals!H43+Historicals!H44</f>
        <v>6836</v>
      </c>
      <c r="I35" s="102">
        <f>+Historicals!I42+Historicals!I43+Historicals!I44</f>
        <v>6862</v>
      </c>
      <c r="J35" s="142">
        <f>I35</f>
        <v>6862</v>
      </c>
      <c r="K35" s="142">
        <f t="shared" ref="K35:N35" si="35">J35</f>
        <v>6862</v>
      </c>
      <c r="L35" s="142">
        <f t="shared" si="35"/>
        <v>6862</v>
      </c>
      <c r="M35" s="142">
        <f t="shared" si="35"/>
        <v>6862</v>
      </c>
      <c r="N35" s="142">
        <f t="shared" si="35"/>
        <v>6862</v>
      </c>
      <c r="O35" s="161"/>
      <c r="P35" s="69"/>
    </row>
    <row r="36" spans="1:17" x14ac:dyDescent="0.3">
      <c r="A36" s="103" t="s">
        <v>49</v>
      </c>
      <c r="B36" s="102">
        <f>Historicals!B46</f>
        <v>1079</v>
      </c>
      <c r="C36" s="102">
        <f>Historicals!C46</f>
        <v>2010</v>
      </c>
      <c r="D36" s="102">
        <f>Historicals!D46</f>
        <v>3471</v>
      </c>
      <c r="E36" s="102">
        <f>Historicals!E46</f>
        <v>3468</v>
      </c>
      <c r="F36" s="102">
        <f>Historicals!F46</f>
        <v>3464</v>
      </c>
      <c r="G36" s="102">
        <f>Historicals!G46</f>
        <v>9406</v>
      </c>
      <c r="H36" s="102">
        <f>Historicals!H46</f>
        <v>9413</v>
      </c>
      <c r="I36" s="102">
        <f>Historicals!I46</f>
        <v>8920</v>
      </c>
      <c r="J36" s="50">
        <v>500</v>
      </c>
      <c r="K36" s="50">
        <v>0</v>
      </c>
      <c r="L36" s="50">
        <v>1000</v>
      </c>
      <c r="M36" s="50">
        <v>0</v>
      </c>
      <c r="N36" s="50">
        <v>2000</v>
      </c>
      <c r="O36" s="160" t="s">
        <v>234</v>
      </c>
      <c r="P36" t="s">
        <v>228</v>
      </c>
    </row>
    <row r="37" spans="1:17" x14ac:dyDescent="0.3">
      <c r="A37" s="109" t="s">
        <v>50</v>
      </c>
      <c r="B37" s="102">
        <f>Historicals!B47</f>
        <v>0</v>
      </c>
      <c r="C37" s="102">
        <f>Historicals!C47</f>
        <v>0</v>
      </c>
      <c r="D37" s="102">
        <f>Historicals!D47</f>
        <v>0</v>
      </c>
      <c r="E37" s="102">
        <f>Historicals!E47</f>
        <v>0</v>
      </c>
      <c r="F37" s="102">
        <f>Historicals!F47</f>
        <v>0</v>
      </c>
      <c r="G37" s="102">
        <f>Historicals!G47</f>
        <v>2913</v>
      </c>
      <c r="H37" s="102">
        <f>Historicals!H47</f>
        <v>2931</v>
      </c>
      <c r="I37" s="102">
        <f>Historicals!I47</f>
        <v>2777</v>
      </c>
      <c r="J37" s="142">
        <f>I37</f>
        <v>2777</v>
      </c>
      <c r="K37" s="142">
        <f t="shared" ref="K37:N37" si="36">J37</f>
        <v>2777</v>
      </c>
      <c r="L37" s="142">
        <f t="shared" si="36"/>
        <v>2777</v>
      </c>
      <c r="M37" s="142">
        <f t="shared" si="36"/>
        <v>2777</v>
      </c>
      <c r="N37" s="142">
        <f t="shared" si="36"/>
        <v>2777</v>
      </c>
      <c r="O37" s="161"/>
      <c r="P37" s="69"/>
    </row>
    <row r="38" spans="1:17" x14ac:dyDescent="0.3">
      <c r="A38" s="103" t="s">
        <v>168</v>
      </c>
      <c r="B38" s="102">
        <f>Historicals!B48+Historicals!B49+Historicals!B50</f>
        <v>1479</v>
      </c>
      <c r="C38" s="102">
        <f>Historicals!C48+Historicals!C49+Historicals!C50</f>
        <v>1770</v>
      </c>
      <c r="D38" s="102">
        <f>Historicals!D48+Historicals!D49+Historicals!D50</f>
        <v>1907</v>
      </c>
      <c r="E38" s="102">
        <f>Historicals!E48+Historicals!E49+Historicals!E50</f>
        <v>3216</v>
      </c>
      <c r="F38" s="102">
        <f>Historicals!F48+Historicals!F49+Historicals!F50</f>
        <v>3347</v>
      </c>
      <c r="G38" s="102">
        <f>Historicals!G48+Historicals!G49+Historicals!G50</f>
        <v>2684</v>
      </c>
      <c r="H38" s="102">
        <f>Historicals!H48+Historicals!H49+Historicals!H50</f>
        <v>2955</v>
      </c>
      <c r="I38" s="102">
        <f>Historicals!I48+Historicals!I49+Historicals!I50</f>
        <v>2613</v>
      </c>
      <c r="J38" s="142">
        <f t="shared" ref="J38:N40" si="37">I38</f>
        <v>2613</v>
      </c>
      <c r="K38" s="142">
        <f t="shared" si="37"/>
        <v>2613</v>
      </c>
      <c r="L38" s="142">
        <f t="shared" si="37"/>
        <v>2613</v>
      </c>
      <c r="M38" s="142">
        <f t="shared" si="37"/>
        <v>2613</v>
      </c>
      <c r="N38" s="142">
        <f t="shared" si="37"/>
        <v>2613</v>
      </c>
      <c r="O38" s="161"/>
      <c r="P38" s="69"/>
    </row>
    <row r="39" spans="1:17" x14ac:dyDescent="0.3">
      <c r="A39" s="103" t="s">
        <v>169</v>
      </c>
      <c r="B39" s="102"/>
      <c r="C39" s="102"/>
      <c r="D39" s="102"/>
      <c r="E39" s="102"/>
      <c r="F39" s="102"/>
      <c r="G39" s="102"/>
      <c r="H39" s="102"/>
      <c r="I39" s="102"/>
      <c r="J39" s="142">
        <f t="shared" si="37"/>
        <v>0</v>
      </c>
      <c r="K39" s="142">
        <f t="shared" si="37"/>
        <v>0</v>
      </c>
      <c r="L39" s="142">
        <f t="shared" si="37"/>
        <v>0</v>
      </c>
      <c r="M39" s="142">
        <f t="shared" si="37"/>
        <v>0</v>
      </c>
      <c r="N39" s="142">
        <f t="shared" si="37"/>
        <v>0</v>
      </c>
      <c r="O39" s="161"/>
      <c r="P39" s="69"/>
    </row>
    <row r="40" spans="1:17" x14ac:dyDescent="0.3">
      <c r="A40" s="101" t="s">
        <v>170</v>
      </c>
      <c r="B40" s="102">
        <f>Historicals!B53+Historicals!B54</f>
        <v>3</v>
      </c>
      <c r="C40" s="102">
        <f>Historicals!C53+Historicals!C54</f>
        <v>3</v>
      </c>
      <c r="D40" s="102">
        <f>Historicals!D53+Historicals!D54</f>
        <v>3</v>
      </c>
      <c r="E40" s="102">
        <f>Historicals!E53+Historicals!E54</f>
        <v>3</v>
      </c>
      <c r="F40" s="102">
        <f>Historicals!F53+Historicals!F54</f>
        <v>3</v>
      </c>
      <c r="G40" s="102">
        <f>Historicals!G53+Historicals!G54</f>
        <v>3</v>
      </c>
      <c r="H40" s="102">
        <f>Historicals!H53+Historicals!H54</f>
        <v>3</v>
      </c>
      <c r="I40" s="102">
        <f>Historicals!I53+Historicals!I54</f>
        <v>3</v>
      </c>
      <c r="J40" s="142">
        <f t="shared" si="37"/>
        <v>3</v>
      </c>
      <c r="K40" s="142">
        <f t="shared" si="37"/>
        <v>3</v>
      </c>
      <c r="L40" s="142">
        <f t="shared" si="37"/>
        <v>3</v>
      </c>
      <c r="M40" s="142">
        <f t="shared" si="37"/>
        <v>3</v>
      </c>
      <c r="N40" s="142">
        <f t="shared" si="37"/>
        <v>3</v>
      </c>
      <c r="O40" s="161"/>
      <c r="P40" s="69"/>
    </row>
    <row r="41" spans="1:17" x14ac:dyDescent="0.3">
      <c r="A41" s="101" t="s">
        <v>171</v>
      </c>
      <c r="B41" s="102">
        <f>Historicals!B57</f>
        <v>4685</v>
      </c>
      <c r="C41" s="102">
        <f>Historicals!C57</f>
        <v>4151</v>
      </c>
      <c r="D41" s="102">
        <f>Historicals!D57</f>
        <v>6907</v>
      </c>
      <c r="E41" s="102">
        <f>Historicals!E57</f>
        <v>3517</v>
      </c>
      <c r="F41" s="102">
        <f>Historicals!F57</f>
        <v>1643</v>
      </c>
      <c r="G41" s="102">
        <f>Historicals!G57</f>
        <v>-191</v>
      </c>
      <c r="H41" s="102">
        <f>Historicals!H57</f>
        <v>3179</v>
      </c>
      <c r="I41" s="102">
        <f>Historicals!I57</f>
        <v>3476</v>
      </c>
      <c r="J41" s="50">
        <f>J14-J61</f>
        <v>7948.3321901647087</v>
      </c>
      <c r="K41" s="50">
        <f t="shared" ref="K41:N41" si="38">K14-K61</f>
        <v>9633.3785855501319</v>
      </c>
      <c r="L41" s="50">
        <f t="shared" si="38"/>
        <v>11353.048092488323</v>
      </c>
      <c r="M41" s="50">
        <f t="shared" si="38"/>
        <v>13525.933799873201</v>
      </c>
      <c r="N41" s="50">
        <f t="shared" si="38"/>
        <v>15387.40987601294</v>
      </c>
      <c r="O41" s="160" t="s">
        <v>235</v>
      </c>
      <c r="P41" s="69"/>
    </row>
    <row r="42" spans="1:17" x14ac:dyDescent="0.3">
      <c r="A42" s="101" t="s">
        <v>172</v>
      </c>
      <c r="B42" s="102">
        <f>Historicals!B55+Historicals!B56</f>
        <v>8019</v>
      </c>
      <c r="C42" s="102">
        <f>Historicals!C55+Historicals!C56</f>
        <v>8104</v>
      </c>
      <c r="D42" s="102">
        <f>Historicals!D55+Historicals!D56</f>
        <v>5497</v>
      </c>
      <c r="E42" s="102">
        <f>Historicals!E55+Historicals!E56</f>
        <v>6292</v>
      </c>
      <c r="F42" s="102">
        <f>Historicals!F55+Historicals!F56</f>
        <v>7394</v>
      </c>
      <c r="G42" s="102">
        <f>Historicals!G55+Historicals!G56</f>
        <v>8243</v>
      </c>
      <c r="H42" s="102">
        <f>Historicals!H55+Historicals!H56</f>
        <v>9585</v>
      </c>
      <c r="I42" s="102">
        <f>Historicals!I55+Historicals!I56</f>
        <v>11802</v>
      </c>
      <c r="J42" s="142">
        <f>I42</f>
        <v>11802</v>
      </c>
      <c r="K42" s="142">
        <f t="shared" ref="K42:N42" si="39">J42</f>
        <v>11802</v>
      </c>
      <c r="L42" s="142">
        <f t="shared" si="39"/>
        <v>11802</v>
      </c>
      <c r="M42" s="142">
        <f t="shared" si="39"/>
        <v>11802</v>
      </c>
      <c r="N42" s="142">
        <f t="shared" si="39"/>
        <v>11802</v>
      </c>
      <c r="O42" s="161"/>
      <c r="P42" s="69"/>
    </row>
    <row r="43" spans="1:17" ht="15" thickBot="1" x14ac:dyDescent="0.35">
      <c r="A43" s="105" t="s">
        <v>173</v>
      </c>
      <c r="B43" s="106">
        <f>SUM(B33:B38)+SUM(B40:B42)</f>
        <v>19466</v>
      </c>
      <c r="C43" s="106">
        <f t="shared" ref="C43:N43" si="40">SUM(C33:C38)+SUM(C40:C42)</f>
        <v>19205</v>
      </c>
      <c r="D43" s="106">
        <f t="shared" si="40"/>
        <v>21211</v>
      </c>
      <c r="E43" s="106">
        <f t="shared" si="40"/>
        <v>20257</v>
      </c>
      <c r="F43" s="106">
        <f t="shared" si="40"/>
        <v>21105</v>
      </c>
      <c r="G43" s="106">
        <f t="shared" si="40"/>
        <v>29094</v>
      </c>
      <c r="H43" s="106">
        <f t="shared" si="40"/>
        <v>34904</v>
      </c>
      <c r="I43" s="106">
        <f t="shared" si="40"/>
        <v>36963</v>
      </c>
      <c r="J43" s="106">
        <f t="shared" si="40"/>
        <v>32890.332190164707</v>
      </c>
      <c r="K43" s="106">
        <f t="shared" si="40"/>
        <v>33981.628585550134</v>
      </c>
      <c r="L43" s="106">
        <f t="shared" si="40"/>
        <v>36630.985592488323</v>
      </c>
      <c r="M43" s="106">
        <f t="shared" si="40"/>
        <v>37751.136924873201</v>
      </c>
      <c r="N43" s="106">
        <f t="shared" si="40"/>
        <v>41573.062219762942</v>
      </c>
      <c r="O43" s="155"/>
      <c r="P43" s="94"/>
    </row>
    <row r="44" spans="1:17" ht="15" thickTop="1" x14ac:dyDescent="0.3">
      <c r="A44" s="110" t="s">
        <v>174</v>
      </c>
      <c r="B44" s="110">
        <f>B31-B43</f>
        <v>0</v>
      </c>
      <c r="C44" s="110">
        <f t="shared" ref="C44:I44" si="41">C31-C43</f>
        <v>0</v>
      </c>
      <c r="D44" s="110">
        <f t="shared" si="41"/>
        <v>0</v>
      </c>
      <c r="E44" s="110">
        <f t="shared" si="41"/>
        <v>0</v>
      </c>
      <c r="F44" s="110">
        <f t="shared" si="41"/>
        <v>0</v>
      </c>
      <c r="G44" s="110">
        <f t="shared" si="41"/>
        <v>0</v>
      </c>
      <c r="H44" s="110">
        <f t="shared" si="41"/>
        <v>0</v>
      </c>
      <c r="I44" s="110">
        <f t="shared" si="41"/>
        <v>0</v>
      </c>
      <c r="J44" s="110"/>
      <c r="K44" s="110"/>
      <c r="L44" s="110"/>
      <c r="M44" s="110"/>
      <c r="N44" s="110"/>
      <c r="O44" s="162"/>
      <c r="P44" s="110"/>
      <c r="Q44" s="1"/>
    </row>
    <row r="45" spans="1:17" x14ac:dyDescent="0.3">
      <c r="A45" s="108" t="s">
        <v>175</v>
      </c>
      <c r="B45" s="92"/>
      <c r="C45" s="92"/>
      <c r="D45" s="92"/>
      <c r="E45" s="92"/>
      <c r="F45" s="92"/>
      <c r="G45" s="92"/>
      <c r="H45" s="92"/>
      <c r="I45" s="92"/>
      <c r="J45" s="129"/>
      <c r="K45" s="129"/>
      <c r="L45" s="129"/>
      <c r="M45" s="129"/>
      <c r="N45" s="129"/>
      <c r="O45" s="150"/>
      <c r="P45" s="129"/>
    </row>
    <row r="46" spans="1:17" x14ac:dyDescent="0.3">
      <c r="A46" s="93" t="s">
        <v>134</v>
      </c>
      <c r="B46" s="94">
        <f>'Segmental forecast'!B11</f>
        <v>4233</v>
      </c>
      <c r="C46" s="94">
        <f>'Segmental forecast'!C11</f>
        <v>4642</v>
      </c>
      <c r="D46" s="94">
        <f>'Segmental forecast'!D11</f>
        <v>4945</v>
      </c>
      <c r="E46" s="94">
        <f>'Segmental forecast'!E11</f>
        <v>4379</v>
      </c>
      <c r="F46" s="94">
        <f>'Segmental forecast'!F11</f>
        <v>4850</v>
      </c>
      <c r="G46" s="94">
        <f>'Segmental forecast'!G11</f>
        <v>2976</v>
      </c>
      <c r="H46" s="94">
        <f>'Segmental forecast'!H11</f>
        <v>6923</v>
      </c>
      <c r="I46" s="94">
        <f>'Segmental forecast'!I11</f>
        <v>6856</v>
      </c>
      <c r="J46" s="130">
        <f>'Segmental forecast'!J11</f>
        <v>7121.118788703614</v>
      </c>
      <c r="K46" s="130">
        <f>'Segmental forecast'!K11</f>
        <v>9166.5582539600891</v>
      </c>
      <c r="L46" s="130">
        <f>'Segmental forecast'!L11</f>
        <v>11240.325284214014</v>
      </c>
      <c r="M46" s="130">
        <f>'Segmental forecast'!M11</f>
        <v>13972.044101648698</v>
      </c>
      <c r="N46" s="130">
        <f>'Segmental forecast'!N11</f>
        <v>16513.640946784686</v>
      </c>
      <c r="O46" s="163"/>
      <c r="P46" s="130"/>
    </row>
    <row r="47" spans="1:17" x14ac:dyDescent="0.3">
      <c r="A47" s="103" t="s">
        <v>132</v>
      </c>
      <c r="B47" s="111">
        <f>'Segmental forecast'!B8</f>
        <v>606</v>
      </c>
      <c r="C47" s="111">
        <f>'Segmental forecast'!C8</f>
        <v>649</v>
      </c>
      <c r="D47" s="111">
        <f>'Segmental forecast'!D8</f>
        <v>706</v>
      </c>
      <c r="E47" s="111">
        <f>'Segmental forecast'!E8</f>
        <v>747</v>
      </c>
      <c r="F47" s="111">
        <f>'Segmental forecast'!F8</f>
        <v>705</v>
      </c>
      <c r="G47" s="111">
        <f>'Segmental forecast'!G8</f>
        <v>721</v>
      </c>
      <c r="H47" s="111">
        <f>'Segmental forecast'!H8</f>
        <v>744</v>
      </c>
      <c r="I47" s="111">
        <f>'Segmental forecast'!I8</f>
        <v>717</v>
      </c>
      <c r="J47" s="50">
        <f>'Segmental forecast'!J8</f>
        <v>749.63291420891494</v>
      </c>
      <c r="K47" s="50">
        <f>'Segmental forecast'!K8</f>
        <v>769.25061335262978</v>
      </c>
      <c r="L47" s="50">
        <f>'Segmental forecast'!L8</f>
        <v>777.15373818243461</v>
      </c>
      <c r="M47" s="50">
        <f>'Segmental forecast'!M8</f>
        <v>807.69621626010246</v>
      </c>
      <c r="N47" s="50">
        <f>'Segmental forecast'!N8</f>
        <v>837.25221053191831</v>
      </c>
      <c r="O47" s="160"/>
      <c r="P47" s="69"/>
    </row>
    <row r="48" spans="1:17" x14ac:dyDescent="0.3">
      <c r="A48" s="103" t="s">
        <v>176</v>
      </c>
      <c r="B48" s="102">
        <f>Historicals!B103</f>
        <v>1262</v>
      </c>
      <c r="C48" s="102">
        <f>Historicals!C103</f>
        <v>748</v>
      </c>
      <c r="D48" s="102">
        <f>Historicals!D103</f>
        <v>703</v>
      </c>
      <c r="E48" s="102">
        <f>Historicals!E103</f>
        <v>529</v>
      </c>
      <c r="F48" s="102">
        <f>Historicals!F103</f>
        <v>757</v>
      </c>
      <c r="G48" s="102">
        <f>Historicals!G103</f>
        <v>1028</v>
      </c>
      <c r="H48" s="102">
        <f>Historicals!H103</f>
        <v>1177</v>
      </c>
      <c r="I48" s="102">
        <f>Historicals!I103</f>
        <v>1231</v>
      </c>
      <c r="J48" s="142">
        <f>I48</f>
        <v>1231</v>
      </c>
      <c r="K48" s="142">
        <f t="shared" ref="K48:N48" si="42">J48</f>
        <v>1231</v>
      </c>
      <c r="L48" s="142">
        <f t="shared" si="42"/>
        <v>1231</v>
      </c>
      <c r="M48" s="142">
        <f t="shared" si="42"/>
        <v>1231</v>
      </c>
      <c r="N48" s="142">
        <f t="shared" si="42"/>
        <v>1231</v>
      </c>
      <c r="O48" s="161"/>
      <c r="P48" s="69"/>
    </row>
    <row r="49" spans="1:17" x14ac:dyDescent="0.3">
      <c r="A49" s="93" t="s">
        <v>177</v>
      </c>
      <c r="B49" s="94">
        <f>B46-B48</f>
        <v>2971</v>
      </c>
      <c r="C49" s="94">
        <f t="shared" ref="C49:N49" si="43">C46-C48</f>
        <v>3894</v>
      </c>
      <c r="D49" s="94">
        <f t="shared" si="43"/>
        <v>4242</v>
      </c>
      <c r="E49" s="94">
        <f t="shared" si="43"/>
        <v>3850</v>
      </c>
      <c r="F49" s="94">
        <f t="shared" si="43"/>
        <v>4093</v>
      </c>
      <c r="G49" s="94">
        <f t="shared" si="43"/>
        <v>1948</v>
      </c>
      <c r="H49" s="94">
        <f t="shared" si="43"/>
        <v>5746</v>
      </c>
      <c r="I49" s="94">
        <f t="shared" si="43"/>
        <v>5625</v>
      </c>
      <c r="J49" s="98">
        <f t="shared" si="43"/>
        <v>5890.118788703614</v>
      </c>
      <c r="K49" s="98">
        <f t="shared" si="43"/>
        <v>7935.5582539600891</v>
      </c>
      <c r="L49" s="98">
        <f t="shared" si="43"/>
        <v>10009.325284214014</v>
      </c>
      <c r="M49" s="98">
        <f t="shared" si="43"/>
        <v>12741.044101648698</v>
      </c>
      <c r="N49" s="98">
        <f t="shared" si="43"/>
        <v>15282.640946784686</v>
      </c>
      <c r="O49" s="97"/>
      <c r="P49" s="94"/>
    </row>
    <row r="50" spans="1:17" x14ac:dyDescent="0.3">
      <c r="A50" s="103" t="s">
        <v>178</v>
      </c>
      <c r="B50" s="102">
        <f>Historicals!B102</f>
        <v>53</v>
      </c>
      <c r="C50" s="102">
        <f>Historicals!C102</f>
        <v>70</v>
      </c>
      <c r="D50" s="102">
        <f>Historicals!D102</f>
        <v>98</v>
      </c>
      <c r="E50" s="102">
        <f>Historicals!E102</f>
        <v>125</v>
      </c>
      <c r="F50" s="102">
        <f>Historicals!F102</f>
        <v>153</v>
      </c>
      <c r="G50" s="102">
        <f>Historicals!G102</f>
        <v>140</v>
      </c>
      <c r="H50" s="102">
        <f>Historicals!H102</f>
        <v>293</v>
      </c>
      <c r="I50" s="102">
        <f>Historicals!I102</f>
        <v>290</v>
      </c>
      <c r="J50" s="50">
        <f>$P$50*J67</f>
        <v>248.64600000000002</v>
      </c>
      <c r="K50" s="50">
        <f t="shared" ref="K50:N50" si="44">$P$50*K67</f>
        <v>244.09796737312163</v>
      </c>
      <c r="L50" s="50">
        <f t="shared" si="44"/>
        <v>288.0996721225103</v>
      </c>
      <c r="M50" s="50">
        <f t="shared" si="44"/>
        <v>399.95428693739785</v>
      </c>
      <c r="N50" s="50">
        <f t="shared" si="44"/>
        <v>590.06062959171652</v>
      </c>
      <c r="O50" s="160"/>
      <c r="P50" s="141">
        <v>2.9000000000000001E-2</v>
      </c>
    </row>
    <row r="51" spans="1:17" x14ac:dyDescent="0.3">
      <c r="A51" s="103" t="s">
        <v>179</v>
      </c>
      <c r="B51" s="122">
        <f>-(B23-B77)</f>
        <v>-1138</v>
      </c>
      <c r="C51" s="122">
        <f>-(C23-B23)</f>
        <v>-324</v>
      </c>
      <c r="D51" s="122">
        <f t="shared" ref="D51:I51" si="45">-(D23-C23)</f>
        <v>-796</v>
      </c>
      <c r="E51" s="122">
        <f t="shared" si="45"/>
        <v>204</v>
      </c>
      <c r="F51" s="122">
        <f t="shared" si="45"/>
        <v>-802</v>
      </c>
      <c r="G51" s="122">
        <f t="shared" si="45"/>
        <v>-586</v>
      </c>
      <c r="H51" s="122">
        <f t="shared" si="45"/>
        <v>-613</v>
      </c>
      <c r="I51" s="122">
        <f t="shared" si="45"/>
        <v>-1248</v>
      </c>
      <c r="J51" s="122">
        <f t="shared" ref="J51" si="46">-(J23-I23)</f>
        <v>-479.07280139071918</v>
      </c>
      <c r="K51" s="122">
        <f t="shared" ref="K51" si="47">-(K23-J23)</f>
        <v>-904.17849944073532</v>
      </c>
      <c r="L51" s="122">
        <f t="shared" ref="L51" si="48">-(L23-K23)</f>
        <v>-595.45369853621014</v>
      </c>
      <c r="M51" s="122">
        <f t="shared" ref="M51" si="49">-(M23-L23)</f>
        <v>-587.41014445890141</v>
      </c>
      <c r="N51" s="122">
        <f t="shared" ref="N51" si="50">-(N23-M23)</f>
        <v>-602.98670086753555</v>
      </c>
      <c r="O51" s="164"/>
      <c r="P51" s="122"/>
    </row>
    <row r="52" spans="1:17" x14ac:dyDescent="0.3">
      <c r="A52" s="103" t="s">
        <v>135</v>
      </c>
      <c r="B52" s="102">
        <f>-'Segmental forecast'!B14</f>
        <v>-963</v>
      </c>
      <c r="C52" s="102">
        <f>-'Segmental forecast'!C14</f>
        <v>-1143</v>
      </c>
      <c r="D52" s="102">
        <f>-'Segmental forecast'!D14</f>
        <v>-1105</v>
      </c>
      <c r="E52" s="102">
        <f>-'Segmental forecast'!E14</f>
        <v>-1028</v>
      </c>
      <c r="F52" s="102">
        <f>-'Segmental forecast'!F14</f>
        <v>-1119</v>
      </c>
      <c r="G52" s="102">
        <f>-'Segmental forecast'!G14</f>
        <v>-1086</v>
      </c>
      <c r="H52" s="102">
        <f>-'Segmental forecast'!H14</f>
        <v>-695</v>
      </c>
      <c r="I52" s="102">
        <f>-'Segmental forecast'!I14</f>
        <v>-758</v>
      </c>
      <c r="J52" s="131">
        <f>-'Segmental forecast'!J14</f>
        <v>-739.98761279347923</v>
      </c>
      <c r="K52" s="131">
        <f>-'Segmental forecast'!K14</f>
        <v>-776.35100409996085</v>
      </c>
      <c r="L52" s="131">
        <f>-'Segmental forecast'!L14</f>
        <v>-793.1308565882531</v>
      </c>
      <c r="M52" s="131">
        <f>-'Segmental forecast'!M14</f>
        <v>-830.56348775891195</v>
      </c>
      <c r="N52" s="131">
        <f>-'Segmental forecast'!N14</f>
        <v>-868.465491370515</v>
      </c>
      <c r="O52" s="165"/>
      <c r="P52" s="131"/>
    </row>
    <row r="53" spans="1:17" x14ac:dyDescent="0.3">
      <c r="A53" s="93" t="s">
        <v>180</v>
      </c>
      <c r="B53" s="94">
        <f>B52+B49+B55+B56</f>
        <v>6688</v>
      </c>
      <c r="C53" s="94">
        <f t="shared" ref="C53:N53" si="51">C52+C49+C55+C56</f>
        <v>5847</v>
      </c>
      <c r="D53" s="94">
        <f t="shared" si="51"/>
        <v>6983</v>
      </c>
      <c r="E53" s="94">
        <f t="shared" si="51"/>
        <v>7777</v>
      </c>
      <c r="F53" s="94">
        <f t="shared" si="51"/>
        <v>8877</v>
      </c>
      <c r="G53" s="94">
        <f t="shared" si="51"/>
        <v>3347</v>
      </c>
      <c r="H53" s="94">
        <f t="shared" si="51"/>
        <v>11708</v>
      </c>
      <c r="I53" s="94">
        <f t="shared" si="51"/>
        <v>10055</v>
      </c>
      <c r="J53" s="98">
        <f t="shared" si="51"/>
        <v>11404.810077431945</v>
      </c>
      <c r="K53" s="98">
        <f t="shared" si="51"/>
        <v>15053.837617732112</v>
      </c>
      <c r="L53" s="98">
        <f t="shared" si="51"/>
        <v>19501.219751485998</v>
      </c>
      <c r="M53" s="98">
        <f t="shared" si="51"/>
        <v>24965.810787339688</v>
      </c>
      <c r="N53" s="98">
        <f t="shared" si="51"/>
        <v>30025.081911863243</v>
      </c>
      <c r="O53" s="97"/>
      <c r="P53" s="94"/>
    </row>
    <row r="54" spans="1:17" x14ac:dyDescent="0.3">
      <c r="A54" s="103" t="s">
        <v>181</v>
      </c>
      <c r="B54" s="102">
        <f>Historicals!B76-('Three Statements'!B49+'Three Statements'!B47+'Three Statements'!B51)</f>
        <v>2241</v>
      </c>
      <c r="C54" s="102">
        <f>Historicals!C76-('Three Statements'!C49+'Three Statements'!C47+'Three Statements'!C51)</f>
        <v>-1123</v>
      </c>
      <c r="D54" s="102">
        <f>Historicals!D76-('Three Statements'!D49+'Three Statements'!D47+'Three Statements'!D51)</f>
        <v>-306</v>
      </c>
      <c r="E54" s="102">
        <f>Historicals!E76-('Three Statements'!E49+'Three Statements'!E47+'Three Statements'!E51)</f>
        <v>154</v>
      </c>
      <c r="F54" s="102">
        <f>Historicals!F76-('Three Statements'!F49+'Three Statements'!F47+'Three Statements'!F51)</f>
        <v>1907</v>
      </c>
      <c r="G54" s="102">
        <f>Historicals!G76-('Three Statements'!G49+'Three Statements'!G47+'Three Statements'!G51)</f>
        <v>402</v>
      </c>
      <c r="H54" s="102">
        <f>Historicals!H76-('Three Statements'!H49+'Three Statements'!H47+'Three Statements'!H51)</f>
        <v>780</v>
      </c>
      <c r="I54" s="102">
        <f>Historicals!I76-('Three Statements'!I49+'Three Statements'!I47+'Three Statements'!I51)</f>
        <v>94</v>
      </c>
      <c r="J54" s="142">
        <f>I54</f>
        <v>94</v>
      </c>
      <c r="K54" s="142">
        <f t="shared" ref="K54:N54" si="52">J54</f>
        <v>94</v>
      </c>
      <c r="L54" s="142">
        <f t="shared" si="52"/>
        <v>94</v>
      </c>
      <c r="M54" s="142">
        <f t="shared" si="52"/>
        <v>94</v>
      </c>
      <c r="N54" s="142">
        <f t="shared" si="52"/>
        <v>94</v>
      </c>
      <c r="O54" s="161"/>
      <c r="P54" s="69"/>
    </row>
    <row r="55" spans="1:17" x14ac:dyDescent="0.3">
      <c r="A55" s="112" t="s">
        <v>182</v>
      </c>
      <c r="B55" s="113">
        <f>B49+B47-(-B51)+B54</f>
        <v>4680</v>
      </c>
      <c r="C55" s="113">
        <f t="shared" ref="C55:N55" si="53">C49+C47-(-C51)+C54</f>
        <v>3096</v>
      </c>
      <c r="D55" s="113">
        <f t="shared" si="53"/>
        <v>3846</v>
      </c>
      <c r="E55" s="113">
        <f t="shared" si="53"/>
        <v>4955</v>
      </c>
      <c r="F55" s="113">
        <f t="shared" si="53"/>
        <v>5903</v>
      </c>
      <c r="G55" s="113">
        <f t="shared" si="53"/>
        <v>2485</v>
      </c>
      <c r="H55" s="113">
        <f t="shared" si="53"/>
        <v>6657</v>
      </c>
      <c r="I55" s="113">
        <f t="shared" si="53"/>
        <v>5188</v>
      </c>
      <c r="J55" s="113">
        <f t="shared" si="53"/>
        <v>6254.6789015218101</v>
      </c>
      <c r="K55" s="113">
        <f t="shared" si="53"/>
        <v>7894.6303678719833</v>
      </c>
      <c r="L55" s="113">
        <f t="shared" si="53"/>
        <v>10285.025323860238</v>
      </c>
      <c r="M55" s="113">
        <f t="shared" si="53"/>
        <v>13055.3301734499</v>
      </c>
      <c r="N55" s="113">
        <f t="shared" si="53"/>
        <v>15610.906456449069</v>
      </c>
      <c r="O55" s="155"/>
      <c r="P55" s="94"/>
    </row>
    <row r="56" spans="1:17" x14ac:dyDescent="0.3">
      <c r="A56" s="103" t="s">
        <v>183</v>
      </c>
      <c r="B56" s="102"/>
      <c r="C56" s="102"/>
      <c r="D56" s="102"/>
      <c r="E56" s="102"/>
      <c r="F56" s="102"/>
      <c r="G56" s="102"/>
      <c r="H56" s="102"/>
      <c r="I56" s="102"/>
      <c r="J56" s="127"/>
      <c r="K56" s="127"/>
      <c r="L56" s="127"/>
      <c r="M56" s="127"/>
      <c r="N56" s="127"/>
      <c r="O56" s="153"/>
      <c r="P56" s="127"/>
    </row>
    <row r="57" spans="1:17" x14ac:dyDescent="0.3">
      <c r="A57" s="103" t="s">
        <v>184</v>
      </c>
      <c r="B57" s="102">
        <f>SUM(Historicals!B78:B82)+Historicals!B84</f>
        <v>788</v>
      </c>
      <c r="C57" s="102">
        <f>SUM(Historicals!C78:C82)+Historicals!C84</f>
        <v>109</v>
      </c>
      <c r="D57" s="102">
        <f>SUM(Historicals!D78:D82)+Historicals!D84</f>
        <v>97</v>
      </c>
      <c r="E57" s="102">
        <f>SUM(Historicals!E78:E82)+Historicals!E84</f>
        <v>1304</v>
      </c>
      <c r="F57" s="102">
        <f>SUM(Historicals!F78:F82)+Historicals!F84</f>
        <v>855</v>
      </c>
      <c r="G57" s="102">
        <f>SUM(Historicals!G78:G82)+Historicals!G84</f>
        <v>58</v>
      </c>
      <c r="H57" s="102">
        <f>SUM(Historicals!H78:H82)+Historicals!H84</f>
        <v>-3105</v>
      </c>
      <c r="I57" s="102">
        <f>SUM(Historicals!I78:I82)+Historicals!I84</f>
        <v>-766</v>
      </c>
      <c r="J57" s="148">
        <f>I57</f>
        <v>-766</v>
      </c>
      <c r="K57" s="148">
        <f t="shared" ref="K57:N57" si="54">J57</f>
        <v>-766</v>
      </c>
      <c r="L57" s="148">
        <f t="shared" si="54"/>
        <v>-766</v>
      </c>
      <c r="M57" s="148">
        <f t="shared" si="54"/>
        <v>-766</v>
      </c>
      <c r="N57" s="148">
        <f t="shared" si="54"/>
        <v>-766</v>
      </c>
      <c r="O57" s="166"/>
      <c r="P57" s="132"/>
    </row>
    <row r="58" spans="1:17" x14ac:dyDescent="0.3">
      <c r="A58" s="112" t="s">
        <v>185</v>
      </c>
      <c r="B58" s="113">
        <f>B52+B57</f>
        <v>-175</v>
      </c>
      <c r="C58" s="113">
        <f t="shared" ref="C58:N58" si="55">C52+C57</f>
        <v>-1034</v>
      </c>
      <c r="D58" s="113">
        <f t="shared" si="55"/>
        <v>-1008</v>
      </c>
      <c r="E58" s="113">
        <f t="shared" si="55"/>
        <v>276</v>
      </c>
      <c r="F58" s="113">
        <f t="shared" si="55"/>
        <v>-264</v>
      </c>
      <c r="G58" s="113">
        <f t="shared" si="55"/>
        <v>-1028</v>
      </c>
      <c r="H58" s="113">
        <f t="shared" si="55"/>
        <v>-3800</v>
      </c>
      <c r="I58" s="113">
        <f t="shared" si="55"/>
        <v>-1524</v>
      </c>
      <c r="J58" s="133">
        <f t="shared" si="55"/>
        <v>-1505.9876127934792</v>
      </c>
      <c r="K58" s="133">
        <f t="shared" si="55"/>
        <v>-1542.3510040999608</v>
      </c>
      <c r="L58" s="133">
        <f t="shared" si="55"/>
        <v>-1559.1308565882532</v>
      </c>
      <c r="M58" s="133">
        <f t="shared" si="55"/>
        <v>-1596.5634877589118</v>
      </c>
      <c r="N58" s="133">
        <f t="shared" si="55"/>
        <v>-1634.4654913705149</v>
      </c>
      <c r="O58" s="167"/>
      <c r="P58" s="140"/>
    </row>
    <row r="59" spans="1:17" x14ac:dyDescent="0.3">
      <c r="A59" s="103" t="s">
        <v>186</v>
      </c>
      <c r="B59" s="102">
        <f>Historicals!B90+Historicals!B91</f>
        <v>-2020</v>
      </c>
      <c r="C59" s="102">
        <f>Historicals!C90+Historicals!C91</f>
        <v>-2731</v>
      </c>
      <c r="D59" s="102">
        <f>Historicals!D90+Historicals!D91</f>
        <v>-2734</v>
      </c>
      <c r="E59" s="102">
        <f>Historicals!E90+Historicals!E91</f>
        <v>-3521</v>
      </c>
      <c r="F59" s="102">
        <f>Historicals!F90+Historicals!F91</f>
        <v>-3586</v>
      </c>
      <c r="G59" s="102">
        <f>Historicals!G90+Historicals!G91</f>
        <v>-2182</v>
      </c>
      <c r="H59" s="102">
        <f>Historicals!H90+Historicals!H91</f>
        <v>564</v>
      </c>
      <c r="I59" s="102">
        <f>Historicals!I90+Historicals!I91</f>
        <v>-2863</v>
      </c>
      <c r="J59" s="148">
        <f>I59</f>
        <v>-2863</v>
      </c>
      <c r="K59" s="148">
        <f t="shared" ref="K59:N59" si="56">J59</f>
        <v>-2863</v>
      </c>
      <c r="L59" s="148">
        <f t="shared" si="56"/>
        <v>-2863</v>
      </c>
      <c r="M59" s="148">
        <f t="shared" si="56"/>
        <v>-2863</v>
      </c>
      <c r="N59" s="148">
        <f t="shared" si="56"/>
        <v>-2863</v>
      </c>
      <c r="O59" s="166"/>
      <c r="P59" t="s">
        <v>223</v>
      </c>
    </row>
    <row r="60" spans="1:17" x14ac:dyDescent="0.3">
      <c r="A60" s="104" t="s">
        <v>129</v>
      </c>
      <c r="B60" s="60" t="str">
        <f>IFERROR((B59-A59)/A59,"nm")</f>
        <v>nm</v>
      </c>
      <c r="C60" s="60">
        <f t="shared" ref="C60:I60" si="57">IFERROR((C59-B59)/B59,"nm")</f>
        <v>0.35198019801980196</v>
      </c>
      <c r="D60" s="60">
        <f t="shared" si="57"/>
        <v>1.0984987184181618E-3</v>
      </c>
      <c r="E60" s="60">
        <f t="shared" si="57"/>
        <v>0.28785662033650328</v>
      </c>
      <c r="F60" s="60">
        <f t="shared" si="57"/>
        <v>1.8460664583925021E-2</v>
      </c>
      <c r="G60" s="60">
        <f t="shared" si="57"/>
        <v>-0.39152258784160626</v>
      </c>
      <c r="H60" s="60">
        <f t="shared" si="57"/>
        <v>-1.2584784601283225</v>
      </c>
      <c r="I60" s="60">
        <f t="shared" si="57"/>
        <v>-6.0762411347517729</v>
      </c>
      <c r="J60" s="60">
        <f t="shared" ref="J60" si="58">IFERROR((J59-I59)/I59,"nm")</f>
        <v>0</v>
      </c>
      <c r="K60" s="60">
        <f t="shared" ref="K60" si="59">IFERROR((K59-J59)/J59,"nm")</f>
        <v>0</v>
      </c>
      <c r="L60" s="60">
        <f t="shared" ref="L60" si="60">IFERROR((L59-K59)/K59,"nm")</f>
        <v>0</v>
      </c>
      <c r="M60" s="60">
        <f t="shared" ref="M60" si="61">IFERROR((M59-L59)/L59,"nm")</f>
        <v>0</v>
      </c>
      <c r="N60" s="60">
        <f t="shared" ref="N60" si="62">IFERROR((N59-M59)/M59,"nm")</f>
        <v>0</v>
      </c>
      <c r="O60" s="158"/>
      <c r="P60" s="60"/>
    </row>
    <row r="61" spans="1:17" x14ac:dyDescent="0.3">
      <c r="A61" s="103" t="s">
        <v>187</v>
      </c>
      <c r="B61" s="102">
        <f>Historicals!B92</f>
        <v>-899</v>
      </c>
      <c r="C61" s="102">
        <f>Historicals!C92</f>
        <v>-1022</v>
      </c>
      <c r="D61" s="102">
        <f>Historicals!D92</f>
        <v>-1133</v>
      </c>
      <c r="E61" s="102">
        <f>Historicals!E92</f>
        <v>-1243</v>
      </c>
      <c r="F61" s="102">
        <f>Historicals!F92</f>
        <v>-1332</v>
      </c>
      <c r="G61" s="102">
        <f>Historicals!G92</f>
        <v>-1452</v>
      </c>
      <c r="H61" s="102">
        <f>Historicals!H92</f>
        <v>-1638</v>
      </c>
      <c r="I61" s="102">
        <f>Historicals!I92</f>
        <v>-1837</v>
      </c>
      <c r="J61" s="147">
        <f>-J17*J15</f>
        <v>-1763.5199999999998</v>
      </c>
      <c r="K61" s="147">
        <f t="shared" ref="K61:N61" si="63">-K17*K15</f>
        <v>-1692.9791999999998</v>
      </c>
      <c r="L61" s="147">
        <f t="shared" si="63"/>
        <v>-1726.8387839999998</v>
      </c>
      <c r="M61" s="147">
        <f t="shared" si="63"/>
        <v>-1761.3755596799999</v>
      </c>
      <c r="N61" s="147">
        <f t="shared" si="63"/>
        <v>-1796.6030708735998</v>
      </c>
      <c r="O61" s="168"/>
      <c r="P61" s="147"/>
      <c r="Q61" s="143"/>
    </row>
    <row r="62" spans="1:17" x14ac:dyDescent="0.3">
      <c r="A62" s="103" t="s">
        <v>188</v>
      </c>
      <c r="B62" s="102">
        <f>SUM(Historicals!B87:B89)</f>
        <v>-70</v>
      </c>
      <c r="C62" s="102">
        <f>SUM(Historicals!C87:C89)</f>
        <v>808</v>
      </c>
      <c r="D62" s="102">
        <f>SUM(Historicals!D87:D89)</f>
        <v>1765</v>
      </c>
      <c r="E62" s="102">
        <f>SUM(Historicals!E87:E89)</f>
        <v>7</v>
      </c>
      <c r="F62" s="102">
        <f>SUM(Historicals!F87:F89)</f>
        <v>-331</v>
      </c>
      <c r="G62" s="102">
        <f>SUM(Historicals!G87:G89)</f>
        <v>6177</v>
      </c>
      <c r="H62" s="102">
        <f>SUM(Historicals!H87:H89)</f>
        <v>-249</v>
      </c>
      <c r="I62" s="102">
        <f>SUM(Historicals!I87:I89)</f>
        <v>15</v>
      </c>
      <c r="J62" s="148">
        <f>I62</f>
        <v>15</v>
      </c>
      <c r="K62" s="148">
        <f t="shared" ref="K62:N62" si="64">J62</f>
        <v>15</v>
      </c>
      <c r="L62" s="148">
        <f t="shared" si="64"/>
        <v>15</v>
      </c>
      <c r="M62" s="148">
        <f t="shared" si="64"/>
        <v>15</v>
      </c>
      <c r="N62" s="148">
        <f t="shared" si="64"/>
        <v>15</v>
      </c>
      <c r="O62" s="166"/>
    </row>
    <row r="63" spans="1:17" x14ac:dyDescent="0.3">
      <c r="A63" s="103" t="s">
        <v>189</v>
      </c>
      <c r="B63" s="102">
        <f>Historicals!B93</f>
        <v>199</v>
      </c>
      <c r="C63" s="102">
        <f>Historicals!C93</f>
        <v>274</v>
      </c>
      <c r="D63" s="102">
        <f>Historicals!D93</f>
        <v>-46</v>
      </c>
      <c r="E63" s="102">
        <f>Historicals!E93</f>
        <v>-78</v>
      </c>
      <c r="F63" s="102">
        <f>Historicals!F93</f>
        <v>-44</v>
      </c>
      <c r="G63" s="102">
        <f>Historicals!G93</f>
        <v>-52</v>
      </c>
      <c r="H63" s="102">
        <f>Historicals!H93</f>
        <v>-136</v>
      </c>
      <c r="I63" s="102">
        <f>Historicals!I93</f>
        <v>-151</v>
      </c>
      <c r="J63" s="148">
        <f>I63</f>
        <v>-151</v>
      </c>
      <c r="K63" s="148">
        <f t="shared" ref="K63:N63" si="65">J63</f>
        <v>-151</v>
      </c>
      <c r="L63" s="148">
        <f t="shared" si="65"/>
        <v>-151</v>
      </c>
      <c r="M63" s="148">
        <f t="shared" si="65"/>
        <v>-151</v>
      </c>
      <c r="N63" s="148">
        <f t="shared" si="65"/>
        <v>-151</v>
      </c>
      <c r="O63" s="166"/>
      <c r="P63" s="132"/>
    </row>
    <row r="64" spans="1:17" x14ac:dyDescent="0.3">
      <c r="A64" s="112" t="s">
        <v>190</v>
      </c>
      <c r="B64" s="113">
        <f>B59+B61+B62+B63</f>
        <v>-2790</v>
      </c>
      <c r="C64" s="113">
        <f t="shared" ref="C64:N64" si="66">C59+C61+C62+C63</f>
        <v>-2671</v>
      </c>
      <c r="D64" s="113">
        <f t="shared" si="66"/>
        <v>-2148</v>
      </c>
      <c r="E64" s="113">
        <f t="shared" si="66"/>
        <v>-4835</v>
      </c>
      <c r="F64" s="113">
        <f t="shared" si="66"/>
        <v>-5293</v>
      </c>
      <c r="G64" s="113">
        <f t="shared" si="66"/>
        <v>2491</v>
      </c>
      <c r="H64" s="113">
        <f t="shared" si="66"/>
        <v>-1459</v>
      </c>
      <c r="I64" s="113">
        <f t="shared" si="66"/>
        <v>-4836</v>
      </c>
      <c r="J64" s="113">
        <f t="shared" si="66"/>
        <v>-4762.5199999999995</v>
      </c>
      <c r="K64" s="113">
        <f t="shared" si="66"/>
        <v>-4691.9791999999998</v>
      </c>
      <c r="L64" s="113">
        <f t="shared" si="66"/>
        <v>-4725.8387839999996</v>
      </c>
      <c r="M64" s="113">
        <f t="shared" si="66"/>
        <v>-4760.3755596800002</v>
      </c>
      <c r="N64" s="113">
        <f t="shared" si="66"/>
        <v>-4795.6030708735998</v>
      </c>
      <c r="O64" s="155"/>
      <c r="P64" s="94"/>
    </row>
    <row r="65" spans="1:17" x14ac:dyDescent="0.3">
      <c r="A65" s="103" t="s">
        <v>191</v>
      </c>
      <c r="B65" s="102">
        <f>Historicals!B95</f>
        <v>-83</v>
      </c>
      <c r="C65" s="102">
        <f>Historicals!C95</f>
        <v>-105</v>
      </c>
      <c r="D65" s="102">
        <f>Historicals!D95</f>
        <v>-20</v>
      </c>
      <c r="E65" s="102">
        <f>Historicals!E95</f>
        <v>45</v>
      </c>
      <c r="F65" s="102">
        <f>Historicals!F95</f>
        <v>-129</v>
      </c>
      <c r="G65" s="102">
        <f>Historicals!G95</f>
        <v>-66</v>
      </c>
      <c r="H65" s="102">
        <f>Historicals!H95</f>
        <v>143</v>
      </c>
      <c r="I65" s="102">
        <f>Historicals!I95</f>
        <v>-143</v>
      </c>
      <c r="J65" s="148">
        <f>I65</f>
        <v>-143</v>
      </c>
      <c r="K65" s="148">
        <f t="shared" ref="K65:N65" si="67">J65</f>
        <v>-143</v>
      </c>
      <c r="L65" s="148">
        <f t="shared" si="67"/>
        <v>-143</v>
      </c>
      <c r="M65" s="148">
        <f t="shared" si="67"/>
        <v>-143</v>
      </c>
      <c r="N65" s="148">
        <f t="shared" si="67"/>
        <v>-143</v>
      </c>
      <c r="O65" s="166"/>
      <c r="P65" s="132"/>
    </row>
    <row r="66" spans="1:17" x14ac:dyDescent="0.3">
      <c r="A66" s="112" t="s">
        <v>192</v>
      </c>
      <c r="B66" s="113">
        <f>B55+B58+B64+B65</f>
        <v>1632</v>
      </c>
      <c r="C66" s="113">
        <f t="shared" ref="C66:N66" si="68">C55+C58+C64+C65</f>
        <v>-714</v>
      </c>
      <c r="D66" s="113">
        <f t="shared" si="68"/>
        <v>670</v>
      </c>
      <c r="E66" s="113">
        <f t="shared" si="68"/>
        <v>441</v>
      </c>
      <c r="F66" s="113">
        <f t="shared" si="68"/>
        <v>217</v>
      </c>
      <c r="G66" s="113">
        <f t="shared" si="68"/>
        <v>3882</v>
      </c>
      <c r="H66" s="113">
        <f t="shared" si="68"/>
        <v>1541</v>
      </c>
      <c r="I66" s="113">
        <f t="shared" si="68"/>
        <v>-1315</v>
      </c>
      <c r="J66" s="113">
        <f t="shared" si="68"/>
        <v>-156.82871127166891</v>
      </c>
      <c r="K66" s="113">
        <f t="shared" si="68"/>
        <v>1517.3001637720226</v>
      </c>
      <c r="L66" s="113">
        <f t="shared" si="68"/>
        <v>3857.0556832719849</v>
      </c>
      <c r="M66" s="113">
        <f t="shared" si="68"/>
        <v>6555.391126010989</v>
      </c>
      <c r="N66" s="113">
        <f t="shared" si="68"/>
        <v>9037.8378942049549</v>
      </c>
      <c r="O66" s="155"/>
      <c r="P66" s="94"/>
    </row>
    <row r="67" spans="1:17" x14ac:dyDescent="0.3">
      <c r="A67" s="103" t="s">
        <v>193</v>
      </c>
      <c r="B67" s="102">
        <f>Historicals!B97</f>
        <v>2220</v>
      </c>
      <c r="C67" s="102">
        <f>B68</f>
        <v>3852</v>
      </c>
      <c r="D67" s="102">
        <f t="shared" ref="D67:I67" si="69">C68</f>
        <v>3138</v>
      </c>
      <c r="E67" s="102">
        <f t="shared" si="69"/>
        <v>3808</v>
      </c>
      <c r="F67" s="102">
        <f t="shared" si="69"/>
        <v>4249</v>
      </c>
      <c r="G67" s="102">
        <f t="shared" si="69"/>
        <v>4466</v>
      </c>
      <c r="H67" s="102">
        <f t="shared" si="69"/>
        <v>8348</v>
      </c>
      <c r="I67" s="102">
        <f t="shared" si="69"/>
        <v>9889</v>
      </c>
      <c r="J67" s="102">
        <f t="shared" ref="J67" si="70">I68</f>
        <v>8574</v>
      </c>
      <c r="K67" s="102">
        <f t="shared" ref="K67" si="71">J68</f>
        <v>8417.171288728332</v>
      </c>
      <c r="L67" s="102">
        <f t="shared" ref="L67" si="72">K68</f>
        <v>9934.4714525003546</v>
      </c>
      <c r="M67" s="102">
        <f t="shared" ref="M67" si="73">L68</f>
        <v>13791.52713577234</v>
      </c>
      <c r="N67" s="102">
        <f t="shared" ref="N67" si="74">M68</f>
        <v>20346.918261783328</v>
      </c>
      <c r="O67" s="169"/>
      <c r="P67" s="102"/>
    </row>
    <row r="68" spans="1:17" ht="15" thickBot="1" x14ac:dyDescent="0.35">
      <c r="A68" s="105" t="s">
        <v>194</v>
      </c>
      <c r="B68" s="106">
        <f>B66+B67</f>
        <v>3852</v>
      </c>
      <c r="C68" s="106">
        <f t="shared" ref="C68:N68" si="75">C66+C67</f>
        <v>3138</v>
      </c>
      <c r="D68" s="106">
        <f t="shared" si="75"/>
        <v>3808</v>
      </c>
      <c r="E68" s="106">
        <f t="shared" si="75"/>
        <v>4249</v>
      </c>
      <c r="F68" s="106">
        <f t="shared" si="75"/>
        <v>4466</v>
      </c>
      <c r="G68" s="106">
        <f t="shared" si="75"/>
        <v>8348</v>
      </c>
      <c r="H68" s="106">
        <f t="shared" si="75"/>
        <v>9889</v>
      </c>
      <c r="I68" s="106">
        <f t="shared" si="75"/>
        <v>8574</v>
      </c>
      <c r="J68" s="106">
        <f t="shared" si="75"/>
        <v>8417.171288728332</v>
      </c>
      <c r="K68" s="106">
        <f t="shared" si="75"/>
        <v>9934.4714525003546</v>
      </c>
      <c r="L68" s="106">
        <f t="shared" si="75"/>
        <v>13791.52713577234</v>
      </c>
      <c r="M68" s="106">
        <f t="shared" si="75"/>
        <v>20346.918261783328</v>
      </c>
      <c r="N68" s="106">
        <f t="shared" si="75"/>
        <v>29384.756155988282</v>
      </c>
      <c r="O68" s="155"/>
      <c r="P68" s="94"/>
    </row>
    <row r="69" spans="1:17" ht="15" thickTop="1" x14ac:dyDescent="0.3">
      <c r="A69" s="117" t="s">
        <v>195</v>
      </c>
      <c r="B69" s="116">
        <f>B21-B68</f>
        <v>0</v>
      </c>
      <c r="C69" s="116">
        <f t="shared" ref="C69:I69" si="76">C21-C68</f>
        <v>0</v>
      </c>
      <c r="D69" s="116">
        <f t="shared" si="76"/>
        <v>0</v>
      </c>
      <c r="E69" s="116">
        <f t="shared" si="76"/>
        <v>0</v>
      </c>
      <c r="F69" s="116">
        <f t="shared" si="76"/>
        <v>0</v>
      </c>
      <c r="G69" s="116">
        <f t="shared" si="76"/>
        <v>0</v>
      </c>
      <c r="H69" s="116">
        <f t="shared" si="76"/>
        <v>0</v>
      </c>
      <c r="I69" s="116">
        <f t="shared" si="76"/>
        <v>0</v>
      </c>
      <c r="J69" s="116"/>
      <c r="K69" s="116"/>
      <c r="L69" s="116"/>
      <c r="M69" s="116"/>
      <c r="N69" s="116"/>
      <c r="O69" s="170"/>
      <c r="P69" s="116"/>
    </row>
    <row r="70" spans="1:17" x14ac:dyDescent="0.3">
      <c r="B70" s="59"/>
      <c r="C70" s="59"/>
      <c r="D70" s="59"/>
      <c r="E70" s="59"/>
      <c r="F70" s="59"/>
      <c r="G70" s="59"/>
      <c r="H70" s="59"/>
      <c r="I70" s="59"/>
      <c r="J70" s="59"/>
      <c r="K70" s="59"/>
      <c r="L70" s="59"/>
      <c r="M70" s="59"/>
      <c r="N70" s="59"/>
      <c r="O70" s="171"/>
      <c r="P70" s="70"/>
      <c r="Q70" t="s">
        <v>200</v>
      </c>
    </row>
    <row r="71" spans="1:17" x14ac:dyDescent="0.3">
      <c r="B71" s="59"/>
      <c r="C71" s="59"/>
      <c r="D71" s="59"/>
      <c r="E71" s="59"/>
      <c r="F71" s="59"/>
      <c r="G71" s="59"/>
      <c r="H71" s="59"/>
      <c r="I71" s="59"/>
    </row>
    <row r="73" spans="1:17" x14ac:dyDescent="0.3">
      <c r="A73" s="118">
        <v>2014</v>
      </c>
      <c r="B73" s="118"/>
    </row>
    <row r="74" spans="1:17" x14ac:dyDescent="0.3">
      <c r="A74" s="118" t="s">
        <v>35</v>
      </c>
      <c r="B74" s="119">
        <v>2922</v>
      </c>
    </row>
    <row r="75" spans="1:17" x14ac:dyDescent="0.3">
      <c r="A75" s="118" t="s">
        <v>197</v>
      </c>
      <c r="B75" s="119">
        <v>3434</v>
      </c>
    </row>
    <row r="76" spans="1:17" x14ac:dyDescent="0.3">
      <c r="A76" s="118" t="s">
        <v>198</v>
      </c>
      <c r="B76" s="119">
        <v>1930</v>
      </c>
    </row>
    <row r="77" spans="1:17" x14ac:dyDescent="0.3">
      <c r="A77" s="120" t="s">
        <v>159</v>
      </c>
      <c r="B77" s="121">
        <f>(+B74+B75)-B76</f>
        <v>4426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2023-10-23T17:48:29Z</dcterms:modified>
</cp:coreProperties>
</file>