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Downloads_D\"/>
    </mc:Choice>
  </mc:AlternateContent>
  <xr:revisionPtr revIDLastSave="0" documentId="13_ncr:1_{97126833-F0EB-42BE-BD53-609F9E6C0CB6}" xr6:coauthVersionLast="47" xr6:coauthVersionMax="47" xr10:uidLastSave="{00000000-0000-0000-0000-000000000000}"/>
  <bookViews>
    <workbookView xWindow="-120" yWindow="-120" windowWidth="29040" windowHeight="15840"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6" l="1"/>
  <c r="B32" i="6"/>
  <c r="B33" i="6"/>
  <c r="B30" i="6"/>
  <c r="B29" i="6"/>
  <c r="W16" i="6"/>
  <c r="B28" i="6"/>
  <c r="I21" i="6"/>
  <c r="V18" i="6"/>
  <c r="U18" i="6"/>
  <c r="T18" i="6"/>
  <c r="S18" i="6"/>
  <c r="R18" i="6"/>
  <c r="Q18" i="6"/>
  <c r="P18" i="6"/>
  <c r="O18" i="6"/>
  <c r="N18" i="6"/>
  <c r="M18" i="6"/>
  <c r="I18" i="6"/>
  <c r="H18" i="6"/>
  <c r="G18" i="6"/>
  <c r="F18" i="6"/>
  <c r="E18" i="6"/>
  <c r="D18" i="6"/>
  <c r="C18" i="6"/>
  <c r="B18" i="6"/>
  <c r="B10" i="6"/>
  <c r="N16" i="6"/>
  <c r="O16" i="6"/>
  <c r="P16" i="6"/>
  <c r="P17" i="6" s="1"/>
  <c r="Q16" i="6"/>
  <c r="R16" i="6" s="1"/>
  <c r="S16" i="6" s="1"/>
  <c r="T16" i="6" s="1"/>
  <c r="U16" i="6" s="1"/>
  <c r="V16" i="6" s="1"/>
  <c r="W18" i="6" s="1"/>
  <c r="M16" i="6"/>
  <c r="M17" i="6" s="1"/>
  <c r="C16" i="6"/>
  <c r="C17" i="6" s="1"/>
  <c r="D16" i="6"/>
  <c r="E16" i="6"/>
  <c r="E17" i="6" s="1"/>
  <c r="F16" i="6"/>
  <c r="F17" i="6" s="1"/>
  <c r="G16" i="6"/>
  <c r="H16" i="6"/>
  <c r="I16" i="6"/>
  <c r="I17" i="6" s="1"/>
  <c r="B16" i="6"/>
  <c r="B17" i="6" s="1"/>
  <c r="I11" i="6"/>
  <c r="C25" i="6"/>
  <c r="D25" i="6"/>
  <c r="E25" i="6"/>
  <c r="F25" i="6"/>
  <c r="G25" i="6"/>
  <c r="H25" i="6"/>
  <c r="I25" i="6"/>
  <c r="B25" i="6"/>
  <c r="N12" i="6"/>
  <c r="O12" i="6"/>
  <c r="P12" i="6"/>
  <c r="Q12" i="6"/>
  <c r="M12" i="6"/>
  <c r="N11" i="6"/>
  <c r="O11" i="6"/>
  <c r="P11" i="6"/>
  <c r="Q11" i="6"/>
  <c r="M11" i="6"/>
  <c r="N10" i="6"/>
  <c r="O10" i="6"/>
  <c r="P10" i="6"/>
  <c r="Q10" i="6"/>
  <c r="M10" i="6"/>
  <c r="C12" i="6"/>
  <c r="D12" i="6"/>
  <c r="E12" i="6"/>
  <c r="F12" i="6"/>
  <c r="G12" i="6"/>
  <c r="H12" i="6"/>
  <c r="I12" i="6"/>
  <c r="B12" i="6"/>
  <c r="C11" i="6"/>
  <c r="D11" i="6"/>
  <c r="E11" i="6"/>
  <c r="F11" i="6"/>
  <c r="G11" i="6"/>
  <c r="H11" i="6"/>
  <c r="B11" i="6"/>
  <c r="I10" i="6"/>
  <c r="C10" i="6"/>
  <c r="D10" i="6"/>
  <c r="F10" i="6"/>
  <c r="G10" i="6"/>
  <c r="H10" i="6"/>
  <c r="E10" i="6"/>
  <c r="C21" i="6"/>
  <c r="D21" i="6"/>
  <c r="D19" i="6" s="1"/>
  <c r="E21" i="6"/>
  <c r="E19" i="6" s="1"/>
  <c r="G21" i="6"/>
  <c r="G19" i="6" s="1"/>
  <c r="H21" i="6"/>
  <c r="H19" i="6" s="1"/>
  <c r="B21" i="6"/>
  <c r="F23" i="6"/>
  <c r="F21" i="6" s="1"/>
  <c r="F19" i="6" s="1"/>
  <c r="C24" i="6"/>
  <c r="D24" i="6"/>
  <c r="E24" i="6"/>
  <c r="F24" i="6"/>
  <c r="G24" i="6"/>
  <c r="H24" i="6"/>
  <c r="I24" i="6"/>
  <c r="B24" i="6"/>
  <c r="N6" i="6"/>
  <c r="N3" i="6"/>
  <c r="N5" i="6" s="1"/>
  <c r="O3" i="6"/>
  <c r="O4" i="6" s="1"/>
  <c r="O7" i="6" s="1"/>
  <c r="P3" i="6"/>
  <c r="P4" i="6" s="1"/>
  <c r="P8" i="6" s="1"/>
  <c r="Q3" i="6"/>
  <c r="Q4" i="6" s="1"/>
  <c r="Q7" i="6" s="1"/>
  <c r="I4" i="6"/>
  <c r="I8" i="6" s="1"/>
  <c r="B3" i="6"/>
  <c r="B6" i="6" s="1"/>
  <c r="C3" i="6"/>
  <c r="C4" i="6" s="1"/>
  <c r="M3" i="6"/>
  <c r="O6" i="6" s="1"/>
  <c r="I3" i="6"/>
  <c r="M6" i="6" s="1"/>
  <c r="H3" i="6"/>
  <c r="H6" i="6" s="1"/>
  <c r="G3" i="6"/>
  <c r="G5" i="6" s="1"/>
  <c r="F3" i="6"/>
  <c r="F6" i="6" s="1"/>
  <c r="E3" i="6"/>
  <c r="E4" i="6" s="1"/>
  <c r="D3" i="6"/>
  <c r="D6" i="6" s="1"/>
  <c r="C1" i="6"/>
  <c r="D1" i="6" s="1"/>
  <c r="E1" i="6" s="1"/>
  <c r="F1" i="6" s="1"/>
  <c r="G1" i="6" s="1"/>
  <c r="H1" i="6" s="1"/>
  <c r="I1" i="6" s="1"/>
  <c r="M1" i="6" s="1"/>
  <c r="N1" i="6" s="1"/>
  <c r="O1" i="6" s="1"/>
  <c r="P1" i="6" s="1"/>
  <c r="Q1" i="6" s="1"/>
  <c r="R1" i="6" s="1"/>
  <c r="S1" i="6" s="1"/>
  <c r="T1" i="6" s="1"/>
  <c r="U1" i="6" s="1"/>
  <c r="V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I19" i="6" l="1"/>
  <c r="Q5" i="6"/>
  <c r="C19" i="6"/>
  <c r="H17" i="6"/>
  <c r="B19" i="6"/>
  <c r="O17" i="6"/>
  <c r="N17" i="6"/>
  <c r="Q17" i="6"/>
  <c r="Q8" i="6"/>
  <c r="I7" i="6"/>
  <c r="D17" i="6"/>
  <c r="I6" i="6"/>
  <c r="H4" i="6"/>
  <c r="H7" i="6" s="1"/>
  <c r="I5" i="6"/>
  <c r="G17" i="6"/>
  <c r="G4" i="6"/>
  <c r="G7" i="6" s="1"/>
  <c r="C5" i="6"/>
  <c r="F4" i="6"/>
  <c r="F8" i="6" s="1"/>
  <c r="M5" i="6"/>
  <c r="C7" i="6"/>
  <c r="C8" i="6"/>
  <c r="E7" i="6"/>
  <c r="E8" i="6"/>
  <c r="G6" i="6"/>
  <c r="P7" i="6"/>
  <c r="P6" i="6"/>
  <c r="H8" i="6"/>
  <c r="D4" i="6"/>
  <c r="F7" i="6"/>
  <c r="M4" i="6"/>
  <c r="M8" i="6" s="1"/>
  <c r="F5" i="6"/>
  <c r="Q9" i="6"/>
  <c r="B4" i="6"/>
  <c r="B8" i="6" s="1"/>
  <c r="Q6" i="6"/>
  <c r="N4" i="6"/>
  <c r="E5" i="6"/>
  <c r="E6" i="6"/>
  <c r="D5" i="6"/>
  <c r="C6" i="6"/>
  <c r="O8" i="6"/>
  <c r="B5" i="6"/>
  <c r="P5" i="6"/>
  <c r="O5" i="6"/>
  <c r="H5"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F9" i="6" l="1"/>
  <c r="G8" i="6"/>
  <c r="G9" i="6" s="1"/>
  <c r="I9" i="6"/>
  <c r="P9" i="6"/>
  <c r="D7" i="6"/>
  <c r="D8" i="6"/>
  <c r="D9" i="6" s="1"/>
  <c r="N7" i="6"/>
  <c r="N8" i="6"/>
  <c r="B7" i="6"/>
  <c r="M9" i="6"/>
  <c r="M7" i="6"/>
  <c r="D64" i="2"/>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H9" i="6" l="1"/>
  <c r="B9" i="6"/>
  <c r="C9" i="6"/>
  <c r="N9" i="6"/>
  <c r="E9" i="6"/>
  <c r="O9" i="6"/>
  <c r="I97" i="2"/>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<sst xmlns="http://schemas.openxmlformats.org/spreadsheetml/2006/main" count="638" uniqueCount="307">
  <si>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</si>
  <si>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</si>
  <si>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</si>
  <si>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</si>
  <si>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</si>
  <si>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</si>
  <si>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</si>
  <si>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</si>
  <si>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</si>
  <si>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</si>
  <si>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</si>
  <si>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</si>
  <si>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</si>
  <si>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</si>
  <si>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</si>
  <si>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</si>
  <si>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</si>
  <si>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</si>
  <si>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</si>
  <si>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</si>
  <si>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</si>
  <si>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</si>
  <si>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</si>
  <si>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</si>
  <si>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</si>
  <si>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</si>
  <si>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</si>
  <si>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</si>
  <si>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</si>
  <si>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</si>
  <si>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</si>
  <si>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</si>
  <si>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</si>
  <si>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</si>
  <si>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</si>
  <si>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</si>
  <si>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</si>
  <si>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</si>
  <si>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</si>
  <si>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</si>
  <si>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</si>
  <si>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</si>
  <si>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</si>
  <si>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</si>
  <si>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</si>
  <si>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</si>
  <si>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</si>
  <si>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</si>
  <si>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</si>
  <si>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</si>
  <si>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</si>
  <si>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</si>
  <si>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</si>
  <si>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</si>
  <si>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</si>
  <si>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</si>
  <si>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</si>
  <si>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</si>
  <si>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</si>
  <si>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</si>
  <si>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</si>
  <si>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</si>
  <si>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</si>
  <si>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</si>
  <si>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</si>
  <si>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</si>
  <si>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</si>
  <si>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</si>
  <si>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</si>
  <si>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</si>
  <si>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</si>
  <si>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</si>
  <si>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</si>
  <si>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</si>
  <si>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</si>
  <si>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</si>
  <si>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</si>
  <si>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</si>
  <si>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</si>
  <si>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</si>
  <si>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</si>
  <si>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</si>
  <si>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</si>
  <si>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</si>
  <si>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</si>
  <si>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</si>
  <si>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</si>
  <si>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</si>
  <si>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</si>
  <si>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</si>
  <si>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</si>
  <si>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</si>
  <si>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</si>
  <si>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</si>
  <si>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</si>
  <si>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</si>
  <si>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</si>
  <si>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</si>
  <si>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</si>
  <si>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</si>
  <si>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</si>
  <si>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</si>
  <si>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</si>
  <si>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</si>
  <si>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</si>
  <si>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</si>
  <si>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</si>
  <si>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</si>
  <si>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</si>
  <si>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</si>
  <si>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</si>
  <si>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</si>
  <si>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</si>
  <si>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</si>
  <si>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</si>
  <si>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</si>
  <si>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</si>
  <si>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</si>
  <si>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</si>
  <si>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</si>
  <si>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</si>
  <si>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</si>
  <si>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</si>
  <si>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</si>
  <si>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</si>
  <si>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</si>
  <si>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</si>
  <si>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</si>
  <si>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</si>
  <si>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</si>
  <si>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</si>
  <si>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</si>
  <si>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</si>
  <si>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</si>
  <si>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</si>
  <si>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</si>
  <si>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</si>
  <si>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</si>
  <si>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</si>
  <si>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</si>
  <si>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</si>
  <si>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</si>
  <si>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</si>
  <si>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</si>
  <si>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</si>
  <si>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</si>
  <si>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</si>
  <si>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</si>
  <si>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</si>
  <si>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</si>
  <si>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</si>
  <si>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</si>
  <si>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</si>
  <si>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</si>
  <si>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</si>
  <si>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</si>
  <si>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</si>
  <si>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</si>
  <si>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</si>
  <si>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</si>
  <si>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</si>
  <si>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</si>
  <si>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</si>
  <si>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</si>
  <si>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</si>
  <si>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</si>
  <si>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</si>
  <si>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</si>
  <si>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</si>
  <si>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</si>
  <si>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</si>
  <si>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</si>
  <si>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</si>
  <si>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</si>
  <si>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</si>
  <si>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</si>
  <si>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</si>
  <si>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</si>
  <si>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</si>
  <si>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</si>
  <si>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</si>
  <si>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</si>
  <si>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</si>
  <si>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</si>
  <si>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</si>
  <si>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</si>
  <si>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</si>
  <si>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</si>
  <si>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</si>
  <si>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</si>
  <si>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</si>
  <si>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</si>
  <si>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</si>
  <si>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</si>
  <si>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</si>
  <si>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</si>
  <si>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</si>
  <si>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</si>
  <si>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</si>
  <si>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</si>
  <si>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</si>
  <si>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</si>
  <si>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</si>
  <si>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</si>
  <si>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</si>
  <si>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</si>
  <si>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</si>
  <si>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</si>
  <si>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</si>
  <si>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</si>
  <si>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</si>
  <si>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</si>
  <si>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</si>
  <si>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</si>
  <si>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</si>
  <si>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</si>
  <si>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</si>
  <si>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</si>
  <si>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</si>
  <si>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</si>
  <si>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</si>
  <si>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</si>
  <si>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</si>
  <si>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</si>
  <si>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</si>
  <si>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</si>
  <si>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</si>
  <si>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</si>
  <si>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</si>
  <si>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</si>
  <si>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</si>
  <si>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</si>
  <si>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</si>
  <si>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</si>
  <si>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</si>
  <si>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</si>
  <si>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</si>
  <si>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</si>
  <si>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</si>
  <si>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</si>
  <si>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</si>
  <si>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</si>
  <si>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</si>
  <si>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</si>
  <si>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</si>
  <si>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</si>
  <si>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</si>
  <si>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</si>
  <si>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</si>
  <si>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</si>
  <si>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</si>
  <si>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</si>
  <si>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</si>
  <si>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</si>
  <si>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</si>
  <si>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</si>
  <si>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</si>
  <si>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</si>
  <si>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</si>
  <si>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</si>
  <si>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</si>
  <si>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</si>
  <si>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</si>
  <si>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</si>
  <si>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</si>
  <si>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</si>
  <si>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</si>
  <si>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</si>
  <si>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</si>
  <si>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</si>
  <si>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</si>
  <si>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</si>
  <si>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 xml:space="preserve">Value of the firm </t>
  </si>
  <si>
    <t xml:space="preserve">Present Value of Terminal Value of Firm </t>
  </si>
  <si>
    <t>Present Values</t>
  </si>
  <si>
    <t>Debt Ratio</t>
  </si>
  <si>
    <t>Cost of Debt</t>
  </si>
  <si>
    <t>Rm</t>
  </si>
  <si>
    <t>Rf</t>
  </si>
  <si>
    <t>Cost of Equity</t>
  </si>
  <si>
    <t>Beta</t>
  </si>
  <si>
    <t>WACC</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</si>
  <si>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</si>
  <si>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</si>
  <si>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</si>
  <si>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</si>
  <si>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</si>
  <si>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</si>
  <si>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</si>
  <si>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</si>
  <si>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</si>
  <si>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</si>
  <si>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</si>
  <si>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</si>
  <si>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</si>
  <si>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</si>
  <si>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Link from three statements sheet</t>
  </si>
  <si>
    <t>Feedback</t>
  </si>
  <si>
    <t>Present Value of FCFF in high growth phase (is this meaning 2023?)</t>
  </si>
  <si>
    <t>Feedback 2</t>
  </si>
  <si>
    <t>Calculate TV using Gordon's growth model in cell W16</t>
  </si>
  <si>
    <t>Change terminal growth rate in cell W17 to 3%</t>
  </si>
  <si>
    <t>Calculate the PV of cash flows for columns M to W each year in each column</t>
  </si>
  <si>
    <t>Should be the sum of M18 to V18. Link these calculations in the table in column B</t>
  </si>
  <si>
    <t>Link PV of TV in cell W18 here. Link these calculations in the table in column B</t>
  </si>
  <si>
    <t>Link these calculations in the table in column B</t>
  </si>
  <si>
    <t>PV of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</si>
</sst>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_);_(* \(#,##0\);_(* &quot;-&quot;??_);_(@_)"/>
    <numFmt numFmtId="166" formatCode="0.0%"/>
    <numFmt numFmtId="167" formatCode="#,##0.0"/>
    <numFmt numFmtId="168" formatCode="0.0000"/>
  </numFmts>
  <fonts count="5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family val="2"/>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s>
  <fills count="18">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5">
    <xf numFmtId="0" fontId="0" fillId="0" borderId="0"/>
    <xf numFmtId="43" fontId="28" fillId="0" borderId="0" applyFont="0" applyFill="0" applyBorder="0" applyAlignment="0" applyProtection="0"/>
    <xf numFmtId="0" fontId="11" fillId="0" borderId="1"/>
    <xf numFmtId="43" fontId="11" fillId="0" borderId="1" applyFont="0" applyFill="0" applyBorder="0" applyAlignment="0" applyProtection="0"/>
    <xf numFmtId="9" fontId="11" fillId="0" borderId="1" applyFont="0" applyFill="0" applyBorder="0" applyAlignment="0" applyProtection="0"/>
    <xf numFmtId="43" fontId="11" fillId="0" borderId="1" applyFont="0" applyFill="0" applyBorder="0" applyAlignment="0" applyProtection="0"/>
    <xf numFmtId="0" fontId="31" fillId="13" borderId="1" applyNumberFormat="0" applyBorder="0" applyAlignment="0" applyProtection="0"/>
    <xf numFmtId="0" fontId="31" fillId="14" borderId="1" applyNumberFormat="0" applyBorder="0" applyAlignment="0" applyProtection="0"/>
    <xf numFmtId="43" fontId="11" fillId="0" borderId="1" applyFont="0" applyFill="0" applyBorder="0" applyAlignment="0" applyProtection="0"/>
    <xf numFmtId="0" fontId="44" fillId="0" borderId="0" applyNumberFormat="0" applyFill="0" applyBorder="0" applyAlignment="0" applyProtection="0"/>
    <xf numFmtId="0" fontId="9" fillId="0" borderId="1"/>
    <xf numFmtId="164" fontId="9" fillId="0" borderId="1" applyFont="0" applyFill="0" applyBorder="0" applyAlignment="0" applyProtection="0"/>
    <xf numFmtId="9" fontId="9" fillId="0" borderId="1" applyFont="0" applyFill="0" applyBorder="0" applyAlignment="0" applyProtection="0"/>
    <xf numFmtId="0" fontId="46" fillId="0" borderId="1" applyNumberFormat="0" applyFill="0" applyBorder="0" applyAlignment="0" applyProtection="0"/>
    <xf numFmtId="9" fontId="49" fillId="0" borderId="0" applyFont="0" applyFill="0" applyBorder="0" applyAlignment="0" applyProtection="0"/>
  </cellStyleXfs>
  <cellXfs count="147">
    <xf numFmtId="0" fontId="0" fillId="0" borderId="0" xfId="0"/>
    <xf numFmtId="0" fontId="15" fillId="0" borderId="0" xfId="0" applyFont="1"/>
    <xf numFmtId="0" fontId="16" fillId="0" borderId="0" xfId="0" applyFont="1"/>
    <xf numFmtId="0" fontId="17" fillId="0" borderId="0" xfId="0" applyFont="1" applyAlignment="1">
      <alignment horizontal="left"/>
    </xf>
    <xf numFmtId="0" fontId="18" fillId="2" borderId="1" xfId="0" applyFont="1" applyFill="1" applyBorder="1" applyAlignment="1">
      <alignment vertical="center" wrapText="1"/>
    </xf>
    <xf numFmtId="0" fontId="19" fillId="2" borderId="1" xfId="0" applyFont="1" applyFill="1" applyBorder="1" applyAlignment="1">
      <alignment horizontal="right"/>
    </xf>
    <xf numFmtId="165" fontId="17" fillId="0" borderId="0" xfId="0" applyNumberFormat="1" applyFont="1"/>
    <xf numFmtId="165" fontId="16" fillId="0" borderId="0" xfId="0" applyNumberFormat="1" applyFont="1"/>
    <xf numFmtId="0" fontId="16" fillId="0" borderId="2" xfId="0" applyFont="1" applyBorder="1"/>
    <xf numFmtId="165" fontId="16" fillId="0" borderId="2" xfId="0" applyNumberFormat="1" applyFont="1" applyBorder="1"/>
    <xf numFmtId="0" fontId="16" fillId="0" borderId="3" xfId="0" applyFont="1" applyBorder="1"/>
    <xf numFmtId="165" fontId="16" fillId="0" borderId="3" xfId="0" applyNumberFormat="1" applyFont="1" applyBorder="1"/>
    <xf numFmtId="165" fontId="20" fillId="0" borderId="0" xfId="0" applyNumberFormat="1" applyFont="1"/>
    <xf numFmtId="165" fontId="16" fillId="0" borderId="4" xfId="0" applyNumberFormat="1" applyFont="1" applyBorder="1"/>
    <xf numFmtId="0" fontId="16" fillId="0" borderId="4" xfId="0" applyFont="1" applyBorder="1"/>
    <xf numFmtId="0" fontId="16" fillId="3" borderId="1" xfId="0" applyFont="1" applyFill="1" applyBorder="1"/>
    <xf numFmtId="165" fontId="19" fillId="4" borderId="1" xfId="0" applyNumberFormat="1" applyFont="1" applyFill="1" applyBorder="1" applyAlignment="1">
      <alignment horizontal="left"/>
    </xf>
    <xf numFmtId="165" fontId="23" fillId="0" borderId="0" xfId="0" applyNumberFormat="1" applyFont="1" applyAlignment="1">
      <alignment horizontal="left"/>
    </xf>
    <xf numFmtId="166" fontId="21" fillId="0" borderId="0" xfId="0" applyNumberFormat="1" applyFont="1" applyAlignment="1">
      <alignment horizontal="right"/>
    </xf>
    <xf numFmtId="165" fontId="16" fillId="5" borderId="1" xfId="0" applyNumberFormat="1" applyFont="1" applyFill="1" applyBorder="1"/>
    <xf numFmtId="165" fontId="17" fillId="0" borderId="0" xfId="0" applyNumberFormat="1" applyFont="1" applyAlignment="1">
      <alignment horizontal="left"/>
    </xf>
    <xf numFmtId="166" fontId="24" fillId="6" borderId="1" xfId="0" applyNumberFormat="1" applyFont="1" applyFill="1" applyBorder="1"/>
    <xf numFmtId="0" fontId="17" fillId="7" borderId="1" xfId="0" applyFont="1" applyFill="1" applyBorder="1"/>
    <xf numFmtId="10" fontId="21" fillId="0" borderId="0" xfId="0" applyNumberFormat="1" applyFont="1" applyAlignment="1">
      <alignment horizontal="right"/>
    </xf>
    <xf numFmtId="10" fontId="24" fillId="6" borderId="1" xfId="0" applyNumberFormat="1" applyFont="1" applyFill="1" applyBorder="1"/>
    <xf numFmtId="166" fontId="24" fillId="0" borderId="0" xfId="0" applyNumberFormat="1" applyFont="1"/>
    <xf numFmtId="166" fontId="22" fillId="0" borderId="0" xfId="0" applyNumberFormat="1" applyFont="1" applyAlignment="1">
      <alignment horizontal="right"/>
    </xf>
    <xf numFmtId="166" fontId="23" fillId="0" borderId="0" xfId="0" applyNumberFormat="1" applyFont="1" applyAlignment="1">
      <alignment horizontal="right"/>
    </xf>
    <xf numFmtId="166" fontId="25" fillId="8" borderId="1" xfId="0" applyNumberFormat="1" applyFont="1" applyFill="1" applyBorder="1"/>
    <xf numFmtId="164" fontId="17" fillId="0" borderId="0" xfId="0" applyNumberFormat="1" applyFont="1"/>
    <xf numFmtId="0" fontId="19" fillId="4" borderId="1" xfId="0" applyFont="1" applyFill="1" applyBorder="1"/>
    <xf numFmtId="164" fontId="20" fillId="0" borderId="0" xfId="0" applyNumberFormat="1" applyFont="1"/>
    <xf numFmtId="0" fontId="0" fillId="9" borderId="0" xfId="0" applyFill="1"/>
    <xf numFmtId="0" fontId="14" fillId="9" borderId="0" xfId="0" applyFont="1" applyFill="1"/>
    <xf numFmtId="0" fontId="32" fillId="10" borderId="0" xfId="0" applyFont="1" applyFill="1" applyAlignment="1">
      <alignment vertical="center" wrapText="1"/>
    </xf>
    <xf numFmtId="0" fontId="29" fillId="10" borderId="0" xfId="0" applyFont="1" applyFill="1" applyAlignment="1">
      <alignment horizontal="right"/>
    </xf>
    <xf numFmtId="165" fontId="0" fillId="0" borderId="0" xfId="1" applyNumberFormat="1" applyFont="1"/>
    <xf numFmtId="0" fontId="0" fillId="0" borderId="5" xfId="0" applyBorder="1"/>
    <xf numFmtId="165" fontId="0" fillId="0" borderId="5" xfId="1" applyNumberFormat="1" applyFont="1" applyBorder="1"/>
    <xf numFmtId="0" fontId="30" fillId="0" borderId="0" xfId="0" applyFont="1"/>
    <xf numFmtId="165" fontId="30" fillId="0" borderId="0" xfId="1" applyNumberFormat="1" applyFont="1"/>
    <xf numFmtId="0" fontId="0" fillId="0" borderId="0" xfId="0" applyAlignment="1">
      <alignment horizontal="left" indent="2"/>
    </xf>
    <xf numFmtId="0" fontId="0" fillId="0" borderId="6" xfId="0" applyBorder="1" applyAlignment="1">
      <alignment horizontal="left" indent="1"/>
    </xf>
    <xf numFmtId="165" fontId="0" fillId="0" borderId="6" xfId="1" applyNumberFormat="1" applyFont="1" applyBorder="1"/>
    <xf numFmtId="0" fontId="0" fillId="0" borderId="0" xfId="0" applyAlignment="1">
      <alignment horizontal="left" indent="1"/>
    </xf>
    <xf numFmtId="165" fontId="34" fillId="0" borderId="0" xfId="0" applyNumberFormat="1" applyFont="1"/>
    <xf numFmtId="0" fontId="30" fillId="0" borderId="6" xfId="0" applyFont="1" applyBorder="1"/>
    <xf numFmtId="165" fontId="30" fillId="0" borderId="6" xfId="1" applyNumberFormat="1" applyFont="1" applyBorder="1"/>
    <xf numFmtId="0" fontId="30" fillId="0" borderId="7" xfId="0" applyFont="1" applyBorder="1"/>
    <xf numFmtId="165" fontId="30" fillId="0" borderId="7" xfId="1" applyNumberFormat="1" applyFont="1" applyBorder="1"/>
    <xf numFmtId="167" fontId="0" fillId="0" borderId="0" xfId="0" applyNumberFormat="1"/>
    <xf numFmtId="3" fontId="0" fillId="0" borderId="0" xfId="0" applyNumberFormat="1"/>
    <xf numFmtId="0" fontId="35" fillId="0" borderId="0" xfId="0" applyFont="1"/>
    <xf numFmtId="165" fontId="35" fillId="0" borderId="0" xfId="0" applyNumberFormat="1" applyFont="1"/>
    <xf numFmtId="0" fontId="30" fillId="11" borderId="0" xfId="0" applyFont="1" applyFill="1" applyAlignment="1">
      <alignment horizontal="center"/>
    </xf>
    <xf numFmtId="0" fontId="30"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30" fillId="0" borderId="8" xfId="0" applyFont="1" applyBorder="1" applyAlignment="1">
      <alignment horizontal="left"/>
    </xf>
    <xf numFmtId="165" fontId="30" fillId="0" borderId="8" xfId="1" applyNumberFormat="1" applyFont="1" applyBorder="1"/>
    <xf numFmtId="0" fontId="30" fillId="0" borderId="8" xfId="0" applyFont="1" applyBorder="1"/>
    <xf numFmtId="0" fontId="30" fillId="0" borderId="0" xfId="0" applyFont="1" applyAlignment="1">
      <alignment horizontal="left"/>
    </xf>
    <xf numFmtId="0" fontId="34" fillId="0" borderId="0" xfId="0" applyFont="1"/>
    <xf numFmtId="3" fontId="34" fillId="0" borderId="0" xfId="0" applyNumberFormat="1" applyFont="1"/>
    <xf numFmtId="165" fontId="13" fillId="0" borderId="0" xfId="1" applyNumberFormat="1" applyFont="1"/>
    <xf numFmtId="165" fontId="36" fillId="0" borderId="0" xfId="0" applyNumberFormat="1" applyFont="1"/>
    <xf numFmtId="0" fontId="37" fillId="0" borderId="0" xfId="0" applyFont="1" applyAlignment="1">
      <alignment horizontal="left" indent="1"/>
    </xf>
    <xf numFmtId="166" fontId="38" fillId="0" borderId="0" xfId="0" applyNumberFormat="1" applyFont="1"/>
    <xf numFmtId="0" fontId="39" fillId="0" borderId="0" xfId="0" applyFont="1" applyAlignment="1">
      <alignment horizontal="left" indent="2"/>
    </xf>
    <xf numFmtId="166" fontId="40" fillId="0" borderId="0" xfId="0" applyNumberFormat="1" applyFont="1"/>
    <xf numFmtId="0" fontId="39" fillId="0" borderId="6" xfId="0" applyFont="1" applyBorder="1"/>
    <xf numFmtId="166" fontId="38" fillId="0" borderId="6" xfId="0" applyNumberFormat="1" applyFont="1" applyBorder="1"/>
    <xf numFmtId="0" fontId="39" fillId="0" borderId="0" xfId="0" applyFont="1" applyAlignment="1">
      <alignment horizontal="left" indent="1"/>
    </xf>
    <xf numFmtId="0" fontId="37" fillId="0" borderId="7" xfId="0" applyFont="1" applyBorder="1"/>
    <xf numFmtId="166" fontId="38" fillId="0" borderId="7" xfId="0" applyNumberFormat="1" applyFont="1" applyBorder="1"/>
    <xf numFmtId="0" fontId="43" fillId="10" borderId="0" xfId="0" applyFont="1" applyFill="1" applyAlignment="1">
      <alignment wrapText="1"/>
    </xf>
    <xf numFmtId="0" fontId="0" fillId="0" borderId="0" xfId="0" applyAlignment="1">
      <alignment wrapText="1"/>
    </xf>
    <xf numFmtId="0" fontId="0" fillId="12" borderId="0" xfId="0" applyFill="1"/>
    <xf numFmtId="0" fontId="12" fillId="0" borderId="0" xfId="0" applyFont="1"/>
    <xf numFmtId="0" fontId="39" fillId="0" borderId="0" xfId="0" applyFont="1"/>
    <xf numFmtId="166" fontId="21" fillId="0" borderId="0" xfId="0" applyNumberFormat="1" applyFont="1"/>
    <xf numFmtId="0" fontId="11" fillId="0" borderId="1" xfId="2"/>
    <xf numFmtId="0" fontId="11" fillId="9" borderId="1" xfId="2" applyFill="1"/>
    <xf numFmtId="165" fontId="16" fillId="0" borderId="1" xfId="0" applyNumberFormat="1" applyFont="1" applyBorder="1"/>
    <xf numFmtId="165" fontId="17" fillId="9" borderId="0" xfId="0" applyNumberFormat="1" applyFont="1" applyFill="1"/>
    <xf numFmtId="0" fontId="10" fillId="0" borderId="1" xfId="2" applyFont="1"/>
    <xf numFmtId="0" fontId="45"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44" fillId="0" borderId="0" xfId="9" applyAlignment="1">
      <alignment horizontal="left" wrapText="1"/>
    </xf>
    <xf numFmtId="0" fontId="9" fillId="0" borderId="1" xfId="10"/>
    <xf numFmtId="0" fontId="9" fillId="0" borderId="10" xfId="10" applyBorder="1"/>
    <xf numFmtId="0" fontId="9" fillId="0" borderId="11" xfId="10" applyBorder="1"/>
    <xf numFmtId="0" fontId="9" fillId="0" borderId="12" xfId="10" applyBorder="1"/>
    <xf numFmtId="165" fontId="0" fillId="0" borderId="1" xfId="11" applyNumberFormat="1" applyFont="1"/>
    <xf numFmtId="166" fontId="0" fillId="0" borderId="1" xfId="12" applyNumberFormat="1" applyFont="1" applyFill="1"/>
    <xf numFmtId="0" fontId="9" fillId="0" borderId="1" xfId="10" applyAlignment="1">
      <alignment horizontal="left" indent="1"/>
    </xf>
    <xf numFmtId="0" fontId="46" fillId="0" borderId="1" xfId="13" applyAlignment="1">
      <alignment horizontal="left" indent="1"/>
    </xf>
    <xf numFmtId="0" fontId="47" fillId="0" borderId="1" xfId="10" applyFont="1"/>
    <xf numFmtId="10" fontId="48" fillId="0" borderId="1" xfId="12" applyNumberFormat="1" applyFont="1" applyBorder="1" applyAlignment="1">
      <alignment horizontal="left"/>
    </xf>
    <xf numFmtId="10" fontId="47" fillId="0" borderId="1" xfId="11" applyNumberFormat="1" applyFont="1" applyBorder="1" applyAlignment="1">
      <alignment horizontal="right"/>
    </xf>
    <xf numFmtId="166" fontId="0" fillId="0" borderId="1" xfId="12" applyNumberFormat="1" applyFont="1"/>
    <xf numFmtId="164" fontId="0" fillId="0" borderId="1" xfId="11" applyFont="1"/>
    <xf numFmtId="164" fontId="9" fillId="0" borderId="1" xfId="10" applyNumberFormat="1"/>
    <xf numFmtId="0" fontId="9" fillId="16" borderId="1" xfId="10" applyFill="1"/>
    <xf numFmtId="0" fontId="30" fillId="11" borderId="1" xfId="10" applyFont="1" applyFill="1" applyAlignment="1">
      <alignment horizontal="center"/>
    </xf>
    <xf numFmtId="0" fontId="29" fillId="17" borderId="1" xfId="10" applyFont="1" applyFill="1" applyAlignment="1">
      <alignment horizontal="right" wrapText="1"/>
    </xf>
    <xf numFmtId="0" fontId="29" fillId="17" borderId="1" xfId="10" applyFont="1" applyFill="1" applyAlignment="1">
      <alignment horizontal="right"/>
    </xf>
    <xf numFmtId="0" fontId="29" fillId="10" borderId="1" xfId="10" applyFont="1" applyFill="1" applyAlignment="1">
      <alignment wrapText="1"/>
    </xf>
    <xf numFmtId="0" fontId="29" fillId="10" borderId="1" xfId="10" applyFont="1" applyFill="1" applyAlignment="1">
      <alignment horizontal="right"/>
    </xf>
    <xf numFmtId="0" fontId="29" fillId="10" borderId="1" xfId="10" applyFont="1" applyFill="1" applyAlignment="1">
      <alignment vertical="center" wrapText="1"/>
    </xf>
    <xf numFmtId="0" fontId="8" fillId="0" borderId="1" xfId="10" applyFont="1"/>
    <xf numFmtId="166" fontId="39" fillId="0" borderId="1" xfId="11" applyNumberFormat="1" applyFont="1"/>
    <xf numFmtId="166" fontId="9" fillId="0" borderId="1" xfId="10" applyNumberFormat="1"/>
    <xf numFmtId="2" fontId="9" fillId="0" borderId="1" xfId="10" applyNumberFormat="1"/>
    <xf numFmtId="164" fontId="8" fillId="0" borderId="1" xfId="10" applyNumberFormat="1" applyFont="1"/>
    <xf numFmtId="43" fontId="9" fillId="0" borderId="1" xfId="10" applyNumberFormat="1"/>
    <xf numFmtId="41" fontId="9" fillId="0" borderId="1" xfId="10" applyNumberFormat="1"/>
    <xf numFmtId="0" fontId="7" fillId="0" borderId="1" xfId="10" applyFont="1" applyAlignment="1">
      <alignment horizontal="left" indent="1"/>
    </xf>
    <xf numFmtId="168" fontId="0" fillId="0" borderId="1" xfId="12" applyNumberFormat="1" applyFont="1" applyFill="1"/>
    <xf numFmtId="0" fontId="6" fillId="0" borderId="1" xfId="10" applyFont="1"/>
    <xf numFmtId="0" fontId="29" fillId="10" borderId="1" xfId="10" applyFont="1" applyFill="1" applyAlignment="1">
      <alignment horizontal="center"/>
    </xf>
    <xf numFmtId="0" fontId="6" fillId="9" borderId="1" xfId="10" applyFont="1" applyFill="1"/>
    <xf numFmtId="10" fontId="9" fillId="0" borderId="1" xfId="10" applyNumberFormat="1"/>
    <xf numFmtId="10" fontId="0" fillId="0" borderId="1" xfId="12" applyNumberFormat="1" applyFont="1" applyFill="1"/>
    <xf numFmtId="0" fontId="5" fillId="0" borderId="1" xfId="10" applyFont="1" applyAlignment="1">
      <alignment horizontal="left" indent="1"/>
    </xf>
    <xf numFmtId="166" fontId="0" fillId="9" borderId="0" xfId="14" applyNumberFormat="1" applyFont="1" applyFill="1"/>
    <xf numFmtId="10" fontId="47" fillId="15" borderId="1" xfId="10" applyNumberFormat="1" applyFont="1" applyFill="1"/>
    <xf numFmtId="0" fontId="4" fillId="0" borderId="1" xfId="10" applyFont="1"/>
    <xf numFmtId="0" fontId="4" fillId="0" borderId="14" xfId="10" applyFont="1" applyBorder="1"/>
    <xf numFmtId="165" fontId="4" fillId="0" borderId="1" xfId="10" applyNumberFormat="1" applyFont="1"/>
    <xf numFmtId="0" fontId="3" fillId="0" borderId="1" xfId="10" applyFont="1"/>
    <xf numFmtId="0" fontId="12" fillId="0" borderId="0" xfId="0" applyFont="1"/>
    <xf numFmtId="0" fontId="0" fillId="0" borderId="0" xfId="0"/>
    <xf numFmtId="0" fontId="12" fillId="0" borderId="0" xfId="0" applyFont="1" applyAlignment="1">
      <alignment horizontal="center"/>
    </xf>
    <xf numFmtId="0" fontId="0" fillId="0" borderId="0" xfId="0" applyAlignment="1">
      <alignment horizontal="center"/>
    </xf>
    <xf numFmtId="10" fontId="1" fillId="0" borderId="1" xfId="12" applyNumberFormat="1" applyFont="1" applyBorder="1" applyAlignment="1">
      <alignment horizontal="left"/>
    </xf>
    <xf numFmtId="1" fontId="1" fillId="0" borderId="1" xfId="11" applyNumberFormat="1" applyFont="1" applyBorder="1" applyAlignment="1">
      <alignment horizontal="right"/>
    </xf>
    <xf numFmtId="1" fontId="1" fillId="0" borderId="1" xfId="10" applyNumberFormat="1" applyFont="1"/>
    <xf numFmtId="166" fontId="0" fillId="0" borderId="1" xfId="11" applyNumberFormat="1" applyFont="1"/>
    <xf numFmtId="1" fontId="9" fillId="0" borderId="13" xfId="10" applyNumberFormat="1" applyBorder="1"/>
    <xf numFmtId="1" fontId="9" fillId="0" borderId="11" xfId="10" applyNumberFormat="1" applyBorder="1"/>
    <xf numFmtId="1" fontId="2" fillId="0" borderId="11" xfId="10" applyNumberFormat="1" applyFont="1" applyBorder="1"/>
    <xf numFmtId="2" fontId="9" fillId="0" borderId="9" xfId="10" applyNumberFormat="1" applyBorder="1"/>
    <xf numFmtId="0" fontId="2" fillId="9" borderId="1" xfId="10" applyFont="1" applyFill="1"/>
    <xf numFmtId="0" fontId="9" fillId="9" borderId="1" xfId="10" applyFill="1"/>
    <xf numFmtId="0" fontId="47" fillId="9" borderId="1" xfId="10" applyFont="1" applyFill="1"/>
  </cellXfs>
  <cellStyles count="15">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xfId="14" builtinId="5"/>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FCFF Historical Growth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Schedules!$B$17</c:f>
              <c:strCache>
                <c:ptCount val="1"/>
                <c:pt idx="0">
                  <c:v>nm</c:v>
                </c:pt>
              </c:strCache>
            </c:strRef>
          </c:tx>
          <c:spPr>
            <a:ln w="19050" cap="rnd">
              <a:solidFill>
                <a:schemeClr val="accent1"/>
              </a:solidFill>
              <a:round/>
            </a:ln>
            <a:effectLst/>
          </c:spPr>
          <c:marker>
            <c:symbol val="none"/>
          </c:marker>
          <c:xVal>
            <c:numRef>
              <c:f>(Schedules!$C$1:$I$1,Schedules!$M$1:$Q$1)</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xVal>
          <c:yVal>
            <c:numRef>
              <c:f>(Schedules!$C$17:$I$17,Schedules!$M$17:$Q$17)</c:f>
              <c:numCache>
                <c:formatCode>0.00%</c:formatCode>
                <c:ptCount val="12"/>
                <c:pt idx="0">
                  <c:v>-0.39928057553956836</c:v>
                </c:pt>
                <c:pt idx="1">
                  <c:v>-1.8962075848303395E-2</c:v>
                </c:pt>
                <c:pt idx="2">
                  <c:v>0.23702950152594099</c:v>
                </c:pt>
                <c:pt idx="3">
                  <c:v>-0.25328947368421051</c:v>
                </c:pt>
                <c:pt idx="4">
                  <c:v>-0.68538913362701914</c:v>
                </c:pt>
                <c:pt idx="5">
                  <c:v>4.7047841306884477</c:v>
                </c:pt>
                <c:pt idx="6">
                  <c:v>-0.17242789936592351</c:v>
                </c:pt>
                <c:pt idx="7">
                  <c:v>1.1650556798350438</c:v>
                </c:pt>
                <c:pt idx="8">
                  <c:v>-2.2861720352151692E-2</c:v>
                </c:pt>
                <c:pt idx="9">
                  <c:v>0.21907783731923572</c:v>
                </c:pt>
                <c:pt idx="10">
                  <c:v>0.12851986094252441</c:v>
                </c:pt>
                <c:pt idx="11">
                  <c:v>3.7278221899217381E-2</c:v>
                </c:pt>
              </c:numCache>
            </c:numRef>
          </c:yVal>
          <c:smooth val="0"/>
          <c:extLst>
            <c:ext xmlns:c16="http://schemas.microsoft.com/office/drawing/2014/chart" uri="{C3380CC4-5D6E-409C-BE32-E72D297353CC}">
              <c16:uniqueId val="{00000000-7C1D-4977-BFEC-7A53922C822D}"/>
            </c:ext>
          </c:extLst>
        </c:ser>
        <c:dLbls>
          <c:showLegendKey val="0"/>
          <c:showVal val="0"/>
          <c:showCatName val="0"/>
          <c:showSerName val="0"/>
          <c:showPercent val="0"/>
          <c:showBubbleSize val="0"/>
        </c:dLbls>
        <c:axId val="797493928"/>
        <c:axId val="797494288"/>
      </c:scatterChart>
      <c:valAx>
        <c:axId val="79749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4288"/>
        <c:crosses val="autoZero"/>
        <c:crossBetween val="midCat"/>
      </c:valAx>
      <c:valAx>
        <c:axId val="797494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3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21</xdr:row>
      <xdr:rowOff>0</xdr:rowOff>
    </xdr:from>
    <xdr:to>
      <xdr:col>23</xdr:col>
      <xdr:colOff>504825</xdr:colOff>
      <xdr:row>34</xdr:row>
      <xdr:rowOff>142875</xdr:rowOff>
    </xdr:to>
    <xdr:graphicFrame macro="">
      <xdr:nvGraphicFramePr>
        <xdr:cNvPr id="8" name="Chart 7">
          <a:extLst>
            <a:ext uri="{FF2B5EF4-FFF2-40B4-BE49-F238E27FC236}">
              <a16:creationId xmlns:a16="http://schemas.microsoft.com/office/drawing/2014/main" id="{F3D7156F-3099-4BED-ABDD-D5AD6A65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ColWidth="8.85546875" defaultRowHeight="15" x14ac:dyDescent="0.25"/>
  <cols>
    <col min="1" max="1" width="184.42578125" bestFit="1" customWidth="1"/>
  </cols>
  <sheetData>
    <row r="1" spans="1:3" ht="23.25" x14ac:dyDescent="0.35">
      <c r="A1" s="75" t="s">
        <v>262</v>
      </c>
    </row>
    <row r="2" spans="1:3" x14ac:dyDescent="0.25">
      <c r="A2" s="86" t="s">
        <v>263</v>
      </c>
    </row>
    <row r="3" spans="1:3" x14ac:dyDescent="0.25">
      <c r="A3" s="87"/>
    </row>
    <row r="4" spans="1:3" ht="23.25" x14ac:dyDescent="0.35">
      <c r="A4" s="75" t="s">
        <v>241</v>
      </c>
    </row>
    <row r="5" spans="1:3" x14ac:dyDescent="0.25">
      <c r="A5" s="88" t="s">
        <v>264</v>
      </c>
    </row>
    <row r="6" spans="1:3" x14ac:dyDescent="0.25">
      <c r="A6" s="88" t="s">
        <v>265</v>
      </c>
    </row>
    <row r="7" spans="1:3" x14ac:dyDescent="0.25">
      <c r="A7" s="89" t="s">
        <v>266</v>
      </c>
    </row>
    <row r="8" spans="1:3" x14ac:dyDescent="0.25">
      <c r="A8" s="88" t="s">
        <v>267</v>
      </c>
    </row>
    <row r="9" spans="1:3" x14ac:dyDescent="0.25">
      <c r="A9" s="76" t="s">
        <v>268</v>
      </c>
    </row>
    <row r="15" spans="1:3" x14ac:dyDescent="0.25">
      <c r="C15" s="78"/>
    </row>
    <row r="18" spans="1:3" x14ac:dyDescent="0.25">
      <c r="C18" s="78"/>
    </row>
    <row r="20" spans="1:3" x14ac:dyDescent="0.25">
      <c r="C20" s="78"/>
    </row>
    <row r="25" spans="1:3" x14ac:dyDescent="0.25">
      <c r="A25" s="76"/>
    </row>
    <row r="26" spans="1:3" x14ac:dyDescent="0.25">
      <c r="A26" s="76"/>
    </row>
    <row r="30" spans="1:3" x14ac:dyDescent="0.25">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28" workbookViewId="0">
      <selection activeCell="B85" sqref="B85"/>
    </sheetView>
  </sheetViews>
  <sheetFormatPr defaultColWidth="8.85546875" defaultRowHeight="15" x14ac:dyDescent="0.25"/>
  <cols>
    <col min="1" max="1" width="121.7109375" bestFit="1" customWidth="1"/>
  </cols>
  <sheetData>
    <row r="1" spans="1:9" ht="41.25" x14ac:dyDescent="0.25">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25">
      <c r="A2" t="s">
        <v>130</v>
      </c>
      <c r="B2" s="36">
        <v>30601</v>
      </c>
      <c r="C2" s="36">
        <v>32376</v>
      </c>
      <c r="D2" s="36">
        <v>34350</v>
      </c>
      <c r="E2" s="36">
        <v>36397</v>
      </c>
      <c r="F2" s="36">
        <v>39117</v>
      </c>
      <c r="G2" s="36">
        <v>37403</v>
      </c>
      <c r="H2" s="36">
        <v>44538</v>
      </c>
      <c r="I2" s="36">
        <v>46710</v>
      </c>
    </row>
    <row r="3" spans="1:9" x14ac:dyDescent="0.25">
      <c r="A3" s="37" t="s">
        <v>131</v>
      </c>
      <c r="B3" s="38">
        <v>16534</v>
      </c>
      <c r="C3" s="38">
        <v>17405</v>
      </c>
      <c r="D3" s="38">
        <v>19038</v>
      </c>
      <c r="E3" s="38">
        <v>20441</v>
      </c>
      <c r="F3" s="38">
        <v>21643</v>
      </c>
      <c r="G3" s="38">
        <v>21162</v>
      </c>
      <c r="H3" s="38">
        <v>24576</v>
      </c>
      <c r="I3" s="38">
        <v>25231</v>
      </c>
    </row>
    <row r="4" spans="1:9" x14ac:dyDescent="0.25">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25">
      <c r="A5" s="41" t="s">
        <v>133</v>
      </c>
      <c r="B5" s="36">
        <v>3213</v>
      </c>
      <c r="C5" s="36">
        <v>3278</v>
      </c>
      <c r="D5" s="36">
        <v>3341</v>
      </c>
      <c r="E5" s="36">
        <v>3577</v>
      </c>
      <c r="F5" s="36">
        <v>3753</v>
      </c>
      <c r="G5" s="36">
        <v>3592</v>
      </c>
      <c r="H5" s="36">
        <v>3114</v>
      </c>
      <c r="I5" s="36">
        <v>3850</v>
      </c>
    </row>
    <row r="6" spans="1:9" x14ac:dyDescent="0.25">
      <c r="A6" s="41" t="s">
        <v>134</v>
      </c>
      <c r="B6" s="36">
        <v>6679</v>
      </c>
      <c r="C6" s="36">
        <v>7191</v>
      </c>
      <c r="D6" s="36">
        <v>7222</v>
      </c>
      <c r="E6" s="36">
        <v>7934</v>
      </c>
      <c r="F6" s="36">
        <v>8949</v>
      </c>
      <c r="G6" s="36">
        <v>9534</v>
      </c>
      <c r="H6" s="36">
        <v>9911</v>
      </c>
      <c r="I6" s="36">
        <v>10954</v>
      </c>
    </row>
    <row r="7" spans="1:9" x14ac:dyDescent="0.25">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25">
      <c r="A8" s="44" t="s">
        <v>0</v>
      </c>
      <c r="B8" s="36">
        <v>28</v>
      </c>
      <c r="C8" s="36">
        <v>19</v>
      </c>
      <c r="D8" s="36">
        <v>59</v>
      </c>
      <c r="E8" s="45">
        <v>54</v>
      </c>
      <c r="F8" s="45">
        <v>49</v>
      </c>
      <c r="G8" s="45">
        <v>89</v>
      </c>
      <c r="H8" s="36">
        <v>262</v>
      </c>
      <c r="I8" s="36">
        <v>205</v>
      </c>
    </row>
    <row r="9" spans="1:9" x14ac:dyDescent="0.25">
      <c r="A9" s="44" t="s">
        <v>136</v>
      </c>
      <c r="B9" s="36">
        <v>-58</v>
      </c>
      <c r="C9" s="36">
        <v>-140</v>
      </c>
      <c r="D9" s="36">
        <v>-196</v>
      </c>
      <c r="E9" s="45">
        <v>66</v>
      </c>
      <c r="F9" s="45">
        <v>-78</v>
      </c>
      <c r="G9" s="45">
        <v>139</v>
      </c>
      <c r="H9" s="36">
        <v>14</v>
      </c>
      <c r="I9" s="36">
        <v>-181</v>
      </c>
    </row>
    <row r="10" spans="1:9" x14ac:dyDescent="0.25">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25">
      <c r="A11" s="44" t="s">
        <v>1</v>
      </c>
      <c r="B11" s="45">
        <v>932</v>
      </c>
      <c r="C11" s="45">
        <v>863</v>
      </c>
      <c r="D11" s="45">
        <v>646</v>
      </c>
      <c r="E11" s="45">
        <v>2392</v>
      </c>
      <c r="F11" s="45">
        <v>772</v>
      </c>
      <c r="G11" s="45">
        <v>348</v>
      </c>
      <c r="H11" s="45">
        <v>934</v>
      </c>
      <c r="I11" s="45">
        <v>605</v>
      </c>
    </row>
    <row r="12" spans="1:9" ht="15.75" thickBot="1" x14ac:dyDescent="0.3">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75" thickTop="1" x14ac:dyDescent="0.25">
      <c r="A13" s="39" t="s">
        <v>139</v>
      </c>
    </row>
    <row r="14" spans="1:9" x14ac:dyDescent="0.25">
      <c r="A14" s="44" t="s">
        <v>140</v>
      </c>
      <c r="B14">
        <v>1.9</v>
      </c>
      <c r="C14">
        <v>2.21</v>
      </c>
      <c r="D14">
        <v>2.56</v>
      </c>
      <c r="E14">
        <v>1.19</v>
      </c>
      <c r="F14">
        <v>2.5499999999999998</v>
      </c>
      <c r="G14">
        <v>1.63</v>
      </c>
      <c r="H14">
        <v>3.64</v>
      </c>
      <c r="I14">
        <v>3.83</v>
      </c>
    </row>
    <row r="15" spans="1:9" x14ac:dyDescent="0.25">
      <c r="A15" s="44" t="s">
        <v>141</v>
      </c>
      <c r="B15">
        <v>1.85</v>
      </c>
      <c r="C15">
        <v>2.16</v>
      </c>
      <c r="D15">
        <v>2.5099999999999998</v>
      </c>
      <c r="E15">
        <v>1.17</v>
      </c>
      <c r="F15">
        <v>2.4900000000000002</v>
      </c>
      <c r="G15">
        <v>1.6</v>
      </c>
      <c r="H15">
        <v>3.56</v>
      </c>
      <c r="I15">
        <v>3.75</v>
      </c>
    </row>
    <row r="16" spans="1:9" x14ac:dyDescent="0.25">
      <c r="A16" s="39" t="s">
        <v>142</v>
      </c>
    </row>
    <row r="17" spans="1:9" x14ac:dyDescent="0.25">
      <c r="A17" s="44" t="s">
        <v>140</v>
      </c>
      <c r="B17">
        <v>1723.5</v>
      </c>
      <c r="C17">
        <v>1697.9</v>
      </c>
      <c r="D17">
        <v>1657.8</v>
      </c>
      <c r="E17">
        <v>1623.8</v>
      </c>
      <c r="F17">
        <v>1579.7</v>
      </c>
      <c r="G17" s="50">
        <v>1558.8</v>
      </c>
      <c r="H17" s="51">
        <v>1573</v>
      </c>
      <c r="I17" s="51">
        <v>1578.8</v>
      </c>
    </row>
    <row r="18" spans="1:9" x14ac:dyDescent="0.25">
      <c r="A18" s="44" t="s">
        <v>141</v>
      </c>
      <c r="B18">
        <v>1768.8</v>
      </c>
      <c r="C18">
        <v>1742.5</v>
      </c>
      <c r="D18">
        <v>1692</v>
      </c>
      <c r="E18">
        <v>1659.1</v>
      </c>
      <c r="F18">
        <v>1618.4</v>
      </c>
      <c r="G18" s="50">
        <v>1591.6</v>
      </c>
      <c r="H18" s="51">
        <v>1609.4</v>
      </c>
      <c r="I18" s="51">
        <v>1610.8</v>
      </c>
    </row>
    <row r="20" spans="1:9" x14ac:dyDescent="0.25">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25">
      <c r="A22" s="54" t="s">
        <v>144</v>
      </c>
      <c r="B22" s="54"/>
      <c r="C22" s="54"/>
      <c r="D22" s="54"/>
      <c r="E22" s="54"/>
      <c r="F22" s="54"/>
      <c r="G22" s="54"/>
      <c r="H22" s="54"/>
      <c r="I22" s="54"/>
    </row>
    <row r="23" spans="1:9" x14ac:dyDescent="0.25">
      <c r="A23" s="39" t="s">
        <v>145</v>
      </c>
    </row>
    <row r="24" spans="1:9" x14ac:dyDescent="0.25">
      <c r="A24" s="55" t="s">
        <v>146</v>
      </c>
      <c r="B24" s="36"/>
      <c r="C24" s="36"/>
      <c r="D24" s="36"/>
      <c r="E24" s="36"/>
      <c r="F24" s="36"/>
      <c r="G24" s="36"/>
      <c r="H24" s="36"/>
      <c r="I24" s="36"/>
    </row>
    <row r="25" spans="1:9" x14ac:dyDescent="0.25">
      <c r="A25" s="41" t="s">
        <v>147</v>
      </c>
      <c r="B25" s="36">
        <v>3852</v>
      </c>
      <c r="C25" s="36">
        <v>3138</v>
      </c>
      <c r="D25" s="36">
        <v>3808</v>
      </c>
      <c r="E25" s="36">
        <v>4249</v>
      </c>
      <c r="F25" s="36">
        <v>4466</v>
      </c>
      <c r="G25" s="36">
        <v>8348</v>
      </c>
      <c r="H25" s="36">
        <v>9889</v>
      </c>
      <c r="I25" s="36">
        <v>8574</v>
      </c>
    </row>
    <row r="26" spans="1:9" x14ac:dyDescent="0.25">
      <c r="A26" s="41" t="s">
        <v>148</v>
      </c>
      <c r="B26" s="36">
        <v>2072</v>
      </c>
      <c r="C26" s="36">
        <v>2319</v>
      </c>
      <c r="D26" s="36">
        <v>2371</v>
      </c>
      <c r="E26" s="36">
        <v>996</v>
      </c>
      <c r="F26" s="36">
        <v>197</v>
      </c>
      <c r="G26" s="36">
        <v>439</v>
      </c>
      <c r="H26" s="36">
        <v>3587</v>
      </c>
      <c r="I26" s="36">
        <v>4423</v>
      </c>
    </row>
    <row r="27" spans="1:9" x14ac:dyDescent="0.25">
      <c r="A27" s="41" t="s">
        <v>149</v>
      </c>
      <c r="B27" s="56">
        <v>3358</v>
      </c>
      <c r="C27" s="56">
        <v>3241</v>
      </c>
      <c r="D27" s="56">
        <v>3677</v>
      </c>
      <c r="E27" s="56">
        <v>3498</v>
      </c>
      <c r="F27" s="56">
        <v>4272</v>
      </c>
      <c r="G27" s="56">
        <v>2749</v>
      </c>
      <c r="H27" s="56">
        <v>4463</v>
      </c>
      <c r="I27" s="56">
        <v>4667</v>
      </c>
    </row>
    <row r="28" spans="1:9" x14ac:dyDescent="0.25">
      <c r="A28" s="41" t="s">
        <v>150</v>
      </c>
      <c r="B28" s="56">
        <v>4337</v>
      </c>
      <c r="C28" s="56">
        <v>4838</v>
      </c>
      <c r="D28" s="56">
        <v>5055</v>
      </c>
      <c r="E28" s="56">
        <v>5261</v>
      </c>
      <c r="F28" s="56">
        <v>5622</v>
      </c>
      <c r="G28" s="56">
        <v>7367</v>
      </c>
      <c r="H28" s="56">
        <v>6854</v>
      </c>
      <c r="I28" s="56">
        <v>8420</v>
      </c>
    </row>
    <row r="29" spans="1:9" x14ac:dyDescent="0.25">
      <c r="A29" s="41" t="s">
        <v>151</v>
      </c>
      <c r="B29" s="56">
        <v>1968</v>
      </c>
      <c r="C29" s="56">
        <v>1489</v>
      </c>
      <c r="D29" s="56">
        <v>1150</v>
      </c>
      <c r="E29" s="56">
        <v>1130</v>
      </c>
      <c r="F29" s="56">
        <v>1968</v>
      </c>
      <c r="G29" s="56">
        <v>1653</v>
      </c>
      <c r="H29" s="56">
        <v>1498</v>
      </c>
      <c r="I29" s="56">
        <v>2129</v>
      </c>
    </row>
    <row r="30" spans="1:9" x14ac:dyDescent="0.25">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25">
      <c r="A31" s="44" t="s">
        <v>153</v>
      </c>
      <c r="B31" s="45">
        <v>3011</v>
      </c>
      <c r="C31" s="45">
        <v>3520</v>
      </c>
      <c r="D31" s="45">
        <v>3989</v>
      </c>
      <c r="E31" s="45">
        <v>4454</v>
      </c>
      <c r="F31" s="45">
        <v>4744</v>
      </c>
      <c r="G31" s="45">
        <v>4866</v>
      </c>
      <c r="H31" s="45">
        <v>4904</v>
      </c>
      <c r="I31" s="45">
        <v>4791</v>
      </c>
    </row>
    <row r="32" spans="1:9" x14ac:dyDescent="0.25">
      <c r="A32" s="44" t="s">
        <v>2</v>
      </c>
      <c r="B32" s="45">
        <v>0</v>
      </c>
      <c r="C32" s="45">
        <v>0</v>
      </c>
      <c r="D32" s="45">
        <v>0</v>
      </c>
      <c r="E32" s="45">
        <v>0</v>
      </c>
      <c r="F32" s="45">
        <v>0</v>
      </c>
      <c r="G32" s="45">
        <v>3097</v>
      </c>
      <c r="H32" s="45">
        <v>3113</v>
      </c>
      <c r="I32" s="45">
        <v>2926</v>
      </c>
    </row>
    <row r="33" spans="1:9" x14ac:dyDescent="0.25">
      <c r="A33" s="44" t="s">
        <v>154</v>
      </c>
      <c r="B33" s="45">
        <v>281</v>
      </c>
      <c r="C33" s="45">
        <v>281</v>
      </c>
      <c r="D33" s="45">
        <v>283</v>
      </c>
      <c r="E33" s="45">
        <v>285</v>
      </c>
      <c r="F33" s="45">
        <v>283</v>
      </c>
      <c r="G33" s="45">
        <v>274</v>
      </c>
      <c r="H33" s="45">
        <v>269</v>
      </c>
      <c r="I33" s="45">
        <v>286</v>
      </c>
    </row>
    <row r="34" spans="1:9" x14ac:dyDescent="0.25">
      <c r="A34" s="44" t="s">
        <v>3</v>
      </c>
      <c r="B34" s="45">
        <v>131</v>
      </c>
      <c r="C34" s="45">
        <v>131</v>
      </c>
      <c r="D34" s="45">
        <v>139</v>
      </c>
      <c r="E34" s="45">
        <v>154</v>
      </c>
      <c r="F34" s="45">
        <v>154</v>
      </c>
      <c r="G34" s="45">
        <v>223</v>
      </c>
      <c r="H34" s="45">
        <v>242</v>
      </c>
      <c r="I34" s="45">
        <v>284</v>
      </c>
    </row>
    <row r="35" spans="1:9" x14ac:dyDescent="0.25">
      <c r="A35" s="44" t="s">
        <v>155</v>
      </c>
      <c r="B35" s="45">
        <v>2587</v>
      </c>
      <c r="C35" s="45">
        <v>2439</v>
      </c>
      <c r="D35" s="45">
        <v>2787</v>
      </c>
      <c r="E35" s="45">
        <v>2509</v>
      </c>
      <c r="F35" s="45">
        <v>2011</v>
      </c>
      <c r="G35" s="45">
        <v>2326</v>
      </c>
      <c r="H35" s="45">
        <v>2921</v>
      </c>
      <c r="I35" s="45">
        <v>3821</v>
      </c>
    </row>
    <row r="36" spans="1:9" ht="15.75" thickBot="1" x14ac:dyDescent="0.3">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75" thickTop="1" x14ac:dyDescent="0.25">
      <c r="A37" s="39" t="s">
        <v>157</v>
      </c>
      <c r="B37" s="36"/>
      <c r="C37" s="36"/>
      <c r="D37" s="36"/>
      <c r="E37" s="36"/>
      <c r="F37" s="36"/>
      <c r="G37" s="36"/>
      <c r="H37" s="36"/>
      <c r="I37" s="36"/>
    </row>
    <row r="38" spans="1:9" x14ac:dyDescent="0.25">
      <c r="A38" s="44" t="s">
        <v>158</v>
      </c>
      <c r="B38" s="36"/>
      <c r="C38" s="36"/>
      <c r="D38" s="36"/>
      <c r="E38" s="36"/>
      <c r="F38" s="36"/>
      <c r="G38" s="36"/>
      <c r="H38" s="36"/>
      <c r="I38" s="36"/>
    </row>
    <row r="39" spans="1:9" x14ac:dyDescent="0.25">
      <c r="A39" s="41" t="s">
        <v>4</v>
      </c>
      <c r="B39" s="56">
        <v>107</v>
      </c>
      <c r="C39" s="56">
        <v>44</v>
      </c>
      <c r="D39" s="56">
        <v>6</v>
      </c>
      <c r="E39" s="56">
        <v>6</v>
      </c>
      <c r="F39" s="56">
        <v>6</v>
      </c>
      <c r="G39" s="56">
        <v>3</v>
      </c>
      <c r="H39" s="56">
        <v>0</v>
      </c>
      <c r="I39" s="56">
        <v>500</v>
      </c>
    </row>
    <row r="40" spans="1:9" x14ac:dyDescent="0.25">
      <c r="A40" s="41" t="s">
        <v>5</v>
      </c>
      <c r="B40" s="56">
        <v>74</v>
      </c>
      <c r="C40" s="56">
        <v>1</v>
      </c>
      <c r="D40" s="56">
        <v>325</v>
      </c>
      <c r="E40" s="56">
        <v>336</v>
      </c>
      <c r="F40" s="56">
        <v>9</v>
      </c>
      <c r="G40" s="56">
        <v>248</v>
      </c>
      <c r="H40" s="56">
        <v>2</v>
      </c>
      <c r="I40" s="56">
        <v>10</v>
      </c>
    </row>
    <row r="41" spans="1:9" x14ac:dyDescent="0.25">
      <c r="A41" s="41" t="s">
        <v>159</v>
      </c>
      <c r="B41" s="56">
        <v>2131</v>
      </c>
      <c r="C41" s="56">
        <v>2191</v>
      </c>
      <c r="D41" s="56">
        <v>2048</v>
      </c>
      <c r="E41" s="56">
        <v>2279</v>
      </c>
      <c r="F41" s="56">
        <v>2612</v>
      </c>
      <c r="G41" s="56">
        <v>2248</v>
      </c>
      <c r="H41" s="56">
        <v>2836</v>
      </c>
      <c r="I41" s="56">
        <v>3358</v>
      </c>
    </row>
    <row r="42" spans="1:9" x14ac:dyDescent="0.25">
      <c r="A42" s="41" t="s">
        <v>160</v>
      </c>
      <c r="B42" s="56">
        <v>0</v>
      </c>
      <c r="C42" s="56">
        <v>0</v>
      </c>
      <c r="D42" s="56">
        <v>0</v>
      </c>
      <c r="E42" s="56">
        <v>0</v>
      </c>
      <c r="F42" s="56">
        <v>0</v>
      </c>
      <c r="G42" s="56">
        <v>445</v>
      </c>
      <c r="H42" s="56">
        <v>467</v>
      </c>
      <c r="I42" s="56">
        <v>420</v>
      </c>
    </row>
    <row r="43" spans="1:9" x14ac:dyDescent="0.25">
      <c r="A43" s="41" t="s">
        <v>161</v>
      </c>
      <c r="B43" s="56">
        <v>3949</v>
      </c>
      <c r="C43" s="56">
        <v>3037</v>
      </c>
      <c r="D43" s="56">
        <v>3011</v>
      </c>
      <c r="E43" s="56">
        <v>3269</v>
      </c>
      <c r="F43" s="56">
        <v>5010</v>
      </c>
      <c r="G43" s="56">
        <v>5184</v>
      </c>
      <c r="H43" s="56">
        <v>6063</v>
      </c>
      <c r="I43" s="56">
        <v>6220</v>
      </c>
    </row>
    <row r="44" spans="1:9" x14ac:dyDescent="0.25">
      <c r="A44" s="41" t="s">
        <v>162</v>
      </c>
      <c r="B44" s="56">
        <v>71</v>
      </c>
      <c r="C44" s="56">
        <v>85</v>
      </c>
      <c r="D44" s="56">
        <v>84</v>
      </c>
      <c r="E44" s="56">
        <v>150</v>
      </c>
      <c r="F44" s="56">
        <v>229</v>
      </c>
      <c r="G44" s="56">
        <v>156</v>
      </c>
      <c r="H44" s="56">
        <v>306</v>
      </c>
      <c r="I44" s="56">
        <v>222</v>
      </c>
    </row>
    <row r="45" spans="1:9" x14ac:dyDescent="0.25">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25">
      <c r="A46" s="44" t="s">
        <v>6</v>
      </c>
      <c r="B46" s="45">
        <v>1079</v>
      </c>
      <c r="C46" s="45">
        <v>2010</v>
      </c>
      <c r="D46" s="45">
        <v>3471</v>
      </c>
      <c r="E46" s="45">
        <v>3468</v>
      </c>
      <c r="F46" s="45">
        <v>3464</v>
      </c>
      <c r="G46" s="45">
        <v>9406</v>
      </c>
      <c r="H46" s="45">
        <v>9413</v>
      </c>
      <c r="I46" s="45">
        <v>8920</v>
      </c>
    </row>
    <row r="47" spans="1:9" x14ac:dyDescent="0.25">
      <c r="A47" s="44" t="s">
        <v>7</v>
      </c>
      <c r="B47" s="45">
        <v>0</v>
      </c>
      <c r="C47" s="45">
        <v>0</v>
      </c>
      <c r="D47" s="45">
        <v>0</v>
      </c>
      <c r="E47" s="45">
        <v>0</v>
      </c>
      <c r="F47" s="45">
        <v>0</v>
      </c>
      <c r="G47" s="45">
        <v>2913</v>
      </c>
      <c r="H47" s="45">
        <v>2931</v>
      </c>
      <c r="I47" s="45">
        <v>2777</v>
      </c>
    </row>
    <row r="48" spans="1:9" x14ac:dyDescent="0.25">
      <c r="A48" s="44" t="s">
        <v>164</v>
      </c>
      <c r="B48" s="45">
        <v>1479</v>
      </c>
      <c r="C48" s="45">
        <v>1770</v>
      </c>
      <c r="D48" s="45">
        <v>1907</v>
      </c>
      <c r="E48" s="45">
        <v>3216</v>
      </c>
      <c r="F48" s="45">
        <v>3347</v>
      </c>
      <c r="G48" s="45">
        <v>2684</v>
      </c>
      <c r="H48" s="45">
        <v>2955</v>
      </c>
      <c r="I48" s="45">
        <v>2613</v>
      </c>
    </row>
    <row r="49" spans="1:9" x14ac:dyDescent="0.25">
      <c r="A49" s="44" t="s">
        <v>165</v>
      </c>
      <c r="B49" s="45" t="s">
        <v>166</v>
      </c>
      <c r="C49" s="45" t="s">
        <v>166</v>
      </c>
      <c r="D49" s="45" t="s">
        <v>166</v>
      </c>
      <c r="E49" s="45" t="s">
        <v>166</v>
      </c>
      <c r="F49" s="45" t="s">
        <v>166</v>
      </c>
      <c r="G49" s="45"/>
      <c r="H49" s="45"/>
      <c r="I49" s="45"/>
    </row>
    <row r="50" spans="1:9" x14ac:dyDescent="0.25">
      <c r="A50" s="41" t="s">
        <v>167</v>
      </c>
      <c r="B50" s="45" t="s">
        <v>166</v>
      </c>
      <c r="C50" s="45" t="s">
        <v>166</v>
      </c>
      <c r="D50" s="45" t="s">
        <v>166</v>
      </c>
      <c r="E50" s="45" t="s">
        <v>166</v>
      </c>
      <c r="F50" s="45" t="s">
        <v>166</v>
      </c>
      <c r="G50" s="45" t="s">
        <v>166</v>
      </c>
      <c r="H50" s="45" t="s">
        <v>168</v>
      </c>
      <c r="I50" s="45" t="s">
        <v>169</v>
      </c>
    </row>
    <row r="51" spans="1:9" x14ac:dyDescent="0.25">
      <c r="A51" s="44" t="s">
        <v>170</v>
      </c>
      <c r="B51" s="45"/>
      <c r="C51" s="45"/>
      <c r="D51" s="45"/>
      <c r="E51" s="45"/>
      <c r="F51" s="45"/>
      <c r="G51" s="45"/>
      <c r="H51" s="45"/>
      <c r="I51" s="45"/>
    </row>
    <row r="52" spans="1:9" x14ac:dyDescent="0.25">
      <c r="A52" s="41" t="s">
        <v>171</v>
      </c>
      <c r="B52" s="45"/>
      <c r="C52" s="45"/>
      <c r="D52" s="45"/>
      <c r="E52" s="45"/>
      <c r="F52" s="45"/>
      <c r="G52" s="45"/>
      <c r="H52" s="45"/>
      <c r="I52" s="45"/>
    </row>
    <row r="53" spans="1:9" x14ac:dyDescent="0.25">
      <c r="A53" s="57" t="s">
        <v>172</v>
      </c>
      <c r="B53" s="45" t="s">
        <v>166</v>
      </c>
      <c r="C53" s="45" t="s">
        <v>166</v>
      </c>
      <c r="D53" s="45" t="s">
        <v>166</v>
      </c>
      <c r="E53" s="45" t="s">
        <v>166</v>
      </c>
      <c r="F53" s="45" t="s">
        <v>166</v>
      </c>
      <c r="G53" s="45" t="s">
        <v>166</v>
      </c>
      <c r="H53" s="45"/>
      <c r="I53" s="45"/>
    </row>
    <row r="54" spans="1:9" x14ac:dyDescent="0.25">
      <c r="A54" s="57" t="s">
        <v>173</v>
      </c>
      <c r="B54" s="45">
        <v>3</v>
      </c>
      <c r="C54" s="45">
        <v>3</v>
      </c>
      <c r="D54" s="45">
        <v>3</v>
      </c>
      <c r="E54" s="45">
        <v>3</v>
      </c>
      <c r="F54" s="45">
        <v>3</v>
      </c>
      <c r="G54" s="45">
        <v>3</v>
      </c>
      <c r="H54" s="45">
        <v>3</v>
      </c>
      <c r="I54" s="45">
        <v>3</v>
      </c>
    </row>
    <row r="55" spans="1:9" x14ac:dyDescent="0.25">
      <c r="A55" s="57" t="s">
        <v>174</v>
      </c>
      <c r="B55" s="45">
        <v>6773</v>
      </c>
      <c r="C55" s="45">
        <v>7786</v>
      </c>
      <c r="D55" s="45">
        <v>8638</v>
      </c>
      <c r="E55" s="45">
        <v>6384</v>
      </c>
      <c r="F55" s="45">
        <v>7163</v>
      </c>
      <c r="G55" s="45">
        <v>8299</v>
      </c>
      <c r="H55" s="45">
        <v>9965</v>
      </c>
      <c r="I55" s="45">
        <v>11484</v>
      </c>
    </row>
    <row r="56" spans="1:9" x14ac:dyDescent="0.25">
      <c r="A56" s="57" t="s">
        <v>175</v>
      </c>
      <c r="B56" s="45">
        <v>1246</v>
      </c>
      <c r="C56" s="45">
        <v>318</v>
      </c>
      <c r="D56" s="45">
        <v>-213</v>
      </c>
      <c r="E56" s="45">
        <v>-92</v>
      </c>
      <c r="F56" s="45">
        <v>231</v>
      </c>
      <c r="G56" s="45">
        <v>-56</v>
      </c>
      <c r="H56" s="45">
        <v>-380</v>
      </c>
      <c r="I56" s="45">
        <v>318</v>
      </c>
    </row>
    <row r="57" spans="1:9" x14ac:dyDescent="0.25">
      <c r="A57" s="57" t="s">
        <v>176</v>
      </c>
      <c r="B57" s="45">
        <v>4685</v>
      </c>
      <c r="C57" s="45">
        <v>4151</v>
      </c>
      <c r="D57" s="45">
        <v>3979</v>
      </c>
      <c r="E57" s="45">
        <v>3517</v>
      </c>
      <c r="F57" s="45">
        <v>1643</v>
      </c>
      <c r="G57" s="45">
        <v>-191</v>
      </c>
      <c r="H57" s="45">
        <v>3179</v>
      </c>
      <c r="I57" s="45">
        <v>3476</v>
      </c>
    </row>
    <row r="58" spans="1:9" x14ac:dyDescent="0.25">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75" thickBot="1" x14ac:dyDescent="0.3">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75" thickTop="1" x14ac:dyDescent="0.25">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25">
      <c r="A61" s="54" t="s">
        <v>180</v>
      </c>
      <c r="B61" s="54"/>
      <c r="C61" s="54"/>
      <c r="D61" s="54"/>
      <c r="E61" s="54"/>
      <c r="F61" s="54"/>
      <c r="G61" s="54"/>
      <c r="H61" s="54"/>
      <c r="I61" s="54"/>
    </row>
    <row r="62" spans="1:9" x14ac:dyDescent="0.25">
      <c r="A62" t="s">
        <v>181</v>
      </c>
    </row>
    <row r="63" spans="1:9" x14ac:dyDescent="0.25">
      <c r="A63" s="39" t="s">
        <v>182</v>
      </c>
    </row>
    <row r="64" spans="1:9" x14ac:dyDescent="0.25">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25">
      <c r="A65" s="44" t="s">
        <v>184</v>
      </c>
      <c r="B65" s="36"/>
      <c r="C65" s="36"/>
      <c r="D65" s="36"/>
      <c r="E65" s="36"/>
      <c r="F65" s="36"/>
      <c r="G65" s="36"/>
      <c r="H65" s="36"/>
      <c r="I65" s="36"/>
    </row>
    <row r="66" spans="1:9" x14ac:dyDescent="0.25">
      <c r="A66" s="41" t="s">
        <v>185</v>
      </c>
      <c r="B66" s="45">
        <v>606</v>
      </c>
      <c r="C66" s="45">
        <v>649</v>
      </c>
      <c r="D66" s="45">
        <v>706</v>
      </c>
      <c r="E66" s="45">
        <v>747</v>
      </c>
      <c r="F66" s="45">
        <v>705</v>
      </c>
      <c r="G66" s="45">
        <v>721</v>
      </c>
      <c r="H66" s="36">
        <v>744</v>
      </c>
      <c r="I66" s="36">
        <v>717</v>
      </c>
    </row>
    <row r="67" spans="1:9" x14ac:dyDescent="0.25">
      <c r="A67" s="41" t="s">
        <v>186</v>
      </c>
      <c r="B67" s="45">
        <v>-113</v>
      </c>
      <c r="C67" s="45">
        <v>-80</v>
      </c>
      <c r="D67" s="45">
        <v>-273</v>
      </c>
      <c r="E67" s="45">
        <v>647</v>
      </c>
      <c r="F67" s="45">
        <v>34</v>
      </c>
      <c r="G67" s="45">
        <v>-380</v>
      </c>
      <c r="H67" s="36">
        <v>-385</v>
      </c>
      <c r="I67" s="36">
        <v>-650</v>
      </c>
    </row>
    <row r="68" spans="1:9" x14ac:dyDescent="0.25">
      <c r="A68" s="41" t="s">
        <v>187</v>
      </c>
      <c r="B68" s="45">
        <v>191</v>
      </c>
      <c r="C68" s="45">
        <v>236</v>
      </c>
      <c r="D68" s="45">
        <v>215</v>
      </c>
      <c r="E68" s="45">
        <v>218</v>
      </c>
      <c r="F68" s="45">
        <v>325</v>
      </c>
      <c r="G68" s="45">
        <v>429</v>
      </c>
      <c r="H68" s="36">
        <v>611</v>
      </c>
      <c r="I68" s="36">
        <v>638</v>
      </c>
    </row>
    <row r="69" spans="1:9" x14ac:dyDescent="0.25">
      <c r="A69" s="41" t="s">
        <v>188</v>
      </c>
      <c r="B69" s="45">
        <v>43</v>
      </c>
      <c r="C69" s="45">
        <v>13</v>
      </c>
      <c r="D69" s="45">
        <v>10</v>
      </c>
      <c r="E69" s="45">
        <v>27</v>
      </c>
      <c r="F69" s="45">
        <v>15</v>
      </c>
      <c r="G69" s="45">
        <v>398</v>
      </c>
      <c r="H69" s="36">
        <v>53</v>
      </c>
      <c r="I69" s="36">
        <v>123</v>
      </c>
    </row>
    <row r="70" spans="1:9" x14ac:dyDescent="0.25">
      <c r="A70" s="41" t="s">
        <v>189</v>
      </c>
      <c r="B70" s="45">
        <v>424</v>
      </c>
      <c r="C70" s="45">
        <v>98</v>
      </c>
      <c r="D70" s="45">
        <v>-117</v>
      </c>
      <c r="E70" s="45">
        <v>-99</v>
      </c>
      <c r="F70" s="45">
        <v>233</v>
      </c>
      <c r="G70" s="45">
        <v>23</v>
      </c>
      <c r="H70" s="36">
        <v>-138</v>
      </c>
      <c r="I70" s="36">
        <v>-26</v>
      </c>
    </row>
    <row r="71" spans="1:9" x14ac:dyDescent="0.25">
      <c r="A71" s="44" t="s">
        <v>190</v>
      </c>
      <c r="B71" s="45"/>
      <c r="C71" s="45"/>
      <c r="D71" s="45"/>
      <c r="E71" s="45"/>
      <c r="F71" s="45"/>
      <c r="G71" s="45"/>
      <c r="H71" s="36"/>
      <c r="I71" s="36"/>
    </row>
    <row r="72" spans="1:9" x14ac:dyDescent="0.25">
      <c r="A72" s="41" t="s">
        <v>191</v>
      </c>
      <c r="B72" s="45">
        <v>-216</v>
      </c>
      <c r="C72" s="45">
        <v>60</v>
      </c>
      <c r="D72" s="45">
        <v>-426</v>
      </c>
      <c r="E72" s="45">
        <v>187</v>
      </c>
      <c r="F72" s="45">
        <v>-270</v>
      </c>
      <c r="G72" s="45">
        <v>1239</v>
      </c>
      <c r="H72" s="36">
        <v>-1606</v>
      </c>
      <c r="I72" s="36">
        <v>-504</v>
      </c>
    </row>
    <row r="73" spans="1:9" x14ac:dyDescent="0.25">
      <c r="A73" s="41" t="s">
        <v>192</v>
      </c>
      <c r="B73" s="45">
        <v>-621</v>
      </c>
      <c r="C73" s="45">
        <v>-590</v>
      </c>
      <c r="D73" s="45">
        <v>-231</v>
      </c>
      <c r="E73" s="45">
        <v>-255</v>
      </c>
      <c r="F73" s="45">
        <v>-490</v>
      </c>
      <c r="G73" s="45">
        <v>-1854</v>
      </c>
      <c r="H73" s="36">
        <v>507</v>
      </c>
      <c r="I73" s="36">
        <v>-1676</v>
      </c>
    </row>
    <row r="74" spans="1:9" x14ac:dyDescent="0.25">
      <c r="A74" s="41" t="s">
        <v>193</v>
      </c>
      <c r="B74" s="45">
        <v>-144</v>
      </c>
      <c r="C74" s="45">
        <v>-161</v>
      </c>
      <c r="D74" s="45">
        <v>-120</v>
      </c>
      <c r="E74" s="45">
        <v>35</v>
      </c>
      <c r="F74" s="45">
        <v>-203</v>
      </c>
      <c r="G74" s="45">
        <v>-654</v>
      </c>
      <c r="H74" s="36">
        <v>-182</v>
      </c>
      <c r="I74" s="36">
        <v>-845</v>
      </c>
    </row>
    <row r="75" spans="1:9" x14ac:dyDescent="0.25">
      <c r="A75" s="41" t="s">
        <v>194</v>
      </c>
      <c r="B75" s="45">
        <v>1237</v>
      </c>
      <c r="C75" s="45">
        <v>-889</v>
      </c>
      <c r="D75" s="45">
        <v>-158</v>
      </c>
      <c r="E75" s="45">
        <v>1515</v>
      </c>
      <c r="F75" s="45">
        <v>1525</v>
      </c>
      <c r="G75" s="45">
        <v>24</v>
      </c>
      <c r="H75" s="36">
        <v>1326</v>
      </c>
      <c r="I75" s="36">
        <v>1365</v>
      </c>
    </row>
    <row r="76" spans="1:9" x14ac:dyDescent="0.25">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25">
      <c r="A77" s="39" t="s">
        <v>196</v>
      </c>
      <c r="B77" s="36"/>
      <c r="C77" s="36"/>
      <c r="D77" s="36"/>
      <c r="E77" s="36"/>
      <c r="F77" s="36"/>
      <c r="G77" s="36"/>
      <c r="H77" s="36"/>
      <c r="I77" s="36"/>
    </row>
    <row r="78" spans="1:9" x14ac:dyDescent="0.25">
      <c r="A78" s="44" t="s">
        <v>197</v>
      </c>
      <c r="B78" s="45">
        <v>-4936</v>
      </c>
      <c r="C78" s="45">
        <v>-5367</v>
      </c>
      <c r="D78" s="45">
        <v>-5928</v>
      </c>
      <c r="E78" s="45">
        <v>-4783</v>
      </c>
      <c r="F78" s="45">
        <v>-2937</v>
      </c>
      <c r="G78" s="45">
        <v>-2426</v>
      </c>
      <c r="H78" s="45">
        <v>-9961</v>
      </c>
      <c r="I78" s="45">
        <v>-12913</v>
      </c>
    </row>
    <row r="79" spans="1:9" x14ac:dyDescent="0.25">
      <c r="A79" s="44" t="s">
        <v>198</v>
      </c>
      <c r="B79" s="45">
        <v>3655</v>
      </c>
      <c r="C79" s="45">
        <v>2924</v>
      </c>
      <c r="D79" s="45">
        <v>3623</v>
      </c>
      <c r="E79" s="45">
        <v>3613</v>
      </c>
      <c r="F79" s="45">
        <v>1715</v>
      </c>
      <c r="G79" s="45">
        <v>74</v>
      </c>
      <c r="H79" s="45">
        <v>4236</v>
      </c>
      <c r="I79" s="45">
        <v>8199</v>
      </c>
    </row>
    <row r="80" spans="1:9" x14ac:dyDescent="0.25">
      <c r="A80" s="44" t="s">
        <v>199</v>
      </c>
      <c r="B80" s="45">
        <v>2216</v>
      </c>
      <c r="C80" s="45">
        <v>2386</v>
      </c>
      <c r="D80" s="45">
        <v>2423</v>
      </c>
      <c r="E80" s="45">
        <v>2496</v>
      </c>
      <c r="F80" s="45">
        <v>2072</v>
      </c>
      <c r="G80" s="45">
        <v>2379</v>
      </c>
      <c r="H80" s="45">
        <v>2449</v>
      </c>
      <c r="I80" s="45">
        <v>3967</v>
      </c>
    </row>
    <row r="81" spans="1:9" x14ac:dyDescent="0.25">
      <c r="A81" s="44"/>
      <c r="B81" s="45">
        <v>-150</v>
      </c>
      <c r="C81" s="45">
        <v>150</v>
      </c>
      <c r="D81" s="45">
        <v>0</v>
      </c>
      <c r="E81" s="45">
        <v>0</v>
      </c>
      <c r="F81" s="45">
        <v>0</v>
      </c>
      <c r="G81" s="45">
        <v>0</v>
      </c>
      <c r="H81" s="45">
        <v>0</v>
      </c>
      <c r="I81" s="45">
        <v>0</v>
      </c>
    </row>
    <row r="82" spans="1:9" x14ac:dyDescent="0.25">
      <c r="A82" s="44" t="s">
        <v>200</v>
      </c>
      <c r="B82" s="45">
        <v>-963</v>
      </c>
      <c r="C82" s="45">
        <v>-1143</v>
      </c>
      <c r="D82" s="45">
        <v>-1105</v>
      </c>
      <c r="E82" s="45">
        <v>-1028</v>
      </c>
      <c r="F82" s="45">
        <v>-1119</v>
      </c>
      <c r="G82" s="45">
        <v>-1086</v>
      </c>
      <c r="H82" s="45">
        <v>-695</v>
      </c>
      <c r="I82" s="45">
        <v>-758</v>
      </c>
    </row>
    <row r="83" spans="1:9" x14ac:dyDescent="0.25">
      <c r="A83" s="44"/>
      <c r="B83" s="45">
        <v>3</v>
      </c>
      <c r="C83" s="45">
        <v>10</v>
      </c>
      <c r="D83" s="45">
        <v>13</v>
      </c>
      <c r="E83" s="45">
        <v>3</v>
      </c>
      <c r="F83" s="45">
        <v>0</v>
      </c>
      <c r="G83" s="45">
        <v>0</v>
      </c>
      <c r="H83" s="45">
        <v>0</v>
      </c>
      <c r="I83" s="45">
        <v>0</v>
      </c>
    </row>
    <row r="84" spans="1:9" x14ac:dyDescent="0.25">
      <c r="A84" s="44" t="s">
        <v>201</v>
      </c>
      <c r="B84" s="45">
        <v>0</v>
      </c>
      <c r="C84" s="45">
        <v>6</v>
      </c>
      <c r="D84" s="45">
        <v>-34</v>
      </c>
      <c r="E84" s="45">
        <v>-25</v>
      </c>
      <c r="F84" s="45">
        <v>5</v>
      </c>
      <c r="G84" s="45">
        <v>31</v>
      </c>
      <c r="H84" s="45">
        <v>171</v>
      </c>
      <c r="I84" s="45">
        <v>-19</v>
      </c>
    </row>
    <row r="85" spans="1:9" x14ac:dyDescent="0.25">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25">
      <c r="A86" s="39" t="s">
        <v>203</v>
      </c>
      <c r="B86" s="36"/>
      <c r="C86" s="36"/>
      <c r="D86" s="36"/>
      <c r="E86" s="36"/>
      <c r="F86" s="36"/>
      <c r="G86" s="36"/>
      <c r="H86" s="36"/>
      <c r="I86" s="36"/>
    </row>
    <row r="87" spans="1:9" x14ac:dyDescent="0.25">
      <c r="A87" s="44" t="s">
        <v>204</v>
      </c>
      <c r="B87" s="36">
        <v>0</v>
      </c>
      <c r="C87" s="36">
        <v>981</v>
      </c>
      <c r="D87" s="36">
        <v>1482</v>
      </c>
      <c r="E87" s="36">
        <v>0</v>
      </c>
      <c r="F87" s="36">
        <v>0</v>
      </c>
      <c r="G87" s="36">
        <v>6134</v>
      </c>
      <c r="H87" s="36">
        <v>0</v>
      </c>
      <c r="I87" s="36">
        <v>0</v>
      </c>
    </row>
    <row r="88" spans="1:9" x14ac:dyDescent="0.25">
      <c r="A88" s="44" t="s">
        <v>205</v>
      </c>
      <c r="B88" s="36">
        <v>-63</v>
      </c>
      <c r="C88" s="36">
        <v>-67</v>
      </c>
      <c r="D88" s="36">
        <v>327</v>
      </c>
      <c r="E88" s="36">
        <v>13</v>
      </c>
      <c r="F88" s="36">
        <v>-325</v>
      </c>
      <c r="G88" s="36">
        <v>49</v>
      </c>
      <c r="H88" s="36">
        <v>-52</v>
      </c>
      <c r="I88" s="36">
        <v>15</v>
      </c>
    </row>
    <row r="89" spans="1:9" x14ac:dyDescent="0.25">
      <c r="A89" s="44" t="s">
        <v>206</v>
      </c>
      <c r="B89" s="36">
        <v>-7</v>
      </c>
      <c r="C89" s="36">
        <v>-106</v>
      </c>
      <c r="D89" s="36">
        <v>-44</v>
      </c>
      <c r="E89" s="36">
        <v>-6</v>
      </c>
      <c r="F89" s="36">
        <v>-6</v>
      </c>
      <c r="G89" s="36">
        <v>-6</v>
      </c>
      <c r="H89" s="36">
        <v>-197</v>
      </c>
      <c r="I89" s="36">
        <v>0</v>
      </c>
    </row>
    <row r="90" spans="1:9" x14ac:dyDescent="0.25">
      <c r="A90" s="44" t="s">
        <v>207</v>
      </c>
      <c r="B90" s="36">
        <v>514</v>
      </c>
      <c r="C90" s="36">
        <v>507</v>
      </c>
      <c r="D90" s="36">
        <v>489</v>
      </c>
      <c r="E90" s="36">
        <v>733</v>
      </c>
      <c r="F90" s="36">
        <v>700</v>
      </c>
      <c r="G90" s="36">
        <v>885</v>
      </c>
      <c r="H90" s="36">
        <v>1172</v>
      </c>
      <c r="I90" s="36">
        <v>1151</v>
      </c>
    </row>
    <row r="91" spans="1:9" x14ac:dyDescent="0.25">
      <c r="A91" s="44" t="s">
        <v>208</v>
      </c>
      <c r="B91" s="36">
        <v>-2534</v>
      </c>
      <c r="C91" s="36">
        <v>-3238</v>
      </c>
      <c r="D91" s="36">
        <v>-3223</v>
      </c>
      <c r="E91" s="36">
        <v>-4254</v>
      </c>
      <c r="F91" s="36">
        <v>-4286</v>
      </c>
      <c r="G91" s="36">
        <v>-3067</v>
      </c>
      <c r="H91" s="36">
        <v>-608</v>
      </c>
      <c r="I91" s="36">
        <v>-4014</v>
      </c>
    </row>
    <row r="92" spans="1:9" x14ac:dyDescent="0.25">
      <c r="A92" s="44" t="s">
        <v>209</v>
      </c>
      <c r="B92" s="36">
        <v>-899</v>
      </c>
      <c r="C92" s="36">
        <v>-1022</v>
      </c>
      <c r="D92" s="36">
        <v>-1133</v>
      </c>
      <c r="E92" s="36">
        <v>-1243</v>
      </c>
      <c r="F92" s="36">
        <v>-1332</v>
      </c>
      <c r="G92" s="36">
        <v>-1452</v>
      </c>
      <c r="H92" s="36">
        <v>-1638</v>
      </c>
      <c r="I92" s="36">
        <v>-1837</v>
      </c>
    </row>
    <row r="93" spans="1:9" x14ac:dyDescent="0.25">
      <c r="A93" s="44" t="s">
        <v>210</v>
      </c>
      <c r="B93" s="36">
        <f>(218-19)</f>
        <v>199</v>
      </c>
      <c r="C93" s="36">
        <f>(281-7)</f>
        <v>274</v>
      </c>
      <c r="D93" s="36">
        <f>(-17-29)</f>
        <v>-46</v>
      </c>
      <c r="E93" s="36">
        <f>(-23-55)</f>
        <v>-78</v>
      </c>
      <c r="F93" s="36">
        <v>-44</v>
      </c>
      <c r="G93" s="36">
        <v>-52</v>
      </c>
      <c r="H93" s="36">
        <v>-136</v>
      </c>
      <c r="I93" s="36">
        <v>-151</v>
      </c>
    </row>
    <row r="94" spans="1:9" x14ac:dyDescent="0.25">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25">
      <c r="A95" s="44" t="s">
        <v>212</v>
      </c>
      <c r="B95" s="45">
        <v>-83</v>
      </c>
      <c r="C95" s="45">
        <v>-105</v>
      </c>
      <c r="D95" s="45">
        <v>-20</v>
      </c>
      <c r="E95" s="45">
        <v>45</v>
      </c>
      <c r="F95" s="45">
        <v>-129</v>
      </c>
      <c r="G95" s="45">
        <v>-66</v>
      </c>
      <c r="H95" s="45">
        <v>143</v>
      </c>
      <c r="I95" s="45">
        <v>-143</v>
      </c>
    </row>
    <row r="96" spans="1:9" x14ac:dyDescent="0.25">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25">
      <c r="A97" t="s">
        <v>214</v>
      </c>
      <c r="B97" s="36">
        <v>2220</v>
      </c>
      <c r="C97" s="36">
        <v>3852</v>
      </c>
      <c r="D97" s="36">
        <v>3138</v>
      </c>
      <c r="E97" s="36">
        <v>3808</v>
      </c>
      <c r="F97" s="36">
        <v>4249</v>
      </c>
      <c r="G97" s="36">
        <v>4466</v>
      </c>
      <c r="H97" s="36">
        <v>8348</v>
      </c>
      <c r="I97" s="36">
        <f>+H98</f>
        <v>9889</v>
      </c>
    </row>
    <row r="98" spans="1:9" ht="15.75" thickBot="1" x14ac:dyDescent="0.3">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75" thickTop="1" x14ac:dyDescent="0.25">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25">
      <c r="A100" t="s">
        <v>217</v>
      </c>
      <c r="B100" s="36"/>
      <c r="C100" s="36"/>
      <c r="D100" s="36"/>
      <c r="E100" s="36"/>
      <c r="F100" s="36"/>
      <c r="G100" s="36"/>
      <c r="H100" s="36"/>
      <c r="I100" s="36"/>
    </row>
    <row r="101" spans="1:9" x14ac:dyDescent="0.25">
      <c r="A101" s="44" t="s">
        <v>218</v>
      </c>
      <c r="B101" s="36"/>
      <c r="C101" s="36"/>
      <c r="D101" s="36"/>
      <c r="E101" s="36"/>
      <c r="F101" s="36"/>
      <c r="G101" s="36"/>
      <c r="H101" s="36"/>
      <c r="I101" s="36"/>
    </row>
    <row r="102" spans="1:9" x14ac:dyDescent="0.25">
      <c r="A102" s="41" t="s">
        <v>219</v>
      </c>
      <c r="B102" s="36">
        <v>53</v>
      </c>
      <c r="C102" s="36">
        <v>70</v>
      </c>
      <c r="D102" s="36">
        <v>98</v>
      </c>
      <c r="E102" s="36">
        <v>125</v>
      </c>
      <c r="F102" s="36">
        <v>153</v>
      </c>
      <c r="G102" s="36">
        <v>140</v>
      </c>
      <c r="H102" s="36">
        <v>293</v>
      </c>
      <c r="I102" s="36">
        <v>290</v>
      </c>
    </row>
    <row r="103" spans="1:9" x14ac:dyDescent="0.25">
      <c r="A103" s="41" t="s">
        <v>220</v>
      </c>
      <c r="B103" s="36">
        <v>1262</v>
      </c>
      <c r="C103" s="36">
        <v>748</v>
      </c>
      <c r="D103" s="36">
        <v>703</v>
      </c>
      <c r="E103" s="36">
        <v>529</v>
      </c>
      <c r="F103" s="36">
        <v>757</v>
      </c>
      <c r="G103" s="36">
        <v>1028</v>
      </c>
      <c r="H103" s="36">
        <v>1177</v>
      </c>
      <c r="I103" s="36">
        <v>1231</v>
      </c>
    </row>
    <row r="104" spans="1:9" x14ac:dyDescent="0.25">
      <c r="A104" s="44" t="s">
        <v>221</v>
      </c>
      <c r="B104" s="56">
        <v>206</v>
      </c>
      <c r="C104" s="56">
        <v>252</v>
      </c>
      <c r="D104" s="56">
        <v>266</v>
      </c>
      <c r="E104" s="56">
        <v>294</v>
      </c>
      <c r="F104" s="56">
        <v>160</v>
      </c>
      <c r="G104" s="56">
        <v>121</v>
      </c>
      <c r="H104" s="56">
        <v>179</v>
      </c>
      <c r="I104" s="56">
        <v>160</v>
      </c>
    </row>
    <row r="105" spans="1:9" x14ac:dyDescent="0.25">
      <c r="A105" s="44" t="s">
        <v>222</v>
      </c>
      <c r="B105" s="36">
        <v>240</v>
      </c>
      <c r="C105" s="36">
        <v>271</v>
      </c>
      <c r="D105" s="36">
        <v>300</v>
      </c>
      <c r="E105" s="36">
        <v>320</v>
      </c>
      <c r="F105" s="36">
        <v>347</v>
      </c>
      <c r="G105" s="36">
        <v>385</v>
      </c>
      <c r="H105" s="36">
        <v>438</v>
      </c>
      <c r="I105" s="36">
        <v>480</v>
      </c>
    </row>
    <row r="107" spans="1:9" x14ac:dyDescent="0.25">
      <c r="A107" s="54" t="s">
        <v>223</v>
      </c>
      <c r="B107" s="54"/>
      <c r="C107" s="54"/>
      <c r="D107" s="54"/>
      <c r="E107" s="54"/>
      <c r="F107" s="54"/>
      <c r="G107" s="54"/>
      <c r="H107" s="54"/>
      <c r="I107" s="54"/>
    </row>
    <row r="108" spans="1:9" x14ac:dyDescent="0.25">
      <c r="A108" s="61" t="s">
        <v>224</v>
      </c>
      <c r="B108" s="36"/>
      <c r="C108" s="36"/>
      <c r="D108" s="36"/>
      <c r="E108" s="36"/>
      <c r="F108" s="36"/>
      <c r="G108" s="36"/>
      <c r="H108" s="36"/>
      <c r="I108" s="36"/>
    </row>
    <row r="109" spans="1:9" x14ac:dyDescent="0.25">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25">
      <c r="A110" s="41" t="s">
        <v>8</v>
      </c>
      <c r="B110" s="62">
        <v>8506</v>
      </c>
      <c r="C110" s="62">
        <v>9299</v>
      </c>
      <c r="D110" s="62">
        <v>9684</v>
      </c>
      <c r="E110" s="62">
        <v>9322</v>
      </c>
      <c r="F110" s="62">
        <v>10045</v>
      </c>
      <c r="G110" s="62">
        <v>9329</v>
      </c>
      <c r="H110" s="63">
        <v>11644</v>
      </c>
      <c r="I110" s="63">
        <v>12228</v>
      </c>
    </row>
    <row r="111" spans="1:9" x14ac:dyDescent="0.25">
      <c r="A111" s="41" t="s">
        <v>9</v>
      </c>
      <c r="B111" s="62">
        <v>4410</v>
      </c>
      <c r="C111" s="62">
        <v>4746</v>
      </c>
      <c r="D111" s="62">
        <v>4886</v>
      </c>
      <c r="E111" s="62">
        <v>4938</v>
      </c>
      <c r="F111" s="62">
        <v>5260</v>
      </c>
      <c r="G111" s="62">
        <v>4639</v>
      </c>
      <c r="H111" s="63">
        <v>5028</v>
      </c>
      <c r="I111" s="63">
        <v>5492</v>
      </c>
    </row>
    <row r="112" spans="1:9" x14ac:dyDescent="0.25">
      <c r="A112" s="41" t="s">
        <v>10</v>
      </c>
      <c r="B112" s="62">
        <v>824</v>
      </c>
      <c r="C112" s="62">
        <v>719</v>
      </c>
      <c r="D112" s="62">
        <v>646</v>
      </c>
      <c r="E112" s="62">
        <v>595</v>
      </c>
      <c r="F112" s="62">
        <v>597</v>
      </c>
      <c r="G112" s="62">
        <v>516</v>
      </c>
      <c r="H112" s="62">
        <v>507</v>
      </c>
      <c r="I112" s="62">
        <v>633</v>
      </c>
    </row>
    <row r="113" spans="1:9" x14ac:dyDescent="0.25">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25">
      <c r="A114" s="41" t="s">
        <v>8</v>
      </c>
      <c r="B114">
        <f>3876+827</f>
        <v>4703</v>
      </c>
      <c r="C114">
        <f>882+3985</f>
        <v>4867</v>
      </c>
      <c r="D114">
        <v>5192</v>
      </c>
      <c r="E114">
        <v>5875</v>
      </c>
      <c r="F114">
        <v>6293</v>
      </c>
      <c r="G114">
        <v>5892</v>
      </c>
      <c r="H114" s="51">
        <v>6970</v>
      </c>
      <c r="I114" s="51">
        <v>7388</v>
      </c>
    </row>
    <row r="115" spans="1:9" x14ac:dyDescent="0.25">
      <c r="A115" s="41" t="s">
        <v>9</v>
      </c>
      <c r="B115">
        <f>1552+499</f>
        <v>2051</v>
      </c>
      <c r="C115">
        <f>1628+463</f>
        <v>2091</v>
      </c>
      <c r="D115">
        <v>2395</v>
      </c>
      <c r="E115">
        <v>2940</v>
      </c>
      <c r="F115">
        <v>3087</v>
      </c>
      <c r="G115">
        <v>3053</v>
      </c>
      <c r="H115" s="51">
        <v>3996</v>
      </c>
      <c r="I115" s="51">
        <v>4527</v>
      </c>
    </row>
    <row r="116" spans="1:9" x14ac:dyDescent="0.25">
      <c r="A116" s="41" t="s">
        <v>10</v>
      </c>
      <c r="B116">
        <f>277+95</f>
        <v>372</v>
      </c>
      <c r="C116">
        <f>271+86</f>
        <v>357</v>
      </c>
      <c r="D116">
        <v>383</v>
      </c>
      <c r="E116">
        <v>427</v>
      </c>
      <c r="F116">
        <v>432</v>
      </c>
      <c r="G116">
        <v>402</v>
      </c>
      <c r="H116">
        <v>490</v>
      </c>
      <c r="I116">
        <v>564</v>
      </c>
    </row>
    <row r="117" spans="1:9" x14ac:dyDescent="0.25">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25">
      <c r="A118" s="41" t="s">
        <v>8</v>
      </c>
      <c r="B118">
        <v>2016</v>
      </c>
      <c r="C118">
        <v>2599</v>
      </c>
      <c r="D118">
        <v>2920</v>
      </c>
      <c r="E118">
        <v>3496</v>
      </c>
      <c r="F118">
        <v>4262</v>
      </c>
      <c r="G118">
        <v>4635</v>
      </c>
      <c r="H118" s="51">
        <v>5748</v>
      </c>
      <c r="I118" s="51">
        <v>5416</v>
      </c>
    </row>
    <row r="119" spans="1:9" x14ac:dyDescent="0.25">
      <c r="A119" s="41" t="s">
        <v>9</v>
      </c>
      <c r="B119">
        <v>925</v>
      </c>
      <c r="C119">
        <v>1055</v>
      </c>
      <c r="D119">
        <v>1188</v>
      </c>
      <c r="E119">
        <v>1508</v>
      </c>
      <c r="F119">
        <v>1808</v>
      </c>
      <c r="G119">
        <v>1896</v>
      </c>
      <c r="H119" s="51">
        <v>2347</v>
      </c>
      <c r="I119" s="51">
        <v>1938</v>
      </c>
    </row>
    <row r="120" spans="1:9" x14ac:dyDescent="0.25">
      <c r="A120" s="41" t="s">
        <v>10</v>
      </c>
      <c r="B120">
        <v>126</v>
      </c>
      <c r="C120">
        <v>131</v>
      </c>
      <c r="D120">
        <v>129</v>
      </c>
      <c r="E120">
        <v>130</v>
      </c>
      <c r="F120">
        <v>138</v>
      </c>
      <c r="G120">
        <v>148</v>
      </c>
      <c r="H120">
        <v>195</v>
      </c>
      <c r="I120">
        <v>193</v>
      </c>
    </row>
    <row r="121" spans="1:9" x14ac:dyDescent="0.25">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25">
      <c r="A122" s="41" t="s">
        <v>8</v>
      </c>
      <c r="B122" s="62">
        <v>3093</v>
      </c>
      <c r="C122" s="62">
        <v>3106</v>
      </c>
      <c r="D122" s="62">
        <v>3285</v>
      </c>
      <c r="E122" s="62">
        <v>3575</v>
      </c>
      <c r="F122" s="62">
        <v>3622</v>
      </c>
      <c r="G122" s="62">
        <v>3449</v>
      </c>
      <c r="H122" s="63">
        <v>3659</v>
      </c>
      <c r="I122" s="63">
        <v>4111</v>
      </c>
    </row>
    <row r="123" spans="1:9" x14ac:dyDescent="0.25">
      <c r="A123" s="41" t="s">
        <v>9</v>
      </c>
      <c r="B123" s="62">
        <v>1251</v>
      </c>
      <c r="C123" s="62">
        <v>1175</v>
      </c>
      <c r="D123" s="62">
        <v>1185</v>
      </c>
      <c r="E123" s="62">
        <v>1347</v>
      </c>
      <c r="F123" s="62">
        <v>1395</v>
      </c>
      <c r="G123" s="62">
        <v>1365</v>
      </c>
      <c r="H123" s="63">
        <v>1494</v>
      </c>
      <c r="I123" s="63">
        <v>1610</v>
      </c>
    </row>
    <row r="124" spans="1:9" x14ac:dyDescent="0.25">
      <c r="A124" s="41" t="s">
        <v>10</v>
      </c>
      <c r="B124" s="62">
        <v>309</v>
      </c>
      <c r="C124" s="62">
        <v>289</v>
      </c>
      <c r="D124" s="62">
        <v>267</v>
      </c>
      <c r="E124" s="62">
        <v>244</v>
      </c>
      <c r="F124" s="62">
        <v>237</v>
      </c>
      <c r="G124" s="62">
        <v>214</v>
      </c>
      <c r="H124" s="62">
        <v>190</v>
      </c>
      <c r="I124" s="62">
        <v>234</v>
      </c>
    </row>
    <row r="125" spans="1:9" x14ac:dyDescent="0.25">
      <c r="A125" s="44" t="s">
        <v>14</v>
      </c>
      <c r="B125" s="64">
        <v>115</v>
      </c>
      <c r="C125" s="64">
        <v>73</v>
      </c>
      <c r="D125" s="64">
        <v>73</v>
      </c>
      <c r="E125" s="64">
        <v>88</v>
      </c>
      <c r="F125" s="64">
        <v>42</v>
      </c>
      <c r="G125" s="64">
        <v>30</v>
      </c>
      <c r="H125" s="64">
        <v>25</v>
      </c>
      <c r="I125" s="64">
        <v>102</v>
      </c>
    </row>
    <row r="126" spans="1:9" x14ac:dyDescent="0.25">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25">
      <c r="A127" s="44" t="s">
        <v>15</v>
      </c>
      <c r="B127" s="45">
        <v>1982</v>
      </c>
      <c r="C127" s="45">
        <v>1955</v>
      </c>
      <c r="D127" s="45">
        <v>2042</v>
      </c>
      <c r="E127" s="45">
        <v>1886</v>
      </c>
      <c r="F127" s="45">
        <v>1906</v>
      </c>
      <c r="G127" s="45">
        <v>1846</v>
      </c>
      <c r="H127" s="45">
        <v>2205</v>
      </c>
      <c r="I127" s="45">
        <v>2346</v>
      </c>
    </row>
    <row r="128" spans="1:9" x14ac:dyDescent="0.25">
      <c r="A128" s="41" t="s">
        <v>8</v>
      </c>
      <c r="B128" s="65">
        <v>18318</v>
      </c>
      <c r="C128" s="65">
        <v>19871</v>
      </c>
      <c r="D128" s="65">
        <v>21081</v>
      </c>
      <c r="E128" s="65">
        <v>22268</v>
      </c>
      <c r="F128" s="62">
        <v>1658</v>
      </c>
      <c r="G128" s="62">
        <v>1642</v>
      </c>
      <c r="H128" s="45">
        <v>1986</v>
      </c>
      <c r="I128" s="45">
        <v>2094</v>
      </c>
    </row>
    <row r="129" spans="1:9" x14ac:dyDescent="0.25">
      <c r="A129" s="41" t="s">
        <v>9</v>
      </c>
      <c r="B129" s="65">
        <v>8637</v>
      </c>
      <c r="C129" s="65">
        <v>9067</v>
      </c>
      <c r="D129" s="65">
        <v>9654</v>
      </c>
      <c r="E129" s="65">
        <v>10733</v>
      </c>
      <c r="F129" s="45">
        <v>118</v>
      </c>
      <c r="G129" s="45">
        <v>89</v>
      </c>
      <c r="H129" s="45">
        <v>104</v>
      </c>
      <c r="I129" s="45">
        <v>103</v>
      </c>
    </row>
    <row r="130" spans="1:9" x14ac:dyDescent="0.25">
      <c r="A130" s="41" t="s">
        <v>10</v>
      </c>
      <c r="B130" s="65">
        <v>1631</v>
      </c>
      <c r="C130" s="65">
        <v>1496</v>
      </c>
      <c r="D130" s="65">
        <v>1425</v>
      </c>
      <c r="E130" s="65">
        <v>1396</v>
      </c>
      <c r="F130" s="45">
        <v>24</v>
      </c>
      <c r="G130" s="45">
        <v>25</v>
      </c>
      <c r="H130" s="45">
        <v>29</v>
      </c>
      <c r="I130" s="45">
        <v>26</v>
      </c>
    </row>
    <row r="131" spans="1:9" x14ac:dyDescent="0.25">
      <c r="A131" s="41" t="s">
        <v>16</v>
      </c>
      <c r="B131" s="65">
        <v>115</v>
      </c>
      <c r="C131" s="65">
        <v>73</v>
      </c>
      <c r="D131" s="65">
        <v>73</v>
      </c>
      <c r="E131" s="65">
        <v>88</v>
      </c>
      <c r="F131" s="45">
        <v>106</v>
      </c>
      <c r="G131" s="45">
        <v>90</v>
      </c>
      <c r="H131" s="45">
        <v>86</v>
      </c>
      <c r="I131" s="45">
        <v>123</v>
      </c>
    </row>
    <row r="132" spans="1:9" x14ac:dyDescent="0.25">
      <c r="A132" s="44" t="s">
        <v>17</v>
      </c>
      <c r="B132" s="45">
        <v>-82</v>
      </c>
      <c r="C132" s="45">
        <v>-86</v>
      </c>
      <c r="D132" s="45">
        <v>75</v>
      </c>
      <c r="E132" s="45">
        <v>26</v>
      </c>
      <c r="F132" s="45">
        <v>-7</v>
      </c>
      <c r="G132" s="45">
        <v>-11</v>
      </c>
      <c r="H132" s="45">
        <v>40</v>
      </c>
      <c r="I132" s="45">
        <v>-72</v>
      </c>
    </row>
    <row r="133" spans="1:9" ht="15.75" thickBot="1" x14ac:dyDescent="0.3">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75" thickTop="1" x14ac:dyDescent="0.25">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25">
      <c r="A135" s="39" t="s">
        <v>229</v>
      </c>
    </row>
    <row r="136" spans="1:9" x14ac:dyDescent="0.25">
      <c r="A136" s="44" t="s">
        <v>225</v>
      </c>
      <c r="B136" s="36">
        <v>3645</v>
      </c>
      <c r="C136" s="36">
        <v>3763</v>
      </c>
      <c r="D136" s="36">
        <v>3875</v>
      </c>
      <c r="E136" s="36">
        <v>3600</v>
      </c>
      <c r="F136" s="36">
        <v>3925</v>
      </c>
      <c r="G136" s="36">
        <v>2899</v>
      </c>
      <c r="H136" s="36">
        <v>5089</v>
      </c>
      <c r="I136" s="36">
        <v>5114</v>
      </c>
    </row>
    <row r="137" spans="1:9" x14ac:dyDescent="0.25">
      <c r="A137" s="44" t="s">
        <v>11</v>
      </c>
      <c r="B137" s="36">
        <v>1524</v>
      </c>
      <c r="C137" s="36">
        <v>1787</v>
      </c>
      <c r="D137" s="36">
        <v>1507</v>
      </c>
      <c r="E137" s="36">
        <v>1587</v>
      </c>
      <c r="F137" s="36">
        <v>1995</v>
      </c>
      <c r="G137" s="36">
        <v>1541</v>
      </c>
      <c r="H137" s="36">
        <v>2435</v>
      </c>
      <c r="I137" s="36">
        <v>3293</v>
      </c>
    </row>
    <row r="138" spans="1:9" x14ac:dyDescent="0.25">
      <c r="A138" s="44" t="s">
        <v>12</v>
      </c>
      <c r="B138" s="36">
        <v>993</v>
      </c>
      <c r="C138" s="36">
        <v>1372</v>
      </c>
      <c r="D138" s="36">
        <v>1507</v>
      </c>
      <c r="E138" s="36">
        <v>1807</v>
      </c>
      <c r="F138" s="36">
        <v>2376</v>
      </c>
      <c r="G138" s="36">
        <v>2490</v>
      </c>
      <c r="H138" s="36">
        <v>3243</v>
      </c>
      <c r="I138" s="36">
        <v>2365</v>
      </c>
    </row>
    <row r="139" spans="1:9" x14ac:dyDescent="0.25">
      <c r="A139" s="44" t="s">
        <v>13</v>
      </c>
      <c r="B139" s="36">
        <v>918</v>
      </c>
      <c r="C139" s="36">
        <v>1002</v>
      </c>
      <c r="D139" s="36">
        <v>980</v>
      </c>
      <c r="E139" s="36">
        <v>1189</v>
      </c>
      <c r="F139" s="36">
        <v>1323</v>
      </c>
      <c r="G139" s="36">
        <v>1184</v>
      </c>
      <c r="H139" s="36">
        <v>1530</v>
      </c>
      <c r="I139" s="36">
        <v>1896</v>
      </c>
    </row>
    <row r="140" spans="1:9" x14ac:dyDescent="0.25">
      <c r="A140" s="44" t="s">
        <v>14</v>
      </c>
      <c r="B140" s="36">
        <v>-2263</v>
      </c>
      <c r="C140" s="36">
        <v>-2596</v>
      </c>
      <c r="D140" s="36">
        <v>-2677</v>
      </c>
      <c r="E140" s="36">
        <v>-2658</v>
      </c>
      <c r="F140" s="36">
        <v>-3262</v>
      </c>
      <c r="G140" s="36">
        <v>-3468</v>
      </c>
      <c r="H140" s="36">
        <v>-3656</v>
      </c>
      <c r="I140" s="36">
        <v>-4262</v>
      </c>
    </row>
    <row r="141" spans="1:9" x14ac:dyDescent="0.25">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25">
      <c r="A142" s="44" t="s">
        <v>15</v>
      </c>
      <c r="B142" s="45">
        <v>517</v>
      </c>
      <c r="C142" s="45">
        <v>487</v>
      </c>
      <c r="D142" s="45">
        <v>477</v>
      </c>
      <c r="E142" s="45">
        <v>310</v>
      </c>
      <c r="F142" s="45">
        <v>303</v>
      </c>
      <c r="G142" s="45">
        <v>297</v>
      </c>
      <c r="H142" s="45">
        <v>543</v>
      </c>
      <c r="I142" s="45">
        <v>669</v>
      </c>
    </row>
    <row r="143" spans="1:9" x14ac:dyDescent="0.25">
      <c r="A143" s="44" t="s">
        <v>17</v>
      </c>
      <c r="B143" s="45">
        <v>-1101</v>
      </c>
      <c r="C143" s="45">
        <v>-1173</v>
      </c>
      <c r="D143" s="45">
        <v>-724</v>
      </c>
      <c r="E143" s="45">
        <v>-1456</v>
      </c>
      <c r="F143" s="45">
        <v>-1810</v>
      </c>
      <c r="G143" s="45">
        <v>-1967</v>
      </c>
      <c r="H143" s="45">
        <v>-2261</v>
      </c>
      <c r="I143" s="45">
        <v>-2219</v>
      </c>
    </row>
    <row r="144" spans="1:9" ht="15.75" thickBot="1" x14ac:dyDescent="0.3">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75" thickTop="1" x14ac:dyDescent="0.25">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25">
      <c r="A146" s="39" t="s">
        <v>231</v>
      </c>
    </row>
    <row r="147" spans="1:9" x14ac:dyDescent="0.25">
      <c r="A147" s="44" t="s">
        <v>225</v>
      </c>
      <c r="B147" s="45">
        <v>632</v>
      </c>
      <c r="C147" s="45">
        <v>742</v>
      </c>
      <c r="D147" s="45">
        <v>819</v>
      </c>
      <c r="E147" s="45">
        <v>848</v>
      </c>
      <c r="F147" s="45">
        <v>814</v>
      </c>
      <c r="G147" s="45">
        <v>645</v>
      </c>
      <c r="H147" s="45">
        <v>617</v>
      </c>
      <c r="I147" s="45">
        <v>639</v>
      </c>
    </row>
    <row r="148" spans="1:9" x14ac:dyDescent="0.25">
      <c r="A148" s="44" t="s">
        <v>11</v>
      </c>
      <c r="B148" s="45">
        <v>498</v>
      </c>
      <c r="C148" s="45">
        <v>639</v>
      </c>
      <c r="D148" s="45">
        <v>706</v>
      </c>
      <c r="E148" s="45">
        <v>849</v>
      </c>
      <c r="F148" s="45">
        <v>929</v>
      </c>
      <c r="G148" s="45">
        <v>885</v>
      </c>
      <c r="H148" s="45">
        <v>982</v>
      </c>
      <c r="I148" s="45">
        <v>920</v>
      </c>
    </row>
    <row r="149" spans="1:9" x14ac:dyDescent="0.25">
      <c r="A149" s="44" t="s">
        <v>12</v>
      </c>
      <c r="B149" s="45">
        <v>254</v>
      </c>
      <c r="C149" s="45">
        <v>234</v>
      </c>
      <c r="D149" s="45">
        <v>225</v>
      </c>
      <c r="E149" s="45">
        <v>256</v>
      </c>
      <c r="F149" s="45">
        <v>237</v>
      </c>
      <c r="G149" s="45">
        <v>214</v>
      </c>
      <c r="H149" s="45">
        <v>288</v>
      </c>
      <c r="I149" s="45">
        <v>303</v>
      </c>
    </row>
    <row r="150" spans="1:9" x14ac:dyDescent="0.25">
      <c r="A150" s="44" t="s">
        <v>232</v>
      </c>
      <c r="B150" s="45">
        <v>308</v>
      </c>
      <c r="C150" s="45">
        <v>332</v>
      </c>
      <c r="D150" s="45">
        <v>343</v>
      </c>
      <c r="E150" s="45">
        <v>339</v>
      </c>
      <c r="F150" s="45">
        <v>326</v>
      </c>
      <c r="G150" s="45">
        <v>296</v>
      </c>
      <c r="H150" s="45">
        <v>304</v>
      </c>
      <c r="I150" s="45">
        <v>274</v>
      </c>
    </row>
    <row r="151" spans="1:9" x14ac:dyDescent="0.25">
      <c r="A151" s="44" t="s">
        <v>14</v>
      </c>
      <c r="B151" s="45">
        <v>484</v>
      </c>
      <c r="C151" s="45">
        <v>511</v>
      </c>
      <c r="D151" s="45">
        <v>533</v>
      </c>
      <c r="E151" s="45">
        <v>597</v>
      </c>
      <c r="F151" s="45">
        <v>665</v>
      </c>
      <c r="G151" s="45">
        <v>830</v>
      </c>
      <c r="H151" s="45">
        <v>780</v>
      </c>
      <c r="I151" s="45">
        <v>789</v>
      </c>
    </row>
    <row r="152" spans="1:9" x14ac:dyDescent="0.25">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25">
      <c r="A153" s="44" t="s">
        <v>15</v>
      </c>
      <c r="B153" s="45">
        <v>122</v>
      </c>
      <c r="C153" s="45">
        <v>125</v>
      </c>
      <c r="D153" s="45">
        <v>125</v>
      </c>
      <c r="E153" s="45">
        <v>115</v>
      </c>
      <c r="F153" s="45">
        <v>100</v>
      </c>
      <c r="G153" s="45">
        <v>80</v>
      </c>
      <c r="H153" s="45">
        <v>63</v>
      </c>
      <c r="I153" s="45">
        <v>49</v>
      </c>
    </row>
    <row r="154" spans="1:9" x14ac:dyDescent="0.25">
      <c r="A154" s="44" t="s">
        <v>17</v>
      </c>
      <c r="B154" s="45">
        <v>713</v>
      </c>
      <c r="C154" s="45">
        <v>937</v>
      </c>
      <c r="D154" s="45">
        <v>1238</v>
      </c>
      <c r="E154" s="45">
        <v>1450</v>
      </c>
      <c r="F154" s="45">
        <v>1673</v>
      </c>
      <c r="G154" s="45">
        <v>1916</v>
      </c>
      <c r="H154" s="45">
        <v>1870</v>
      </c>
      <c r="I154" s="45">
        <v>1817</v>
      </c>
    </row>
    <row r="155" spans="1:9" ht="15.75" thickBot="1" x14ac:dyDescent="0.3">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75" thickTop="1" x14ac:dyDescent="0.25">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25">
      <c r="A157" s="39" t="s">
        <v>235</v>
      </c>
    </row>
    <row r="158" spans="1:9" x14ac:dyDescent="0.25">
      <c r="A158" s="44" t="s">
        <v>225</v>
      </c>
      <c r="B158" s="45">
        <v>208</v>
      </c>
      <c r="C158" s="45">
        <v>242</v>
      </c>
      <c r="D158" s="45">
        <v>223</v>
      </c>
      <c r="E158" s="45">
        <v>196</v>
      </c>
      <c r="F158" s="45">
        <v>117</v>
      </c>
      <c r="G158" s="45">
        <v>110</v>
      </c>
      <c r="H158" s="45">
        <v>98</v>
      </c>
      <c r="I158" s="45">
        <v>146</v>
      </c>
    </row>
    <row r="159" spans="1:9" x14ac:dyDescent="0.25">
      <c r="A159" s="44" t="s">
        <v>11</v>
      </c>
      <c r="B159" s="45">
        <v>236</v>
      </c>
      <c r="C159" s="45">
        <v>232</v>
      </c>
      <c r="D159" s="45">
        <v>172</v>
      </c>
      <c r="E159" s="45">
        <v>240</v>
      </c>
      <c r="F159" s="45">
        <v>233</v>
      </c>
      <c r="G159" s="45">
        <v>139</v>
      </c>
      <c r="H159" s="45">
        <v>153</v>
      </c>
      <c r="I159" s="45">
        <v>197</v>
      </c>
    </row>
    <row r="160" spans="1:9" x14ac:dyDescent="0.25">
      <c r="A160" s="44" t="s">
        <v>12</v>
      </c>
      <c r="B160" s="45">
        <v>69</v>
      </c>
      <c r="C160" s="45">
        <v>44</v>
      </c>
      <c r="D160" s="45">
        <v>51</v>
      </c>
      <c r="E160" s="45">
        <v>76</v>
      </c>
      <c r="F160" s="45">
        <v>49</v>
      </c>
      <c r="G160" s="45">
        <v>28</v>
      </c>
      <c r="H160" s="45">
        <v>94</v>
      </c>
      <c r="I160" s="45">
        <v>78</v>
      </c>
    </row>
    <row r="161" spans="1:9" x14ac:dyDescent="0.25">
      <c r="A161" s="44" t="s">
        <v>232</v>
      </c>
      <c r="B161" s="45">
        <v>52</v>
      </c>
      <c r="C161" s="45">
        <v>64</v>
      </c>
      <c r="D161" s="45">
        <v>60</v>
      </c>
      <c r="E161" s="45">
        <v>49</v>
      </c>
      <c r="F161" s="45">
        <v>47</v>
      </c>
      <c r="G161" s="45">
        <v>41</v>
      </c>
      <c r="H161" s="45">
        <v>54</v>
      </c>
      <c r="I161" s="45">
        <v>56</v>
      </c>
    </row>
    <row r="162" spans="1:9" x14ac:dyDescent="0.25">
      <c r="A162" s="44" t="s">
        <v>14</v>
      </c>
      <c r="B162" s="45">
        <v>225</v>
      </c>
      <c r="C162" s="45">
        <v>258</v>
      </c>
      <c r="D162" s="45">
        <v>278</v>
      </c>
      <c r="E162" s="45">
        <v>286</v>
      </c>
      <c r="F162" s="45">
        <v>278</v>
      </c>
      <c r="G162" s="45">
        <v>438</v>
      </c>
      <c r="H162" s="45">
        <v>278</v>
      </c>
      <c r="I162" s="45">
        <v>222</v>
      </c>
    </row>
    <row r="163" spans="1:9" x14ac:dyDescent="0.25">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25">
      <c r="A164" s="44" t="s">
        <v>15</v>
      </c>
      <c r="B164" s="45">
        <v>69</v>
      </c>
      <c r="C164" s="45">
        <v>39</v>
      </c>
      <c r="D164" s="45">
        <v>30</v>
      </c>
      <c r="E164" s="45">
        <v>22</v>
      </c>
      <c r="F164" s="45">
        <v>18</v>
      </c>
      <c r="G164" s="45">
        <v>12</v>
      </c>
      <c r="H164" s="36">
        <v>7</v>
      </c>
      <c r="I164" s="36">
        <v>9</v>
      </c>
    </row>
    <row r="165" spans="1:9" x14ac:dyDescent="0.25">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75" thickBot="1" x14ac:dyDescent="0.3">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75" thickTop="1" x14ac:dyDescent="0.25">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25">
      <c r="A168" s="39" t="s">
        <v>237</v>
      </c>
    </row>
    <row r="169" spans="1:9" x14ac:dyDescent="0.25">
      <c r="A169" s="44" t="s">
        <v>225</v>
      </c>
      <c r="B169" s="36">
        <v>121</v>
      </c>
      <c r="C169" s="36">
        <v>133</v>
      </c>
      <c r="D169" s="36">
        <v>140</v>
      </c>
      <c r="E169" s="36">
        <v>160</v>
      </c>
      <c r="F169" s="36">
        <v>149</v>
      </c>
      <c r="G169" s="36">
        <v>148</v>
      </c>
      <c r="H169" s="36">
        <v>130</v>
      </c>
      <c r="I169" s="36">
        <v>124</v>
      </c>
    </row>
    <row r="170" spans="1:9" x14ac:dyDescent="0.25">
      <c r="A170" s="44" t="s">
        <v>11</v>
      </c>
      <c r="B170" s="36">
        <v>87</v>
      </c>
      <c r="C170" s="36">
        <v>84</v>
      </c>
      <c r="D170" s="36">
        <v>104</v>
      </c>
      <c r="E170" s="36">
        <v>116</v>
      </c>
      <c r="F170" s="36">
        <v>111</v>
      </c>
      <c r="G170" s="36">
        <v>132</v>
      </c>
      <c r="H170" s="36">
        <v>136</v>
      </c>
      <c r="I170" s="36">
        <v>134</v>
      </c>
    </row>
    <row r="171" spans="1:9" x14ac:dyDescent="0.25">
      <c r="A171" s="44" t="s">
        <v>12</v>
      </c>
      <c r="B171" s="36">
        <v>46</v>
      </c>
      <c r="C171" s="36">
        <v>48</v>
      </c>
      <c r="D171" s="36">
        <v>54</v>
      </c>
      <c r="E171" s="36">
        <v>56</v>
      </c>
      <c r="F171" s="36">
        <v>50</v>
      </c>
      <c r="G171" s="36">
        <v>44</v>
      </c>
      <c r="H171" s="36">
        <v>46</v>
      </c>
      <c r="I171" s="36">
        <v>41</v>
      </c>
    </row>
    <row r="172" spans="1:9" x14ac:dyDescent="0.25">
      <c r="A172" s="44" t="s">
        <v>13</v>
      </c>
      <c r="B172" s="36">
        <v>49</v>
      </c>
      <c r="C172" s="36">
        <v>43</v>
      </c>
      <c r="D172" s="36">
        <v>56</v>
      </c>
      <c r="E172" s="36">
        <v>55</v>
      </c>
      <c r="F172" s="36">
        <v>53</v>
      </c>
      <c r="G172" s="36">
        <v>46</v>
      </c>
      <c r="H172" s="36">
        <v>43</v>
      </c>
      <c r="I172" s="36">
        <v>42</v>
      </c>
    </row>
    <row r="173" spans="1:9" x14ac:dyDescent="0.25">
      <c r="A173" s="44" t="s">
        <v>14</v>
      </c>
      <c r="B173" s="36">
        <v>210</v>
      </c>
      <c r="C173" s="36">
        <v>230</v>
      </c>
      <c r="D173" s="36">
        <v>233</v>
      </c>
      <c r="E173" s="36">
        <v>217</v>
      </c>
      <c r="F173" s="36">
        <v>195</v>
      </c>
      <c r="G173" s="36">
        <v>214</v>
      </c>
      <c r="H173" s="36">
        <v>222</v>
      </c>
      <c r="I173" s="36">
        <v>220</v>
      </c>
    </row>
    <row r="174" spans="1:9" x14ac:dyDescent="0.25">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25">
      <c r="A175" s="44" t="s">
        <v>15</v>
      </c>
      <c r="B175" s="36">
        <v>18</v>
      </c>
      <c r="C175" s="36">
        <v>27</v>
      </c>
      <c r="D175" s="36">
        <v>28</v>
      </c>
      <c r="E175" s="36">
        <v>33</v>
      </c>
      <c r="F175" s="36">
        <v>31</v>
      </c>
      <c r="G175" s="36">
        <v>25</v>
      </c>
      <c r="H175" s="36">
        <v>26</v>
      </c>
      <c r="I175" s="36">
        <v>22</v>
      </c>
    </row>
    <row r="176" spans="1:9" x14ac:dyDescent="0.25">
      <c r="A176" s="44" t="s">
        <v>17</v>
      </c>
      <c r="B176" s="36">
        <v>75</v>
      </c>
      <c r="C176" s="36">
        <v>84</v>
      </c>
      <c r="D176" s="36">
        <v>91</v>
      </c>
      <c r="E176" s="36">
        <v>110</v>
      </c>
      <c r="F176" s="36">
        <v>116</v>
      </c>
      <c r="G176" s="36">
        <v>112</v>
      </c>
      <c r="H176" s="36">
        <v>141</v>
      </c>
      <c r="I176" s="36">
        <v>134</v>
      </c>
    </row>
    <row r="177" spans="1:9" ht="15.75" thickBot="1" x14ac:dyDescent="0.3">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75" thickTop="1" x14ac:dyDescent="0.25">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25">
      <c r="A179" s="54" t="s">
        <v>239</v>
      </c>
      <c r="B179" s="54"/>
      <c r="C179" s="54"/>
      <c r="D179" s="54"/>
      <c r="E179" s="54"/>
      <c r="F179" s="54"/>
      <c r="G179" s="54"/>
      <c r="H179" s="54"/>
      <c r="I179" s="54"/>
    </row>
    <row r="180" spans="1:9" x14ac:dyDescent="0.25">
      <c r="A180" s="61" t="s">
        <v>240</v>
      </c>
    </row>
    <row r="181" spans="1:9" x14ac:dyDescent="0.25">
      <c r="A181" s="66" t="s">
        <v>225</v>
      </c>
      <c r="B181" s="67">
        <v>0.12</v>
      </c>
      <c r="C181" s="67">
        <v>0.08</v>
      </c>
      <c r="D181" s="67">
        <v>0.03</v>
      </c>
      <c r="E181" s="67">
        <v>-0.02</v>
      </c>
      <c r="F181" s="67">
        <v>7.0000000000000007E-2</v>
      </c>
      <c r="G181" s="67">
        <v>-0.09</v>
      </c>
      <c r="H181" s="67">
        <v>0.19</v>
      </c>
      <c r="I181" s="67">
        <v>7.0000000000000007E-2</v>
      </c>
    </row>
    <row r="182" spans="1:9" x14ac:dyDescent="0.25">
      <c r="A182" s="68" t="s">
        <v>8</v>
      </c>
      <c r="B182" s="69">
        <v>0.14000000000000001</v>
      </c>
      <c r="C182" s="69">
        <v>0.1</v>
      </c>
      <c r="D182" s="69">
        <v>0.04</v>
      </c>
      <c r="E182" s="69">
        <v>-0.04</v>
      </c>
      <c r="F182" s="69">
        <v>0.08</v>
      </c>
      <c r="G182" s="69">
        <v>-0.14000000000000001</v>
      </c>
      <c r="H182" s="69">
        <v>0.25</v>
      </c>
      <c r="I182" s="69">
        <v>0.05</v>
      </c>
    </row>
    <row r="183" spans="1:9" x14ac:dyDescent="0.25">
      <c r="A183" s="68" t="s">
        <v>9</v>
      </c>
      <c r="B183" s="69">
        <v>0.12</v>
      </c>
      <c r="C183" s="69">
        <v>0.08</v>
      </c>
      <c r="D183" s="69">
        <v>0.03</v>
      </c>
      <c r="E183" s="69">
        <v>0.01</v>
      </c>
      <c r="F183" s="69">
        <v>7.0000000000000007E-2</v>
      </c>
      <c r="G183" s="69">
        <v>-0.12</v>
      </c>
      <c r="H183" s="69">
        <v>0.08</v>
      </c>
      <c r="I183" s="69">
        <v>0.09</v>
      </c>
    </row>
    <row r="184" spans="1:9" x14ac:dyDescent="0.25">
      <c r="A184" s="68" t="s">
        <v>10</v>
      </c>
      <c r="B184" s="69">
        <v>-0.05</v>
      </c>
      <c r="C184" s="69">
        <v>-0.13</v>
      </c>
      <c r="D184" s="69">
        <v>-0.1</v>
      </c>
      <c r="E184" s="69">
        <v>-0.08</v>
      </c>
      <c r="F184" s="69">
        <v>0</v>
      </c>
      <c r="G184" s="69">
        <v>-7.0000000000000007E-2</v>
      </c>
      <c r="H184" s="69">
        <v>-0.02</v>
      </c>
      <c r="I184" s="69">
        <v>0.25</v>
      </c>
    </row>
    <row r="185" spans="1:9" x14ac:dyDescent="0.25">
      <c r="A185" s="66" t="s">
        <v>11</v>
      </c>
      <c r="B185" s="67">
        <v>0.36</v>
      </c>
      <c r="C185" s="67">
        <v>0.31</v>
      </c>
      <c r="D185" s="67">
        <v>0.18</v>
      </c>
      <c r="E185" s="67">
        <v>0.09</v>
      </c>
      <c r="F185" s="69">
        <v>0.11</v>
      </c>
      <c r="G185" s="67">
        <v>-0.01</v>
      </c>
      <c r="H185" s="67">
        <v>0.17</v>
      </c>
      <c r="I185" s="67">
        <v>0.12</v>
      </c>
    </row>
    <row r="186" spans="1:9" x14ac:dyDescent="0.25">
      <c r="A186" s="68" t="s">
        <v>8</v>
      </c>
      <c r="B186" s="69">
        <v>0.47</v>
      </c>
      <c r="C186" s="69">
        <v>0.37</v>
      </c>
      <c r="D186" s="69">
        <v>0.16</v>
      </c>
      <c r="E186" s="69">
        <v>0.06</v>
      </c>
      <c r="F186" s="69">
        <v>0.12</v>
      </c>
      <c r="G186" s="69">
        <v>-0.03</v>
      </c>
      <c r="H186" s="69">
        <v>0.13</v>
      </c>
      <c r="I186" s="69">
        <v>0.09</v>
      </c>
    </row>
    <row r="187" spans="1:9" x14ac:dyDescent="0.25">
      <c r="A187" s="68" t="s">
        <v>9</v>
      </c>
      <c r="B187" s="69">
        <v>0.19</v>
      </c>
      <c r="C187" s="69">
        <v>0.25</v>
      </c>
      <c r="D187" s="69">
        <v>0.25</v>
      </c>
      <c r="E187" s="69">
        <v>0.16</v>
      </c>
      <c r="F187" s="69">
        <v>0.09</v>
      </c>
      <c r="G187" s="69">
        <v>0.02</v>
      </c>
      <c r="H187" s="69">
        <v>0.25</v>
      </c>
      <c r="I187" s="69">
        <v>0.16</v>
      </c>
    </row>
    <row r="188" spans="1:9" x14ac:dyDescent="0.25">
      <c r="A188" s="68" t="s">
        <v>10</v>
      </c>
      <c r="B188" s="69">
        <v>0.19</v>
      </c>
      <c r="C188" s="69">
        <v>0.15</v>
      </c>
      <c r="D188" s="69">
        <v>0.13</v>
      </c>
      <c r="E188" s="69">
        <v>0.06</v>
      </c>
      <c r="F188" s="69">
        <v>0.05</v>
      </c>
      <c r="G188" s="69">
        <v>-0.03</v>
      </c>
      <c r="H188" s="69">
        <v>0.19</v>
      </c>
      <c r="I188" s="69">
        <v>0.17</v>
      </c>
    </row>
    <row r="189" spans="1:9" x14ac:dyDescent="0.25">
      <c r="A189" s="66" t="s">
        <v>12</v>
      </c>
      <c r="B189" s="67">
        <v>0.19</v>
      </c>
      <c r="C189" s="67">
        <v>7.0000000000000007E-2</v>
      </c>
      <c r="D189" s="67">
        <v>0.17</v>
      </c>
      <c r="E189" s="67">
        <v>0.18</v>
      </c>
      <c r="F189" s="67">
        <v>0.24</v>
      </c>
      <c r="G189" s="67">
        <v>0.11</v>
      </c>
      <c r="H189" s="67">
        <v>0.19</v>
      </c>
      <c r="I189" s="67">
        <v>-0.13</v>
      </c>
    </row>
    <row r="190" spans="1:9" x14ac:dyDescent="0.25">
      <c r="A190" s="68" t="s">
        <v>8</v>
      </c>
      <c r="B190" s="69">
        <v>0.28000000000000003</v>
      </c>
      <c r="C190" s="69">
        <v>0.33</v>
      </c>
      <c r="D190" s="69">
        <v>0.18</v>
      </c>
      <c r="E190" s="69">
        <v>0.16</v>
      </c>
      <c r="F190" s="69">
        <v>0.25</v>
      </c>
      <c r="G190" s="69">
        <v>0.12</v>
      </c>
      <c r="H190" s="69">
        <v>0.19</v>
      </c>
      <c r="I190" s="69">
        <v>-0.1</v>
      </c>
    </row>
    <row r="191" spans="1:9" x14ac:dyDescent="0.25">
      <c r="A191" s="68" t="s">
        <v>9</v>
      </c>
      <c r="B191" s="69">
        <v>7.0000000000000007E-2</v>
      </c>
      <c r="C191" s="69">
        <v>0.17</v>
      </c>
      <c r="D191" s="69">
        <v>0.18</v>
      </c>
      <c r="E191" s="69">
        <v>0.23</v>
      </c>
      <c r="F191" s="69">
        <v>0.23</v>
      </c>
      <c r="G191" s="69">
        <v>0.08</v>
      </c>
      <c r="H191" s="69">
        <v>0.19</v>
      </c>
      <c r="I191" s="69">
        <v>-0.21</v>
      </c>
    </row>
    <row r="192" spans="1:9" x14ac:dyDescent="0.25">
      <c r="A192" s="68" t="s">
        <v>10</v>
      </c>
      <c r="B192" s="69">
        <v>0.01</v>
      </c>
      <c r="C192" s="69">
        <v>7.0000000000000007E-2</v>
      </c>
      <c r="D192" s="69">
        <v>0.03</v>
      </c>
      <c r="E192" s="69">
        <v>-0.01</v>
      </c>
      <c r="F192" s="69">
        <v>0.08</v>
      </c>
      <c r="G192" s="69">
        <v>0.11</v>
      </c>
      <c r="H192" s="69">
        <v>0.26</v>
      </c>
      <c r="I192" s="69">
        <v>-0.06</v>
      </c>
    </row>
    <row r="193" spans="1:9" x14ac:dyDescent="0.25">
      <c r="A193" s="66" t="s">
        <v>13</v>
      </c>
      <c r="B193" s="67">
        <v>0.17</v>
      </c>
      <c r="C193" s="67">
        <v>0.35</v>
      </c>
      <c r="D193" s="67">
        <v>0.21</v>
      </c>
      <c r="E193" s="67">
        <v>0.1</v>
      </c>
      <c r="F193" s="67">
        <v>0.13</v>
      </c>
      <c r="G193" s="67">
        <v>0.01</v>
      </c>
      <c r="H193" s="67">
        <v>0.08</v>
      </c>
      <c r="I193" s="67">
        <v>0.16</v>
      </c>
    </row>
    <row r="194" spans="1:9" x14ac:dyDescent="0.25">
      <c r="A194" s="68" t="s">
        <v>8</v>
      </c>
      <c r="B194" s="69">
        <v>0.32</v>
      </c>
      <c r="C194" s="69">
        <v>0.48</v>
      </c>
      <c r="D194" s="69">
        <v>0.24</v>
      </c>
      <c r="E194" s="69">
        <v>0.09</v>
      </c>
      <c r="F194" s="69">
        <v>0.12</v>
      </c>
      <c r="G194" s="69">
        <v>0</v>
      </c>
      <c r="H194" s="69">
        <v>0.08</v>
      </c>
      <c r="I194" s="69">
        <v>0.17</v>
      </c>
    </row>
    <row r="195" spans="1:9" x14ac:dyDescent="0.25">
      <c r="A195" s="68" t="s">
        <v>9</v>
      </c>
      <c r="B195" s="69">
        <v>-0.03</v>
      </c>
      <c r="C195" s="69">
        <v>0.16</v>
      </c>
      <c r="D195" s="69">
        <v>0.18</v>
      </c>
      <c r="E195" s="69">
        <v>0.15</v>
      </c>
      <c r="F195" s="69">
        <v>0.15</v>
      </c>
      <c r="G195" s="69">
        <v>0.02</v>
      </c>
      <c r="H195" s="69">
        <v>0.1</v>
      </c>
      <c r="I195" s="69">
        <v>0.12</v>
      </c>
    </row>
    <row r="196" spans="1:9" x14ac:dyDescent="0.25">
      <c r="A196" s="68" t="s">
        <v>10</v>
      </c>
      <c r="B196" s="69">
        <v>-0.01</v>
      </c>
      <c r="C196" s="69">
        <v>0.14000000000000001</v>
      </c>
      <c r="D196" s="69">
        <v>-0.04</v>
      </c>
      <c r="E196" s="69">
        <v>-0.08</v>
      </c>
      <c r="F196" s="69">
        <v>0.08</v>
      </c>
      <c r="G196" s="69">
        <v>-0.04</v>
      </c>
      <c r="H196" s="69">
        <v>-0.09</v>
      </c>
      <c r="I196" s="69">
        <v>0.28000000000000003</v>
      </c>
    </row>
    <row r="197" spans="1:9" x14ac:dyDescent="0.25">
      <c r="A197" s="66" t="s">
        <v>14</v>
      </c>
      <c r="B197" s="67">
        <v>-0.02</v>
      </c>
      <c r="C197" s="67">
        <v>-0.3</v>
      </c>
      <c r="D197" s="67">
        <v>0.02</v>
      </c>
      <c r="E197" s="67">
        <v>0.12</v>
      </c>
      <c r="F197" s="67">
        <v>3.02</v>
      </c>
      <c r="G197" s="67">
        <v>-0.26</v>
      </c>
      <c r="H197" s="67">
        <v>-0.17</v>
      </c>
      <c r="I197" s="67">
        <v>3.02</v>
      </c>
    </row>
    <row r="198" spans="1:9" x14ac:dyDescent="0.25">
      <c r="A198" s="70" t="s">
        <v>226</v>
      </c>
      <c r="B198" s="71">
        <v>0.1</v>
      </c>
      <c r="C198" s="71">
        <v>0.13</v>
      </c>
      <c r="D198" s="71">
        <v>0.06</v>
      </c>
      <c r="E198" s="71">
        <v>0.05</v>
      </c>
      <c r="F198" s="71">
        <v>0.11</v>
      </c>
      <c r="G198" s="71">
        <v>-0.02</v>
      </c>
      <c r="H198" s="71">
        <v>0.17</v>
      </c>
      <c r="I198" s="71">
        <v>0.06</v>
      </c>
    </row>
    <row r="199" spans="1:9" x14ac:dyDescent="0.25">
      <c r="A199" s="66" t="s">
        <v>15</v>
      </c>
      <c r="B199" s="67">
        <v>0.21</v>
      </c>
      <c r="C199" s="67">
        <v>0.02</v>
      </c>
      <c r="D199" s="67">
        <v>0.06</v>
      </c>
      <c r="E199" s="67">
        <v>-0.11</v>
      </c>
      <c r="F199" s="67">
        <v>7.0000000000000007E-2</v>
      </c>
      <c r="G199" s="67">
        <v>-0.01</v>
      </c>
      <c r="H199" s="67">
        <v>0.16</v>
      </c>
      <c r="I199" s="67">
        <v>7.0000000000000007E-2</v>
      </c>
    </row>
    <row r="200" spans="1:9" x14ac:dyDescent="0.25">
      <c r="A200" s="68" t="s">
        <v>8</v>
      </c>
      <c r="B200" s="69"/>
      <c r="C200" s="69"/>
      <c r="D200" s="69"/>
      <c r="E200" s="69"/>
      <c r="F200" s="69">
        <v>0.06</v>
      </c>
      <c r="G200" s="69">
        <v>0.01</v>
      </c>
      <c r="H200" s="69">
        <v>0.17</v>
      </c>
      <c r="I200" s="69">
        <v>0.06</v>
      </c>
    </row>
    <row r="201" spans="1:9" x14ac:dyDescent="0.25">
      <c r="A201" s="68" t="s">
        <v>9</v>
      </c>
      <c r="B201" s="69"/>
      <c r="C201" s="69"/>
      <c r="D201" s="69"/>
      <c r="E201" s="69"/>
      <c r="F201" s="69">
        <v>-0.03</v>
      </c>
      <c r="G201" s="69">
        <v>-0.22</v>
      </c>
      <c r="H201" s="69">
        <v>0.13</v>
      </c>
      <c r="I201" s="69">
        <v>-0.03</v>
      </c>
    </row>
    <row r="202" spans="1:9" x14ac:dyDescent="0.25">
      <c r="A202" s="68" t="s">
        <v>10</v>
      </c>
      <c r="B202" s="69"/>
      <c r="C202" s="69"/>
      <c r="D202" s="69"/>
      <c r="E202" s="69"/>
      <c r="F202" s="69">
        <v>-0.16</v>
      </c>
      <c r="G202" s="69">
        <v>0.08</v>
      </c>
      <c r="H202" s="69">
        <v>0.14000000000000001</v>
      </c>
      <c r="I202" s="69">
        <v>-0.16</v>
      </c>
    </row>
    <row r="203" spans="1:9" x14ac:dyDescent="0.25">
      <c r="A203" s="68" t="s">
        <v>16</v>
      </c>
      <c r="B203" s="69"/>
      <c r="C203" s="69"/>
      <c r="D203" s="69"/>
      <c r="E203" s="69"/>
      <c r="F203" s="69">
        <v>0.42</v>
      </c>
      <c r="G203" s="69">
        <v>-0.14000000000000001</v>
      </c>
      <c r="H203" s="69">
        <v>-0.01</v>
      </c>
      <c r="I203" s="69">
        <v>0.42</v>
      </c>
    </row>
    <row r="204" spans="1:9" x14ac:dyDescent="0.25">
      <c r="A204" s="72" t="s">
        <v>17</v>
      </c>
      <c r="B204" s="69">
        <v>0</v>
      </c>
      <c r="C204" s="69">
        <v>0</v>
      </c>
      <c r="D204" s="69">
        <v>0</v>
      </c>
      <c r="E204" s="69">
        <v>0</v>
      </c>
      <c r="F204" s="69">
        <v>0</v>
      </c>
      <c r="G204" s="69">
        <v>0</v>
      </c>
      <c r="H204" s="69">
        <v>0</v>
      </c>
      <c r="I204" s="69">
        <v>0</v>
      </c>
    </row>
    <row r="205" spans="1:9" ht="15.75" thickBot="1" x14ac:dyDescent="0.3">
      <c r="A205" s="73" t="s">
        <v>227</v>
      </c>
      <c r="B205" s="74">
        <v>0.1</v>
      </c>
      <c r="C205" s="74">
        <v>0.12</v>
      </c>
      <c r="D205" s="74">
        <v>0.06</v>
      </c>
      <c r="E205" s="74">
        <v>0.04</v>
      </c>
      <c r="F205" s="74">
        <v>0.11</v>
      </c>
      <c r="G205" s="74">
        <v>-0.02</v>
      </c>
      <c r="H205" s="74">
        <v>0.17</v>
      </c>
      <c r="I205" s="74">
        <v>0.06</v>
      </c>
    </row>
    <row r="206" spans="1:9" ht="15.75" thickTop="1" x14ac:dyDescent="0.25"/>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127</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opLeftCell="A7" zoomScaleNormal="100" workbookViewId="0">
      <selection activeCell="I10" sqref="I10"/>
    </sheetView>
  </sheetViews>
  <sheetFormatPr defaultColWidth="14.42578125" defaultRowHeight="15" customHeight="1" x14ac:dyDescent="0.25"/>
  <cols>
    <col min="1" max="1" width="48.7109375" customWidth="1"/>
    <col min="2" max="14" width="11.7109375" customWidth="1"/>
    <col min="15" max="15" width="26.42578125" customWidth="1"/>
    <col min="16" max="17" width="39.85546875" customWidth="1"/>
    <col min="18" max="18" width="17.42578125" customWidth="1"/>
    <col min="19" max="28" width="8.85546875" customWidth="1"/>
  </cols>
  <sheetData>
    <row r="1" spans="1:17"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x14ac:dyDescent="0.25">
      <c r="A2" s="16" t="s">
        <v>73</v>
      </c>
      <c r="B2" s="16"/>
      <c r="C2" s="16"/>
      <c r="D2" s="16"/>
      <c r="E2" s="16"/>
      <c r="F2" s="16"/>
      <c r="G2" s="16"/>
      <c r="H2" s="16"/>
      <c r="I2" s="16"/>
      <c r="J2" s="15"/>
      <c r="K2" s="15"/>
      <c r="L2" s="15"/>
      <c r="M2" s="15"/>
      <c r="N2" s="15"/>
      <c r="O2" s="15"/>
    </row>
    <row r="3" spans="1:17"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x14ac:dyDescent="0.25">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x14ac:dyDescent="0.25">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x14ac:dyDescent="0.25">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ht="15.75" thickBot="1" x14ac:dyDescent="0.3">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ht="15.75" thickTop="1" x14ac:dyDescent="0.25">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x14ac:dyDescent="0.25">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x14ac:dyDescent="0.25">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x14ac:dyDescent="0.25">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x14ac:dyDescent="0.25">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x14ac:dyDescent="0.25">
      <c r="A20" s="30" t="s">
        <v>82</v>
      </c>
      <c r="B20" s="16"/>
      <c r="C20" s="16"/>
      <c r="D20" s="16"/>
      <c r="E20" s="16"/>
      <c r="F20" s="16"/>
      <c r="G20" s="16"/>
      <c r="H20" s="16"/>
      <c r="I20" s="16"/>
      <c r="J20" s="15"/>
      <c r="K20" s="15"/>
      <c r="L20" s="15"/>
      <c r="M20" s="15"/>
      <c r="N20" s="15"/>
      <c r="O20" s="15"/>
    </row>
    <row r="21" spans="1:17" ht="15.75" customHeight="1" x14ac:dyDescent="0.25">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25">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25">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25">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25">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25">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25">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25">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25">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25">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25">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25">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25">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25">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25">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25">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25">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25">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25">
      <c r="A45" s="30" t="s">
        <v>101</v>
      </c>
      <c r="B45" s="16"/>
      <c r="C45" s="16"/>
      <c r="D45" s="16"/>
      <c r="E45" s="16"/>
      <c r="F45" s="16"/>
      <c r="G45" s="16"/>
      <c r="H45" s="16"/>
      <c r="I45" s="16"/>
      <c r="J45" s="15"/>
      <c r="K45" s="15"/>
      <c r="L45" s="15"/>
      <c r="M45" s="15"/>
      <c r="N45" s="15"/>
      <c r="O45" s="15"/>
    </row>
    <row r="46" spans="1:28"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25">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25">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25">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25">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25">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25">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25">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25">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25">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25">
      <c r="A57" s="1" t="s">
        <v>109</v>
      </c>
      <c r="B57" s="6"/>
      <c r="C57" s="6"/>
      <c r="D57" s="6"/>
      <c r="E57" s="6"/>
      <c r="F57" s="6"/>
      <c r="G57" s="6"/>
      <c r="H57" s="6"/>
      <c r="I57" s="6"/>
      <c r="J57" s="6"/>
      <c r="K57" s="6"/>
      <c r="L57" s="6"/>
      <c r="M57" s="6"/>
      <c r="N57" s="6"/>
      <c r="O57" s="6"/>
      <c r="P57" s="82" t="s">
        <v>258</v>
      </c>
    </row>
    <row r="58" spans="1:18" ht="15.75" customHeight="1" x14ac:dyDescent="0.25">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25">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25">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25">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25">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25">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25">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25">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25">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25">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25">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25">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25">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25"/>
    <row r="73" spans="1:18" ht="15.75" customHeight="1" x14ac:dyDescent="0.25"/>
    <row r="74" spans="1:18" ht="15.75" customHeight="1" x14ac:dyDescent="0.25"/>
    <row r="75" spans="1:18" ht="15.75" customHeight="1" x14ac:dyDescent="0.25"/>
    <row r="76" spans="1:18" ht="15.75" customHeight="1" x14ac:dyDescent="0.25"/>
    <row r="77" spans="1:18" ht="15.75" customHeight="1" x14ac:dyDescent="0.25"/>
    <row r="78" spans="1:18" ht="15.75" customHeight="1" x14ac:dyDescent="0.25"/>
    <row r="79" spans="1:18" ht="15.75" customHeight="1" x14ac:dyDescent="0.25"/>
    <row r="80" spans="1:1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40" sqref="R40"/>
    </sheetView>
  </sheetViews>
  <sheetFormatPr defaultColWidth="14.42578125" defaultRowHeight="15" customHeight="1" x14ac:dyDescent="0.25"/>
  <cols>
    <col min="1" max="94" width="8.7109375" customWidth="1"/>
  </cols>
  <sheetData>
    <row r="16" spans="17:23" ht="15" customHeight="1" x14ac:dyDescent="0.25">
      <c r="Q16" s="132" t="s">
        <v>246</v>
      </c>
      <c r="R16" s="133"/>
      <c r="S16" s="133"/>
      <c r="T16" s="133"/>
      <c r="U16" s="133"/>
      <c r="V16" s="133"/>
      <c r="W16" s="133"/>
    </row>
    <row r="17" spans="17:26" ht="15" customHeight="1" x14ac:dyDescent="0.25">
      <c r="Q17" s="78" t="s">
        <v>247</v>
      </c>
    </row>
    <row r="18" spans="17:26" ht="15" customHeight="1" x14ac:dyDescent="0.25">
      <c r="Q18" s="134" t="s">
        <v>248</v>
      </c>
      <c r="R18" s="135"/>
      <c r="S18" s="135"/>
      <c r="T18" s="135"/>
      <c r="U18" s="135"/>
      <c r="V18" s="135"/>
      <c r="W18" s="135"/>
      <c r="X18" s="135"/>
      <c r="Y18" s="135"/>
    </row>
    <row r="19" spans="17:26" ht="15" customHeight="1" x14ac:dyDescent="0.25">
      <c r="Q19" s="134" t="s">
        <v>250</v>
      </c>
      <c r="R19" s="134"/>
      <c r="S19" s="134"/>
      <c r="T19" s="134"/>
      <c r="U19" s="134"/>
      <c r="V19" s="134"/>
      <c r="W19" s="134"/>
      <c r="X19" s="134"/>
      <c r="Y19" s="134"/>
      <c r="Z19" s="134"/>
    </row>
    <row r="21" spans="17:26" ht="15.75" customHeight="1" x14ac:dyDescent="0.25"/>
    <row r="22" spans="17:26" ht="15.75" customHeight="1" x14ac:dyDescent="0.25"/>
    <row r="23" spans="17:26" ht="15.75" customHeight="1" x14ac:dyDescent="0.25"/>
    <row r="24" spans="17:26" ht="15.75" customHeight="1" x14ac:dyDescent="0.25"/>
    <row r="25" spans="17:26" ht="15.75" customHeight="1" x14ac:dyDescent="0.25"/>
    <row r="26" spans="17:26" ht="15.75" customHeight="1" x14ac:dyDescent="0.25"/>
    <row r="27" spans="17:26" ht="15.75" customHeight="1" x14ac:dyDescent="0.25"/>
    <row r="28" spans="17:26" ht="15.75" customHeight="1" x14ac:dyDescent="0.25"/>
    <row r="29" spans="17:26" ht="15.75" customHeight="1" x14ac:dyDescent="0.25"/>
    <row r="30" spans="17:26" ht="15.75" customHeight="1" x14ac:dyDescent="0.25"/>
    <row r="31" spans="17:26" ht="15.75" customHeight="1" x14ac:dyDescent="0.25"/>
    <row r="32" spans="17: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AA33"/>
  <sheetViews>
    <sheetView tabSelected="1" workbookViewId="0">
      <pane ySplit="1" topLeftCell="A8" activePane="bottomLeft" state="frozen"/>
      <selection pane="bottomLeft" activeCell="X17" sqref="X17"/>
    </sheetView>
  </sheetViews>
  <sheetFormatPr defaultColWidth="8.85546875" defaultRowHeight="15" x14ac:dyDescent="0.25"/>
  <cols>
    <col min="1" max="1" width="42.7109375" style="90" customWidth="1"/>
    <col min="2" max="2" width="10.42578125" style="90" customWidth="1"/>
    <col min="3" max="3" width="11.5703125" style="90" bestFit="1" customWidth="1"/>
    <col min="4" max="8" width="10.42578125" style="90" customWidth="1"/>
    <col min="9" max="9" width="12.140625" style="90" customWidth="1"/>
    <col min="10" max="10" width="9.7109375" style="90" customWidth="1"/>
    <col min="11" max="11" width="8.85546875" style="90" customWidth="1"/>
    <col min="12" max="12" width="34.7109375" style="90" customWidth="1"/>
    <col min="13" max="13" width="11.42578125" style="90" bestFit="1" customWidth="1"/>
    <col min="14" max="17" width="10.42578125" style="90" bestFit="1" customWidth="1"/>
    <col min="18" max="19" width="10.5703125" style="90" bestFit="1" customWidth="1"/>
    <col min="20" max="16384" width="8.85546875" style="90"/>
  </cols>
  <sheetData>
    <row r="1" spans="1:24" ht="60" customHeight="1" x14ac:dyDescent="0.25">
      <c r="A1" s="110" t="s">
        <v>294</v>
      </c>
      <c r="B1" s="109">
        <v>2015</v>
      </c>
      <c r="C1" s="109">
        <f t="shared" ref="C1:I1" si="0">+B1+1</f>
        <v>2016</v>
      </c>
      <c r="D1" s="109">
        <f t="shared" si="0"/>
        <v>2017</v>
      </c>
      <c r="E1" s="109">
        <f t="shared" si="0"/>
        <v>2018</v>
      </c>
      <c r="F1" s="109">
        <f t="shared" si="0"/>
        <v>2019</v>
      </c>
      <c r="G1" s="109">
        <f t="shared" si="0"/>
        <v>2020</v>
      </c>
      <c r="H1" s="109">
        <f t="shared" si="0"/>
        <v>2021</v>
      </c>
      <c r="I1" s="109">
        <f t="shared" si="0"/>
        <v>2022</v>
      </c>
      <c r="J1" s="121" t="s">
        <v>297</v>
      </c>
      <c r="K1" s="108" t="s">
        <v>241</v>
      </c>
      <c r="L1" s="121" t="s">
        <v>299</v>
      </c>
      <c r="M1" s="107">
        <f>+I1+1</f>
        <v>2023</v>
      </c>
      <c r="N1" s="107">
        <f t="shared" ref="N1:V1" si="1">+M1+1</f>
        <v>2024</v>
      </c>
      <c r="O1" s="107">
        <f t="shared" si="1"/>
        <v>2025</v>
      </c>
      <c r="P1" s="107">
        <f t="shared" si="1"/>
        <v>2026</v>
      </c>
      <c r="Q1" s="107">
        <f t="shared" si="1"/>
        <v>2027</v>
      </c>
      <c r="R1" s="107">
        <f t="shared" si="1"/>
        <v>2028</v>
      </c>
      <c r="S1" s="107">
        <f t="shared" si="1"/>
        <v>2029</v>
      </c>
      <c r="T1" s="107">
        <f t="shared" si="1"/>
        <v>2030</v>
      </c>
      <c r="U1" s="107">
        <f t="shared" si="1"/>
        <v>2031</v>
      </c>
      <c r="V1" s="107">
        <f t="shared" si="1"/>
        <v>2032</v>
      </c>
      <c r="W1" s="106" t="s">
        <v>293</v>
      </c>
    </row>
    <row r="2" spans="1:24" x14ac:dyDescent="0.25">
      <c r="A2" s="105" t="s">
        <v>292</v>
      </c>
      <c r="B2" s="105"/>
      <c r="C2" s="105"/>
      <c r="D2" s="105"/>
      <c r="E2" s="105"/>
      <c r="F2" s="105"/>
      <c r="G2" s="105"/>
      <c r="H2" s="105"/>
      <c r="I2" s="105"/>
      <c r="J2" s="105"/>
      <c r="K2" s="105"/>
      <c r="L2" s="105"/>
      <c r="M2" s="105"/>
      <c r="N2" s="105"/>
      <c r="O2" s="105"/>
      <c r="P2" s="105"/>
      <c r="Q2" s="105"/>
      <c r="R2" s="104"/>
      <c r="S2" s="104"/>
      <c r="T2" s="104"/>
      <c r="U2" s="104"/>
      <c r="V2" s="104"/>
      <c r="W2" s="104"/>
    </row>
    <row r="3" spans="1:24" x14ac:dyDescent="0.25">
      <c r="A3" s="90" t="s">
        <v>291</v>
      </c>
      <c r="B3" s="103">
        <f>AVERAGE(57.13, 60.46, 59.89, 56.06, 50.95, 52.53, 49.25, 46.22, 44.94, 45.61, 44.03, 41.82)</f>
        <v>50.740833333333335</v>
      </c>
      <c r="C3" s="103">
        <f>AVERAGE(46.96, 46.26, 46.36, 48.51, 53.11, 51.13, 50.71, 50.73, 54.15, 56.33, 56.44, 56.82)</f>
        <v>51.459166666666668</v>
      </c>
      <c r="D3" s="103">
        <f>AVERAGE(58.58, 56.58, 51.5, 48.56, 49.29, 55.11, 54.88, 49.29, 51.54, 51.68, 53, 49.05)</f>
        <v>52.42166666666666</v>
      </c>
      <c r="E3" s="103">
        <f>AVERAGE(70.45, 71.17, 71.09, 80.27, 77.69, 72.69, 75.1, 67.67, 64.46, 62.43, 62.98, 64.1)</f>
        <v>70.00833333333334</v>
      </c>
      <c r="F3" s="103">
        <f>AVERAGE(97.29, 89.55, 85.77, 89.96, 80.73, 82.19, 80.2, 73.49, 83.67, 80.02, 81.46, 77.81)</f>
        <v>83.51166666666667</v>
      </c>
      <c r="G3" s="103">
        <f>AVERAGE(136.87, 130.32, 116.18, 121.46, 108.02, 94.23, 94.65, 94.93, 83.95, 79.68, 85.83, 92.48)</f>
        <v>103.21666666666668</v>
      </c>
      <c r="H3" s="103">
        <f>AVERAGE(162.5, 165.01, 163.11, 141.6, 160.63, 163.06, 150.38, 132.56, 128.83, 129.09, 130.66, 129.51)</f>
        <v>146.41166666666666</v>
      </c>
      <c r="I3" s="115">
        <f>AVERAGE(115.16, 107.96, 91.22, 81.57, 104.47, 112.78, 100.05, 116.35, 122.08, 131.43, 133.37, 144.63)</f>
        <v>113.42250000000001</v>
      </c>
      <c r="J3" s="115"/>
      <c r="M3" s="103">
        <f>AVERAGE(119.24, 109.9, 102.43, 94.98, 101.03, 109.65, 109.27, 104.21, 125.46, 121.07, 117.27, 125.71)</f>
        <v>111.685</v>
      </c>
      <c r="N3" s="103">
        <f t="shared" ref="N3:Q3" si="2">AVERAGE(119.24, 109.9, 102.43, 94.98, 101.03, 109.65, 109.27, 104.21, 125.46, 121.07, 117.27, 125.71)</f>
        <v>111.685</v>
      </c>
      <c r="O3" s="103">
        <f t="shared" si="2"/>
        <v>111.685</v>
      </c>
      <c r="P3" s="103">
        <f t="shared" si="2"/>
        <v>111.685</v>
      </c>
      <c r="Q3" s="103">
        <f t="shared" si="2"/>
        <v>111.685</v>
      </c>
    </row>
    <row r="4" spans="1:24" x14ac:dyDescent="0.25">
      <c r="A4" s="90" t="s">
        <v>290</v>
      </c>
      <c r="B4" s="94">
        <f>('Three Statements'!B15*Schedules!B3)+('Three Statements'!B33+'Three Statements'!B36+'Three Statements'!B34+'Three Statements'!B37)-('Three Statements'!B21)</f>
        <v>87158.385999999999</v>
      </c>
      <c r="C4" s="94">
        <f>('Three Statements'!C15*Schedules!C3)+('Three Statements'!C33+'Three Statements'!C36+'Three Statements'!C34+'Three Statements'!C37)-('Three Statements'!C21)</f>
        <v>88584.597916666666</v>
      </c>
      <c r="D4" s="94">
        <f>('Three Statements'!D15*Schedules!D3)+('Three Statements'!D33+'Three Statements'!D36+'Three Statements'!D34+'Three Statements'!D37)-('Three Statements'!D21)</f>
        <v>88691.459999999992</v>
      </c>
      <c r="E4" s="94">
        <f>('Three Statements'!E15*Schedules!E3)+('Three Statements'!E33+'Three Statements'!E36+'Three Statements'!E34+'Three Statements'!E37)-('Three Statements'!E21)</f>
        <v>115711.82583333334</v>
      </c>
      <c r="F4" s="94">
        <f>('Three Statements'!F15*Schedules!F3)+('Three Statements'!F33+'Three Statements'!F36+'Three Statements'!F34+'Three Statements'!F37)-('Three Statements'!F21)</f>
        <v>134168.28133333335</v>
      </c>
      <c r="G4" s="94">
        <f>('Three Statements'!G15*Schedules!G3)+('Three Statements'!G33+'Three Statements'!G36+'Three Statements'!G34+'Three Statements'!G37)-('Three Statements'!G21)</f>
        <v>168946.6466666667</v>
      </c>
      <c r="H4" s="94">
        <f>('Three Statements'!H15*Schedules!H3)+('Three Statements'!H33+'Three Statements'!H36+'Three Statements'!H34+'Three Statements'!H37)-('Three Statements'!H21)</f>
        <v>238558.93633333335</v>
      </c>
      <c r="I4" s="94">
        <f>('Three Statements'!I15*Schedules!I3)+('Three Statements'!I33+'Three Statements'!I36+'Three Statements'!I34+'Three Statements'!I37)-('Three Statements'!I21)</f>
        <v>186753.96300000002</v>
      </c>
      <c r="J4" s="94"/>
      <c r="M4" s="117">
        <f>('Three Statements'!J15*M3)+('Three Statements'!J33+'Three Statements'!J36+'Three Statements'!J34+'Three Statements'!J37)-('Three Statements'!J21)</f>
        <v>182383.80325571896</v>
      </c>
      <c r="N4" s="117">
        <f>('Three Statements'!K15*N3)+('Three Statements'!K33+'Three Statements'!K36+'Three Statements'!K34+'Three Statements'!K37)-('Three Statements'!K21)</f>
        <v>180104.65485154517</v>
      </c>
      <c r="O4" s="117">
        <f>('Three Statements'!L15*O3)+('Three Statements'!L33+'Three Statements'!L36+'Three Statements'!L34+'Three Statements'!L37)-('Three Statements'!L21)</f>
        <v>176312.8579838443</v>
      </c>
      <c r="P4" s="117">
        <f>('Three Statements'!M15*P3)+('Three Statements'!M33+'Three Statements'!M36+'Three Statements'!M34+'Three Statements'!M37)-('Three Statements'!M21)</f>
        <v>171493.70790048537</v>
      </c>
      <c r="Q4" s="117">
        <f>('Three Statements'!N15*Q3)+('Three Statements'!N33+'Three Statements'!N36+'Three Statements'!N34+'Three Statements'!N37)-('Three Statements'!N21)</f>
        <v>166951.02516109575</v>
      </c>
    </row>
    <row r="5" spans="1:24" x14ac:dyDescent="0.25">
      <c r="A5" s="90" t="s">
        <v>289</v>
      </c>
      <c r="B5" s="102">
        <f>B3/'Three Statements'!B16</f>
        <v>27.421443935227622</v>
      </c>
      <c r="C5" s="102">
        <f>C3/'Three Statements'!C16</f>
        <v>23.847765403368797</v>
      </c>
      <c r="D5" s="102">
        <f>D3/'Three Statements'!D16</f>
        <v>20.919212264150939</v>
      </c>
      <c r="E5" s="102">
        <f>E3/'Three Statements'!E16</f>
        <v>60.08837342645284</v>
      </c>
      <c r="F5" s="102">
        <f>F3/'Three Statements'!F16</f>
        <v>33.545614627285516</v>
      </c>
      <c r="G5" s="102">
        <f>G3/'Three Statements'!G16</f>
        <v>64.702499671786796</v>
      </c>
      <c r="H5" s="102">
        <f>H3/'Three Statements'!H16</f>
        <v>41.144567196321518</v>
      </c>
      <c r="I5" s="102">
        <f>I3/'Three Statements'!I16</f>
        <v>30.218485444922266</v>
      </c>
      <c r="J5" s="102"/>
      <c r="M5" s="116">
        <f>M3/'Three Statements'!J16</f>
        <v>31.589519390934136</v>
      </c>
      <c r="N5" s="116">
        <f>N3/'Three Statements'!K16</f>
        <v>26.528177829258656</v>
      </c>
      <c r="O5" s="116">
        <f>O3/'Three Statements'!L16</f>
        <v>20.870621486968822</v>
      </c>
      <c r="P5" s="116">
        <f>P3/'Three Statements'!M16</f>
        <v>17.972555326929839</v>
      </c>
      <c r="Q5" s="116">
        <f>Q3/'Three Statements'!N16</f>
        <v>17.40257864663301</v>
      </c>
    </row>
    <row r="6" spans="1:24" x14ac:dyDescent="0.25">
      <c r="A6" s="90" t="s">
        <v>288</v>
      </c>
      <c r="B6" s="102">
        <f>(B3)/((SUM('Three Statements'!B39:B42))/'Three Statements'!B15)</f>
        <v>3.5315332493900997</v>
      </c>
      <c r="C6" s="102">
        <f>(C3)/((SUM('Three Statements'!C39:C42))/'Three Statements'!C15)</f>
        <v>3.6575133756186435</v>
      </c>
      <c r="D6" s="102">
        <f>(D3)/((SUM('Three Statements'!D39:D42))/'Three Statements'!D15)</f>
        <v>3.5744926251309739</v>
      </c>
      <c r="E6" s="102">
        <f>(E3)/((SUM('Three Statements'!E39:E42))/'Three Statements'!E15)</f>
        <v>5.9188150139285236</v>
      </c>
      <c r="F6" s="102">
        <f>(F3)/((SUM('Three Statements'!F39:F42))/'Three Statements'!F15)</f>
        <v>7.4754027286135694</v>
      </c>
      <c r="G6" s="102">
        <f>(G3)/((SUM('Three Statements'!G39:G42))/'Three Statements'!G15)</f>
        <v>10.197370991102835</v>
      </c>
      <c r="H6" s="102">
        <f>(H3)/((SUM('Three Statements'!H39:H42))/'Three Statements'!H15)</f>
        <v>9.2282813634108773</v>
      </c>
      <c r="I6" s="102">
        <f>(I3)/((SUM('Three Statements'!I39:I42))/'Three Statements'!I15)</f>
        <v>5.9780434199332513</v>
      </c>
      <c r="J6" s="102"/>
      <c r="M6" s="116">
        <f>(I3)/((SUM('Three Statements'!J39:J42))/'Three Statements'!J15)</f>
        <v>5.4692141115917643</v>
      </c>
      <c r="N6" s="116">
        <f>(K3)/((SUM('Three Statements'!K39:K42))/'Three Statements'!K15)</f>
        <v>0</v>
      </c>
      <c r="O6" s="116">
        <f>(M3)/((SUM('Three Statements'!L39:L42))/'Three Statements'!L15)</f>
        <v>4.4791308897757123</v>
      </c>
      <c r="P6" s="116">
        <f>(N3)/((SUM('Three Statements'!M39:M42))/'Three Statements'!M15)</f>
        <v>4.1469100433843291</v>
      </c>
      <c r="Q6" s="116">
        <f>(O3)/((SUM('Three Statements'!N39:N42))/'Three Statements'!N15)</f>
        <v>4.0458401611803962</v>
      </c>
    </row>
    <row r="7" spans="1:24" x14ac:dyDescent="0.25">
      <c r="A7" s="90" t="s">
        <v>287</v>
      </c>
      <c r="B7" s="102">
        <f>B4/'Three Statements'!B5</f>
        <v>18.011652407522217</v>
      </c>
      <c r="C7" s="102">
        <f>C4/'Three Statements'!C5</f>
        <v>16.74250574875575</v>
      </c>
      <c r="D7" s="102">
        <f>D4/'Three Statements'!D5</f>
        <v>15.694825694567331</v>
      </c>
      <c r="E7" s="102">
        <f>E4/'Three Statements'!E5</f>
        <v>22.573512647938614</v>
      </c>
      <c r="F7" s="102">
        <f>F4/'Three Statements'!F5</f>
        <v>24.152705910591063</v>
      </c>
      <c r="G7" s="102">
        <f>G4/'Three Statements'!G5</f>
        <v>45.698308538454611</v>
      </c>
      <c r="H7" s="102">
        <f>H4/'Three Statements'!H5</f>
        <v>31.115030172601195</v>
      </c>
      <c r="I7" s="102">
        <f>I4/'Three Statements'!I5</f>
        <v>24.660499537831772</v>
      </c>
      <c r="J7" s="102"/>
      <c r="M7" s="116">
        <f>M4/'Three Statements'!J5</f>
        <v>23.276708105435628</v>
      </c>
      <c r="N7" s="116">
        <f>N4/'Three Statements'!K5</f>
        <v>22.082078214714908</v>
      </c>
      <c r="O7" s="116">
        <f>O4/'Three Statements'!L5</f>
        <v>17.719773956473425</v>
      </c>
      <c r="P7" s="116">
        <f>P4/'Three Statements'!M5</f>
        <v>15.304177306240115</v>
      </c>
      <c r="Q7" s="116">
        <f>Q4/'Three Statements'!N5</f>
        <v>14.697989932419208</v>
      </c>
    </row>
    <row r="8" spans="1:24" x14ac:dyDescent="0.25">
      <c r="A8" s="90" t="s">
        <v>286</v>
      </c>
      <c r="B8" s="102">
        <f>B4/'Three Statements'!B54</f>
        <v>17.417743005595522</v>
      </c>
      <c r="C8" s="102">
        <f>C4/'Three Statements'!C54</f>
        <v>29.469260783987579</v>
      </c>
      <c r="D8" s="102">
        <f>D4/'Three Statements'!D54</f>
        <v>30.075096642929804</v>
      </c>
      <c r="E8" s="102">
        <f>E4/'Three Statements'!E54</f>
        <v>31.719250502558481</v>
      </c>
      <c r="F8" s="102">
        <f>F4/'Three Statements'!F54</f>
        <v>49.254141458639261</v>
      </c>
      <c r="G8" s="102">
        <f>G4/'Three Statements'!G54</f>
        <v>197.13727732399849</v>
      </c>
      <c r="H8" s="102">
        <f>H4/'Three Statements'!H54</f>
        <v>48.795037090066138</v>
      </c>
      <c r="I8" s="102">
        <f>I4/'Three Statements'!I54</f>
        <v>46.157677459218988</v>
      </c>
      <c r="J8" s="102"/>
      <c r="M8" s="114">
        <f>M4/'Three Statements'!J54</f>
        <v>20.820507900363463</v>
      </c>
      <c r="N8" s="114">
        <f>N4/'Three Statements'!K54</f>
        <v>21.041367515480054</v>
      </c>
      <c r="O8" s="114">
        <f>O4/'Three Statements'!L54</f>
        <v>16.896687574987453</v>
      </c>
      <c r="P8" s="114">
        <f>P4/'Three Statements'!M54</f>
        <v>14.563191903036515</v>
      </c>
      <c r="Q8" s="114">
        <f>Q4/'Three Statements'!N54</f>
        <v>13.667913207710008</v>
      </c>
    </row>
    <row r="9" spans="1:24" x14ac:dyDescent="0.25">
      <c r="A9" s="111" t="s">
        <v>295</v>
      </c>
      <c r="B9" s="112" t="str">
        <f>IFERROR((B8-A8)/(A8), "nm")</f>
        <v>nm</v>
      </c>
      <c r="C9" s="112">
        <f>IFERROR((C8-B8)/(B8), "nm")</f>
        <v>0.69191041425519118</v>
      </c>
      <c r="D9" s="112">
        <f t="shared" ref="D9:I9" si="3">IFERROR((D8-C8)/(C8), "nm")</f>
        <v>2.0558230604529174E-2</v>
      </c>
      <c r="E9" s="112">
        <f t="shared" si="3"/>
        <v>5.4668281839592769E-2</v>
      </c>
      <c r="F9" s="112">
        <f t="shared" si="3"/>
        <v>0.55281542527829941</v>
      </c>
      <c r="G9" s="112">
        <f t="shared" si="3"/>
        <v>3.0024507886213554</v>
      </c>
      <c r="H9" s="112">
        <f t="shared" si="3"/>
        <v>-0.75248193668683649</v>
      </c>
      <c r="I9" s="112">
        <f t="shared" si="3"/>
        <v>-5.4049751534753381E-2</v>
      </c>
      <c r="J9" s="112"/>
      <c r="K9" s="112"/>
      <c r="L9" s="112"/>
      <c r="M9" s="112">
        <f>IFERROR((M8-I8)/(I8), "nm")</f>
        <v>-0.54892643983747447</v>
      </c>
      <c r="N9" s="112">
        <f t="shared" ref="N9" si="4">IFERROR((N8-M8)/(M8), "nm")</f>
        <v>1.0607791902748723E-2</v>
      </c>
      <c r="O9" s="112">
        <f t="shared" ref="O9" si="5">IFERROR((O8-N8)/(N8), "nm")</f>
        <v>-0.19697768870979399</v>
      </c>
      <c r="P9" s="112">
        <f t="shared" ref="P9" si="6">IFERROR((P8-O8)/(O8), "nm")</f>
        <v>-0.1381037355159046</v>
      </c>
      <c r="Q9" s="112">
        <f t="shared" ref="Q9" si="7">IFERROR((Q8-P8)/(P8), "nm")</f>
        <v>-6.147544448273292E-2</v>
      </c>
    </row>
    <row r="10" spans="1:24" x14ac:dyDescent="0.25">
      <c r="A10" s="90" t="s">
        <v>285</v>
      </c>
      <c r="B10" s="101">
        <f>('Three Statements'!B33+'Three Statements'!B34+'Three Statements'!B36+'Three Statements'!B37)/(SUM('Three Statements'!B39))</f>
        <v>9.9157944440072407E-2</v>
      </c>
      <c r="C10" s="101">
        <f>('Three Statements'!C33+'Three Statements'!C34+'Three Statements'!C36+'Three Statements'!C37)/(SUM('Three Statements'!C39))</f>
        <v>0.1676456191874694</v>
      </c>
      <c r="D10" s="101">
        <f>('Three Statements'!D33+'Three Statements'!D34+'Three Statements'!D36+'Three Statements'!D37)/(SUM('Three Statements'!D39))</f>
        <v>0.30643991295236561</v>
      </c>
      <c r="E10" s="101">
        <f>('Three Statements'!E33+'Three Statements'!E34+'Three Statements'!E36+'Three Statements'!E37)/(SUM('Three Statements'!E39))</f>
        <v>0.38830004076640851</v>
      </c>
      <c r="F10" s="101">
        <f>('Three Statements'!F33+'Three Statements'!F34+'Three Statements'!F36+'Three Statements'!F37)/(SUM('Three Statements'!F39))</f>
        <v>0.38484513274336285</v>
      </c>
      <c r="G10" s="101">
        <f>('Three Statements'!G33+'Three Statements'!G34+'Three Statements'!G36+'Three Statements'!G37)/(SUM('Three Statements'!G39))</f>
        <v>1.6157666045934203</v>
      </c>
      <c r="H10" s="101">
        <f>('Three Statements'!H33+'Three Statements'!H34+'Three Statements'!H36+'Three Statements'!H37)/(SUM('Three Statements'!H39))</f>
        <v>1.0036030390851414</v>
      </c>
      <c r="I10" s="101">
        <f>('Three Statements'!I33+'Three Statements'!I34+'Three Statements'!I36+'Three Statements'!I37)/(SUM('Three Statements'!I39))</f>
        <v>0.82632026699823313</v>
      </c>
      <c r="J10" s="122"/>
      <c r="M10" s="113">
        <f>('Three Statements'!J33+'Three Statements'!J34+'Three Statements'!J36+'Three Statements'!J37)/(SUM('Three Statements'!J39))</f>
        <v>0.76847857841208134</v>
      </c>
      <c r="N10" s="113">
        <f>('Three Statements'!K33+'Three Statements'!K34+'Three Statements'!K36+'Three Statements'!K37)/(SUM('Three Statements'!K39))</f>
        <v>0.72613301841539257</v>
      </c>
      <c r="O10" s="113">
        <f>('Three Statements'!L33+'Three Statements'!L34+'Three Statements'!L36+'Three Statements'!L37)/(SUM('Three Statements'!L39))</f>
        <v>0.66251464930435411</v>
      </c>
      <c r="P10" s="113">
        <f>('Three Statements'!M33+'Three Statements'!M34+'Three Statements'!M36+'Three Statements'!M37)/(SUM('Three Statements'!M39))</f>
        <v>0.62560299554371024</v>
      </c>
      <c r="Q10" s="113">
        <f>('Three Statements'!N33+'Three Statements'!N34+'Three Statements'!N36+'Three Statements'!N37)/(SUM('Three Statements'!N39))</f>
        <v>0.62340450247719126</v>
      </c>
      <c r="R10" s="113"/>
      <c r="S10" s="113"/>
      <c r="T10" s="113"/>
      <c r="U10" s="113"/>
      <c r="V10" s="113"/>
      <c r="W10" s="113"/>
    </row>
    <row r="11" spans="1:24" x14ac:dyDescent="0.25">
      <c r="A11" s="90" t="s">
        <v>284</v>
      </c>
      <c r="B11" s="101">
        <f>('Three Statements'!B33+'Three Statements'!B34+'Three Statements'!B36+'Three Statements'!B37)/(SUM('Three Statements'!B39)+'Three Statements'!B33+'Three Statements'!B34+'Three Statements'!B36+'Three Statements'!B37)</f>
        <v>9.021264408963986E-2</v>
      </c>
      <c r="C11" s="101">
        <f>('Three Statements'!C33+'Three Statements'!C34+'Three Statements'!C36+'Three Statements'!C37)/(SUM('Three Statements'!C39)+'Three Statements'!C33+'Three Statements'!C34+'Three Statements'!C36+'Three Statements'!C37)</f>
        <v>0.14357577027876756</v>
      </c>
      <c r="D11" s="101">
        <f>('Three Statements'!D33+'Three Statements'!D34+'Three Statements'!D36+'Three Statements'!D37)/(SUM('Three Statements'!D39)+'Three Statements'!D33+'Three Statements'!D34+'Three Statements'!D36+'Three Statements'!D37)</f>
        <v>0.23456104633228453</v>
      </c>
      <c r="E11" s="101">
        <f>('Three Statements'!E33+'Three Statements'!E34+'Three Statements'!E36+'Three Statements'!E37)/(SUM('Three Statements'!E39)+'Three Statements'!E33+'Three Statements'!E34+'Three Statements'!E36+'Three Statements'!E37)</f>
        <v>0.27969461165761267</v>
      </c>
      <c r="F11" s="101">
        <f>('Three Statements'!F33+'Three Statements'!F34+'Three Statements'!F36+'Three Statements'!F37)/(SUM('Three Statements'!F39)+'Three Statements'!F33+'Three Statements'!F34+'Three Statements'!F36+'Three Statements'!F37)</f>
        <v>0.27789759565460498</v>
      </c>
      <c r="G11" s="101">
        <f>('Three Statements'!G33+'Three Statements'!G34+'Three Statements'!G36+'Three Statements'!G37)/(SUM('Three Statements'!G39)+'Three Statements'!G33+'Three Statements'!G34+'Three Statements'!G36+'Three Statements'!G37)</f>
        <v>0.61770289511153298</v>
      </c>
      <c r="H11" s="101">
        <f>('Three Statements'!H33+'Three Statements'!H34+'Three Statements'!H36+'Three Statements'!H37)/(SUM('Three Statements'!H39)+'Three Statements'!H33+'Three Statements'!H34+'Three Statements'!H36+'Three Statements'!H37)</f>
        <v>0.50089913995308832</v>
      </c>
      <c r="I11" s="101">
        <f>('Three Statements'!I33+'Three Statements'!I34+'Three Statements'!I36+'Three Statements'!I37)/(SUM('Three Statements'!I39)+'Three Statements'!I33+'Three Statements'!I34+'Three Statements'!I36+'Three Statements'!I37)</f>
        <v>0.45245091013329514</v>
      </c>
      <c r="J11" s="122"/>
      <c r="M11" s="113">
        <f>('Three Statements'!J33+'Three Statements'!J34+'Three Statements'!J36+'Three Statements'!J37)/(SUM('Three Statements'!J39)+'Three Statements'!J33+'Three Statements'!J34+'Three Statements'!J36+'Three Statements'!J37)</f>
        <v>0.43454220356013529</v>
      </c>
      <c r="N11" s="113">
        <f>('Three Statements'!K33+'Three Statements'!K34+'Three Statements'!K36+'Three Statements'!K37)/(SUM('Three Statements'!K39)+'Three Statements'!K33+'Three Statements'!K34+'Three Statements'!K36+'Three Statements'!K37)</f>
        <v>0.42067037167389915</v>
      </c>
      <c r="O11" s="113">
        <f>('Three Statements'!L33+'Three Statements'!L34+'Three Statements'!L36+'Three Statements'!L37)/(SUM('Three Statements'!L39)+'Three Statements'!L33+'Three Statements'!L34+'Three Statements'!L36+'Three Statements'!L37)</f>
        <v>0.39850154077232947</v>
      </c>
      <c r="P11" s="113">
        <f>('Three Statements'!M33+'Three Statements'!M34+'Three Statements'!M36+'Three Statements'!M37)/(SUM('Three Statements'!M39)+'Three Statements'!M33+'Three Statements'!M34+'Three Statements'!M36+'Three Statements'!M37)</f>
        <v>0.3848436532527838</v>
      </c>
      <c r="Q11" s="113">
        <f>('Three Statements'!N33+'Three Statements'!N34+'Three Statements'!N36+'Three Statements'!N37)/(SUM('Three Statements'!N39)+'Three Statements'!N33+'Three Statements'!N34+'Three Statements'!N36+'Three Statements'!N37)</f>
        <v>0.38401057871031136</v>
      </c>
      <c r="R11" s="113"/>
      <c r="S11" s="113"/>
      <c r="T11" s="113"/>
      <c r="U11" s="113"/>
      <c r="V11" s="113"/>
      <c r="W11" s="113"/>
    </row>
    <row r="12" spans="1:24" x14ac:dyDescent="0.25">
      <c r="A12" s="90" t="s">
        <v>283</v>
      </c>
      <c r="B12" s="101">
        <f>'Three Statements'!B14/(SUM('Three Statements'!B39))</f>
        <v>0.25757456520028332</v>
      </c>
      <c r="C12" s="101">
        <f>'Three Statements'!C14/(SUM('Three Statements'!C39))</f>
        <v>0.3067384565181922</v>
      </c>
      <c r="D12" s="101">
        <f>'Three Statements'!D14/(SUM('Three Statements'!D39))</f>
        <v>0.34174256468122832</v>
      </c>
      <c r="E12" s="101">
        <f>'Three Statements'!E14/(SUM('Three Statements'!E39))</f>
        <v>0.19700366897676314</v>
      </c>
      <c r="F12" s="101">
        <f>'Three Statements'!F14/(SUM('Three Statements'!F39))</f>
        <v>0.44568584070796458</v>
      </c>
      <c r="G12" s="101">
        <f>'Three Statements'!G14/(SUM('Three Statements'!G39))</f>
        <v>0.31520794537554314</v>
      </c>
      <c r="H12" s="101">
        <f>'Three Statements'!H14/(SUM('Three Statements'!H39))</f>
        <v>0.44857836610010182</v>
      </c>
      <c r="I12" s="101">
        <f>'Three Statements'!I14/(SUM('Three Statements'!I39))</f>
        <v>0.3956547346377855</v>
      </c>
      <c r="J12" s="122"/>
      <c r="M12" s="113">
        <f>'Three Statements'!J14/(SUM('Three Statements'!J39))</f>
        <v>0.34096322160062364</v>
      </c>
      <c r="N12" s="113">
        <f>'Three Statements'!K14/(SUM('Three Statements'!K39))</f>
        <v>0.37703779804060383</v>
      </c>
      <c r="O12" s="113">
        <f>'Three Statements'!L14/(SUM('Three Statements'!L39))</f>
        <v>0.42922831910610693</v>
      </c>
      <c r="P12" s="113">
        <f>'Three Statements'!M14/(SUM('Three Statements'!M39))</f>
        <v>0.4614713898997605</v>
      </c>
      <c r="Q12" s="113">
        <f>'Three Statements'!N14/(SUM('Three Statements'!N39))</f>
        <v>0.46497019129554934</v>
      </c>
      <c r="R12" s="113"/>
      <c r="S12" s="113"/>
      <c r="T12" s="113"/>
      <c r="U12" s="113"/>
      <c r="V12" s="113"/>
      <c r="W12" s="113"/>
    </row>
    <row r="15" spans="1:24" x14ac:dyDescent="0.25">
      <c r="B15" s="120" t="s">
        <v>296</v>
      </c>
      <c r="J15" s="122"/>
    </row>
    <row r="16" spans="1:24" x14ac:dyDescent="0.25">
      <c r="A16" s="90" t="s">
        <v>282</v>
      </c>
      <c r="B16" s="94">
        <f>'Three Statements'!B54</f>
        <v>5004</v>
      </c>
      <c r="C16" s="94">
        <f>'Three Statements'!C54</f>
        <v>3006</v>
      </c>
      <c r="D16" s="94">
        <f>'Three Statements'!D54</f>
        <v>2949</v>
      </c>
      <c r="E16" s="94">
        <f>'Three Statements'!E54</f>
        <v>3648</v>
      </c>
      <c r="F16" s="94">
        <f>'Three Statements'!F54</f>
        <v>2724</v>
      </c>
      <c r="G16" s="94">
        <f>'Three Statements'!G54</f>
        <v>857</v>
      </c>
      <c r="H16" s="94">
        <f>'Three Statements'!H54</f>
        <v>4889</v>
      </c>
      <c r="I16" s="94">
        <f>'Three Statements'!I54</f>
        <v>4046</v>
      </c>
      <c r="J16" s="94"/>
      <c r="M16" s="94">
        <f>'Three Statements'!J54</f>
        <v>8759.8152806125872</v>
      </c>
      <c r="N16" s="94">
        <f>'Three Statements'!K54</f>
        <v>8559.5508333307171</v>
      </c>
      <c r="O16" s="94">
        <f>'Three Statements'!L54</f>
        <v>10434.758718320873</v>
      </c>
      <c r="P16" s="94">
        <f>'Three Statements'!M54</f>
        <v>11775.832457768265</v>
      </c>
      <c r="Q16" s="94">
        <f>'Three Statements'!N54</f>
        <v>12214.814553176957</v>
      </c>
      <c r="R16" s="117">
        <f>Q16*(1+R17)</f>
        <v>12825.555280835806</v>
      </c>
      <c r="S16" s="117">
        <f t="shared" ref="S16:W16" si="8">R16*(1+S17)</f>
        <v>13466.833044877598</v>
      </c>
      <c r="T16" s="117">
        <f t="shared" si="8"/>
        <v>14140.174697121478</v>
      </c>
      <c r="U16" s="117">
        <f t="shared" si="8"/>
        <v>14847.183431977552</v>
      </c>
      <c r="V16" s="117">
        <f t="shared" si="8"/>
        <v>15589.54260357643</v>
      </c>
      <c r="W16" s="117">
        <f>(V16*(1+W17))/(W19-W17)</f>
        <v>216989.57948221252</v>
      </c>
      <c r="X16" s="144" t="s">
        <v>300</v>
      </c>
    </row>
    <row r="17" spans="1:27" s="98" customFormat="1" ht="12" x14ac:dyDescent="0.2">
      <c r="A17" s="99" t="s">
        <v>21</v>
      </c>
      <c r="B17" s="100" t="str">
        <f>IFERROR((B16-A16)/(A16), "nm")</f>
        <v>nm</v>
      </c>
      <c r="C17" s="100">
        <f t="shared" ref="C17:H17" si="9">IFERROR((C16-B16)/(B16), "nm")</f>
        <v>-0.39928057553956836</v>
      </c>
      <c r="D17" s="100">
        <f t="shared" si="9"/>
        <v>-1.8962075848303395E-2</v>
      </c>
      <c r="E17" s="100">
        <f t="shared" si="9"/>
        <v>0.23702950152594099</v>
      </c>
      <c r="F17" s="100">
        <f t="shared" si="9"/>
        <v>-0.25328947368421051</v>
      </c>
      <c r="G17" s="100">
        <f t="shared" si="9"/>
        <v>-0.68538913362701914</v>
      </c>
      <c r="H17" s="100">
        <f t="shared" si="9"/>
        <v>4.7047841306884477</v>
      </c>
      <c r="I17" s="100">
        <f>IFERROR((I16-H16)/(H16), "nm")</f>
        <v>-0.17242789936592351</v>
      </c>
      <c r="J17" s="100"/>
      <c r="K17" s="100"/>
      <c r="L17" s="100"/>
      <c r="M17" s="100">
        <f>IFERROR((M16-I16)/(I16), "nm")</f>
        <v>1.1650556798350438</v>
      </c>
      <c r="N17" s="100">
        <f t="shared" ref="N17" si="10">IFERROR((N16-M16)/(M16), "nm")</f>
        <v>-2.2861720352151692E-2</v>
      </c>
      <c r="O17" s="100">
        <f t="shared" ref="O17" si="11">IFERROR((O16-N16)/(N16), "nm")</f>
        <v>0.21907783731923572</v>
      </c>
      <c r="P17" s="100">
        <f t="shared" ref="P17" si="12">IFERROR((P16-O16)/(O16), "nm")</f>
        <v>0.12851986094252441</v>
      </c>
      <c r="Q17" s="100">
        <f t="shared" ref="Q17" si="13">IFERROR((Q16-P16)/(P16), "nm")</f>
        <v>3.7278221899217381E-2</v>
      </c>
      <c r="R17" s="127">
        <v>0.05</v>
      </c>
      <c r="S17" s="127">
        <v>0.05</v>
      </c>
      <c r="T17" s="127">
        <v>0.05</v>
      </c>
      <c r="U17" s="127">
        <v>0.05</v>
      </c>
      <c r="V17" s="127">
        <v>0.05</v>
      </c>
      <c r="W17" s="127">
        <v>0.03</v>
      </c>
      <c r="X17" s="146" t="s">
        <v>301</v>
      </c>
    </row>
    <row r="18" spans="1:27" s="98" customFormat="1" x14ac:dyDescent="0.25">
      <c r="A18" s="136" t="s">
        <v>306</v>
      </c>
      <c r="B18" s="137">
        <f>(B16/(1+B19))</f>
        <v>5002.9044259854973</v>
      </c>
      <c r="C18" s="137">
        <f>(C16/(1+C19)^2)</f>
        <v>2680.1672799921171</v>
      </c>
      <c r="D18" s="137">
        <f>(D16/(1+D19)^3)</f>
        <v>2339.8556995135446</v>
      </c>
      <c r="E18" s="137">
        <f>(E16/(1+E19)^4)</f>
        <v>3987.203926491185</v>
      </c>
      <c r="F18" s="137">
        <f>(F16/(1+F19)^5)</f>
        <v>1334.0847379280551</v>
      </c>
      <c r="G18" s="137">
        <f>(G16/(1+G19)^6)</f>
        <v>616.86839669842277</v>
      </c>
      <c r="H18" s="137">
        <f>(H16/(1+H19)^7)</f>
        <v>2129.2498342286508</v>
      </c>
      <c r="I18" s="137">
        <f>(I16/(1+I19)^8)</f>
        <v>1868.2156889508215</v>
      </c>
      <c r="J18" s="137"/>
      <c r="K18" s="137"/>
      <c r="L18" s="137"/>
      <c r="M18" s="137">
        <f>(M16/(1+M19)^9)</f>
        <v>3595.6158624798518</v>
      </c>
      <c r="N18" s="137">
        <f>(N16/(1+N19)^10)</f>
        <v>3182.4401251250692</v>
      </c>
      <c r="O18" s="137">
        <f>(O16/(1+O19)^11)</f>
        <v>3514.168682187887</v>
      </c>
      <c r="P18" s="137">
        <f>(P16/(1+P19)^12)</f>
        <v>3592.2184352819277</v>
      </c>
      <c r="Q18" s="137">
        <f>(Q16/(1+Q19)^13)</f>
        <v>3375.1177094409659</v>
      </c>
      <c r="R18" s="137">
        <f>(R16/(1+R19)^14)</f>
        <v>3210.030430174832</v>
      </c>
      <c r="S18" s="137">
        <f>(S16/(1+S19)^15)</f>
        <v>3053.0180721771508</v>
      </c>
      <c r="T18" s="137">
        <f>(T16/(1+T19)^16)</f>
        <v>2903.685666472833</v>
      </c>
      <c r="U18" s="137">
        <f>(U16/(1+U19)^17)</f>
        <v>2761.6575632214444</v>
      </c>
      <c r="V18" s="137">
        <f>(V16/(1+V19)^18)</f>
        <v>2626.5764867595262</v>
      </c>
      <c r="W18" s="137">
        <f>(W16/(1+W19)^19)</f>
        <v>33115.131479660107</v>
      </c>
      <c r="X18" s="138"/>
      <c r="Y18" s="138"/>
      <c r="Z18" s="138"/>
      <c r="AA18" s="138"/>
    </row>
    <row r="19" spans="1:27" x14ac:dyDescent="0.25">
      <c r="A19" s="90" t="s">
        <v>281</v>
      </c>
      <c r="B19" s="123">
        <f>((SUM('Three Statements'!B39))/(SUM('Three Statements'!B39)+('Three Statements'!B33+'Three Statements'!B34+'Three Statements'!B36+'Three Statements'!B37)))*B21+((('Three Statements'!B33+'Three Statements'!B34+'Three Statements'!B36+'Three Statements'!B37))/(SUM('Three Statements'!B39)+('Three Statements'!B33+'Three Statements'!B34+'Three Statements'!B36+'Three Statements'!B37)))*B24*(1-'Three Statements'!B13)</f>
        <v>2.1898759624754973E-4</v>
      </c>
      <c r="C19" s="123">
        <f>((SUM('Three Statements'!C39))/(SUM('Three Statements'!C39)+('Three Statements'!C33+'Three Statements'!C34+'Three Statements'!C36+'Three Statements'!C37)))*C21+((('Three Statements'!C33+'Three Statements'!C34+'Three Statements'!C36+'Three Statements'!C37))/(SUM('Three Statements'!C39)+('Three Statements'!C33+'Three Statements'!C34+'Three Statements'!C36+'Three Statements'!C37)))*C24*(1-'Three Statements'!C13)</f>
        <v>5.9042862626837077E-2</v>
      </c>
      <c r="D19" s="123">
        <f>((SUM('Three Statements'!D39))/(SUM('Three Statements'!D39)+('Three Statements'!D33+'Three Statements'!D34+'Three Statements'!D36+'Three Statements'!D37)))*D21+((('Three Statements'!D33+'Three Statements'!D34+'Three Statements'!D36+'Three Statements'!D37))/(SUM('Three Statements'!D39)+('Three Statements'!D33+'Three Statements'!D34+'Three Statements'!D36+'Three Statements'!D37)))*D24*(1-'Three Statements'!D13)</f>
        <v>8.01777631271232E-2</v>
      </c>
      <c r="E19" s="123">
        <f>((SUM('Three Statements'!E39))/(SUM('Three Statements'!E39)+('Three Statements'!E33+'Three Statements'!E34+'Three Statements'!E36+'Three Statements'!E37)))*E21+((('Three Statements'!E33+'Three Statements'!E34+'Three Statements'!E36+'Three Statements'!E37))/(SUM('Three Statements'!E39)+('Three Statements'!E33+'Three Statements'!E34+'Three Statements'!E36+'Three Statements'!E37)))*E24*(1-'Three Statements'!E13)</f>
        <v>-2.1982568692263366E-2</v>
      </c>
      <c r="F19" s="123">
        <f>((SUM('Three Statements'!F39))/(SUM('Three Statements'!F39)+('Three Statements'!F33+'Three Statements'!F34+'Three Statements'!F36+'Three Statements'!F37)))*F21+((('Three Statements'!F33+'Three Statements'!F34+'Three Statements'!F36+'Three Statements'!F37))/(SUM('Three Statements'!F39)+('Three Statements'!F33+'Three Statements'!F34+'Three Statements'!F36+'Three Statements'!F37)))*F24*(1-'Three Statements'!F13)</f>
        <v>0.15346584028795957</v>
      </c>
      <c r="G19" s="123">
        <f>((SUM('Three Statements'!G39))/(SUM('Three Statements'!G39)+('Three Statements'!G33+'Three Statements'!G34+'Three Statements'!G36+'Three Statements'!G37)))*G21+((('Three Statements'!G33+'Three Statements'!G34+'Three Statements'!G36+'Three Statements'!G37))/(SUM('Three Statements'!G39)+('Three Statements'!G33+'Three Statements'!G34+'Three Statements'!G36+'Three Statements'!G37)))*G24*(1-'Three Statements'!G13)</f>
        <v>5.632619618204053E-2</v>
      </c>
      <c r="H19" s="123">
        <f>((SUM('Three Statements'!H39))/(SUM('Three Statements'!H39)+('Three Statements'!H33+'Three Statements'!H34+'Three Statements'!H36+'Three Statements'!H37)))*H21+((('Three Statements'!H33+'Three Statements'!H34+'Three Statements'!H36+'Three Statements'!H37))/(SUM('Three Statements'!H39)+('Three Statements'!H33+'Three Statements'!H34+'Three Statements'!H36+'Three Statements'!H37)))*H24*(1-'Three Statements'!H13)</f>
        <v>0.12608322225907775</v>
      </c>
      <c r="I19" s="123">
        <f>((SUM('Three Statements'!I39))/(SUM('Three Statements'!I39)+('Three Statements'!I33+'Three Statements'!I34+'Three Statements'!I36+'Three Statements'!I37)))*I21+((('Three Statements'!I33+'Three Statements'!I34+'Three Statements'!I36+'Three Statements'!I37))/(SUM('Three Statements'!I39)+('Three Statements'!I33+'Three Statements'!I34+'Three Statements'!I36+'Three Statements'!I37)))*I24*(1-'Three Statements'!I13)</f>
        <v>0.10141213717236222</v>
      </c>
      <c r="J19" s="122"/>
      <c r="K19" s="128"/>
      <c r="L19" s="144" t="s">
        <v>302</v>
      </c>
      <c r="M19" s="139">
        <v>0.104</v>
      </c>
      <c r="N19" s="139">
        <v>0.104</v>
      </c>
      <c r="O19" s="139">
        <v>0.104</v>
      </c>
      <c r="P19" s="139">
        <v>0.104</v>
      </c>
      <c r="Q19" s="139">
        <v>0.104</v>
      </c>
      <c r="R19" s="139">
        <v>0.104</v>
      </c>
      <c r="S19" s="139">
        <v>0.104</v>
      </c>
      <c r="T19" s="139">
        <v>0.104</v>
      </c>
      <c r="U19" s="139">
        <v>0.104</v>
      </c>
      <c r="V19" s="139">
        <v>0.104</v>
      </c>
      <c r="W19" s="139">
        <v>0.104</v>
      </c>
    </row>
    <row r="20" spans="1:27" x14ac:dyDescent="0.25">
      <c r="A20" s="96" t="s">
        <v>280</v>
      </c>
      <c r="B20" s="90">
        <v>0.80710000000000004</v>
      </c>
      <c r="C20" s="90">
        <v>0.62080000000000002</v>
      </c>
      <c r="D20" s="90">
        <v>0.43830000000000002</v>
      </c>
      <c r="E20" s="90">
        <v>0.67949999999999999</v>
      </c>
      <c r="F20" s="90">
        <v>0.69140000000000001</v>
      </c>
      <c r="G20" s="90">
        <v>0.83499999999999996</v>
      </c>
      <c r="H20" s="90">
        <v>0.86209999999999998</v>
      </c>
      <c r="I20" s="90">
        <v>1.44</v>
      </c>
      <c r="J20" s="122"/>
      <c r="K20" s="118"/>
      <c r="L20" s="118"/>
    </row>
    <row r="21" spans="1:27" x14ac:dyDescent="0.25">
      <c r="A21" s="96" t="s">
        <v>279</v>
      </c>
      <c r="B21" s="95">
        <f>B22+B20*(B23-B22)</f>
        <v>-1.4744200000000006E-3</v>
      </c>
      <c r="C21" s="95">
        <f t="shared" ref="C21:H21" si="14">C22+C20*(C23-C22)</f>
        <v>6.7680480000000001E-2</v>
      </c>
      <c r="D21" s="95">
        <f t="shared" si="14"/>
        <v>0.10062078000000002</v>
      </c>
      <c r="E21" s="95">
        <f t="shared" si="14"/>
        <v>-3.2978099999999996E-2</v>
      </c>
      <c r="F21" s="95">
        <f t="shared" si="14"/>
        <v>0.20797766000000004</v>
      </c>
      <c r="G21" s="95">
        <f t="shared" si="14"/>
        <v>0.13761899999999999</v>
      </c>
      <c r="H21" s="95">
        <f t="shared" si="14"/>
        <v>0.23497659999999998</v>
      </c>
      <c r="I21" s="95">
        <f>I22+I20*(I23-I22)</f>
        <v>0.17301599999999998</v>
      </c>
      <c r="J21" s="95"/>
      <c r="K21" s="96"/>
      <c r="L21" s="96"/>
      <c r="M21" s="95"/>
      <c r="N21" s="95"/>
      <c r="O21" s="95"/>
      <c r="P21" s="95"/>
      <c r="Q21" s="95"/>
      <c r="R21" s="95"/>
      <c r="S21" s="95"/>
      <c r="T21" s="95"/>
      <c r="U21" s="95"/>
      <c r="V21" s="95"/>
      <c r="W21" s="95"/>
    </row>
    <row r="22" spans="1:27" x14ac:dyDescent="0.25">
      <c r="A22" s="96" t="s">
        <v>278</v>
      </c>
      <c r="B22" s="124">
        <v>2.29E-2</v>
      </c>
      <c r="C22" s="123">
        <v>2.23E-2</v>
      </c>
      <c r="D22" s="123">
        <v>2.76E-2</v>
      </c>
      <c r="E22" s="123">
        <v>2.9399999999999999E-2</v>
      </c>
      <c r="F22" s="123">
        <v>2.69E-2</v>
      </c>
      <c r="G22" s="123">
        <v>1.12E-2</v>
      </c>
      <c r="H22" s="123">
        <v>2.29E-2</v>
      </c>
      <c r="I22" s="124">
        <v>2.7E-2</v>
      </c>
      <c r="J22" s="126"/>
      <c r="K22" s="97"/>
      <c r="L22" s="97"/>
      <c r="M22" s="119"/>
      <c r="N22" s="95"/>
      <c r="O22" s="95"/>
      <c r="P22" s="95"/>
      <c r="Q22" s="95"/>
      <c r="R22" s="95"/>
      <c r="S22" s="95"/>
      <c r="T22" s="95"/>
      <c r="U22" s="95"/>
      <c r="V22" s="95"/>
      <c r="W22" s="95"/>
    </row>
    <row r="23" spans="1:27" x14ac:dyDescent="0.25">
      <c r="A23" s="96" t="s">
        <v>277</v>
      </c>
      <c r="B23" s="124">
        <v>-7.3000000000000001E-3</v>
      </c>
      <c r="C23" s="123">
        <v>9.5399999999999999E-2</v>
      </c>
      <c r="D23" s="123">
        <v>0.19420000000000001</v>
      </c>
      <c r="E23" s="123">
        <v>-6.2399999999999997E-2</v>
      </c>
      <c r="F23" s="123">
        <f>0.2888</f>
        <v>0.2888</v>
      </c>
      <c r="G23" s="123">
        <v>0.16259999999999999</v>
      </c>
      <c r="H23" s="123">
        <v>0.26889999999999997</v>
      </c>
      <c r="I23" s="124">
        <v>0.12839999999999999</v>
      </c>
      <c r="J23" s="126"/>
      <c r="K23" s="125"/>
      <c r="L23" s="125"/>
      <c r="M23" s="124">
        <v>0.20949999999999999</v>
      </c>
      <c r="N23" s="95"/>
      <c r="O23" s="95"/>
      <c r="P23" s="95"/>
      <c r="Q23" s="95"/>
      <c r="R23" s="95"/>
      <c r="S23" s="95"/>
      <c r="T23" s="95"/>
      <c r="U23" s="95"/>
      <c r="V23" s="95"/>
      <c r="W23" s="95"/>
    </row>
    <row r="24" spans="1:27" x14ac:dyDescent="0.25">
      <c r="A24" s="96" t="s">
        <v>276</v>
      </c>
      <c r="B24" s="95">
        <f>'Three Statements'!B10/('Three Statements'!B33+'Three Statements'!B34+'Three Statements'!B36+'Three Statements'!B37)</f>
        <v>2.2222222222222223E-2</v>
      </c>
      <c r="C24" s="95">
        <f>'Three Statements'!C10/('Three Statements'!C33+'Three Statements'!C34+'Three Statements'!C36+'Three Statements'!C37)</f>
        <v>9.2457420924574214E-3</v>
      </c>
      <c r="D24" s="95">
        <f>'Three Statements'!D10/('Three Statements'!D33+'Three Statements'!D34+'Three Statements'!D36+'Three Statements'!D37)</f>
        <v>1.551814834297738E-2</v>
      </c>
      <c r="E24" s="95">
        <f>'Three Statements'!E10/('Three Statements'!E33+'Three Statements'!E34+'Three Statements'!E36+'Three Statements'!E37)</f>
        <v>1.4173228346456693E-2</v>
      </c>
      <c r="F24" s="95">
        <f>'Three Statements'!F10/('Three Statements'!F33+'Three Statements'!F34+'Three Statements'!F36+'Three Statements'!F37)</f>
        <v>1.4084507042253521E-2</v>
      </c>
      <c r="G24" s="95">
        <f>'Three Statements'!G10/('Three Statements'!G33+'Three Statements'!G34+'Three Statements'!G36+'Three Statements'!G37)</f>
        <v>6.8382635420668461E-3</v>
      </c>
      <c r="H24" s="95">
        <f>'Three Statements'!H10/('Three Statements'!H33+'Three Statements'!H34+'Three Statements'!H36+'Three Statements'!H37)</f>
        <v>2.0447982517755404E-2</v>
      </c>
      <c r="I24" s="95">
        <f>'Three Statements'!I10/('Three Statements'!I33+'Three Statements'!I34+'Three Statements'!I36+'Three Statements'!I37)</f>
        <v>1.623505187297062E-2</v>
      </c>
      <c r="J24" s="95"/>
      <c r="M24" s="95"/>
      <c r="N24" s="95"/>
      <c r="O24" s="95"/>
      <c r="P24" s="95"/>
      <c r="Q24" s="95"/>
      <c r="R24" s="95"/>
      <c r="S24" s="95"/>
      <c r="T24" s="95"/>
      <c r="U24" s="95"/>
      <c r="V24" s="95"/>
      <c r="W24" s="95"/>
    </row>
    <row r="25" spans="1:27" x14ac:dyDescent="0.25">
      <c r="A25" s="96" t="s">
        <v>275</v>
      </c>
      <c r="B25" s="95">
        <f>('Three Statements'!B33+'Three Statements'!B34+'Three Statements'!B36+'Three Statements'!B37)/(SUM('Three Statements'!B39))</f>
        <v>9.9157944440072407E-2</v>
      </c>
      <c r="C25" s="95">
        <f>('Three Statements'!C33+'Three Statements'!C34+'Three Statements'!C36+'Three Statements'!C37)/(SUM('Three Statements'!C39))</f>
        <v>0.1676456191874694</v>
      </c>
      <c r="D25" s="95">
        <f>('Three Statements'!D33+'Three Statements'!D34+'Three Statements'!D36+'Three Statements'!D37)/(SUM('Three Statements'!D39))</f>
        <v>0.30643991295236561</v>
      </c>
      <c r="E25" s="95">
        <f>('Three Statements'!E33+'Three Statements'!E34+'Three Statements'!E36+'Three Statements'!E37)/(SUM('Three Statements'!E39))</f>
        <v>0.38830004076640851</v>
      </c>
      <c r="F25" s="95">
        <f>('Three Statements'!F33+'Three Statements'!F34+'Three Statements'!F36+'Three Statements'!F37)/(SUM('Three Statements'!F39))</f>
        <v>0.38484513274336285</v>
      </c>
      <c r="G25" s="95">
        <f>('Three Statements'!G33+'Three Statements'!G34+'Three Statements'!G36+'Three Statements'!G37)/(SUM('Three Statements'!G39))</f>
        <v>1.6157666045934203</v>
      </c>
      <c r="H25" s="95">
        <f>('Three Statements'!H33+'Three Statements'!H34+'Three Statements'!H36+'Three Statements'!H37)/(SUM('Three Statements'!H39))</f>
        <v>1.0036030390851414</v>
      </c>
      <c r="I25" s="95">
        <f>('Three Statements'!I33+'Three Statements'!I34+'Three Statements'!I36+'Three Statements'!I37)/(SUM('Three Statements'!I39))</f>
        <v>0.82632026699823313</v>
      </c>
      <c r="J25" s="122"/>
      <c r="M25" s="95"/>
      <c r="N25" s="95"/>
      <c r="O25" s="95"/>
      <c r="P25" s="95"/>
      <c r="Q25" s="95"/>
      <c r="R25" s="95"/>
      <c r="S25" s="95"/>
      <c r="T25" s="95"/>
      <c r="U25" s="95"/>
      <c r="V25" s="95"/>
      <c r="W25" s="95"/>
    </row>
    <row r="26" spans="1:27" x14ac:dyDescent="0.25">
      <c r="A26" s="90" t="s">
        <v>274</v>
      </c>
      <c r="M26" s="94"/>
      <c r="N26" s="94"/>
      <c r="O26" s="94"/>
      <c r="P26" s="94"/>
      <c r="Q26" s="94"/>
    </row>
    <row r="27" spans="1:27" ht="15.75" thickBot="1" x14ac:dyDescent="0.3">
      <c r="M27" s="94"/>
      <c r="N27" s="94"/>
      <c r="O27" s="94"/>
      <c r="P27" s="94"/>
      <c r="Q27" s="94"/>
    </row>
    <row r="28" spans="1:27" x14ac:dyDescent="0.25">
      <c r="A28" s="129" t="s">
        <v>298</v>
      </c>
      <c r="B28" s="140">
        <f>SUM(M18:V18)</f>
        <v>31814.529033321487</v>
      </c>
      <c r="C28" s="116"/>
      <c r="D28" s="144" t="s">
        <v>303</v>
      </c>
      <c r="M28" s="94"/>
      <c r="N28" s="94"/>
      <c r="O28" s="94"/>
      <c r="P28" s="94"/>
      <c r="Q28" s="94"/>
    </row>
    <row r="29" spans="1:27" x14ac:dyDescent="0.25">
      <c r="A29" s="93" t="s">
        <v>273</v>
      </c>
      <c r="B29" s="141">
        <f>W18</f>
        <v>33115.131479660107</v>
      </c>
      <c r="C29" s="116"/>
      <c r="D29" s="144" t="s">
        <v>304</v>
      </c>
      <c r="M29" s="94"/>
      <c r="N29" s="94"/>
      <c r="O29" s="94"/>
      <c r="P29" s="94"/>
      <c r="Q29" s="94"/>
    </row>
    <row r="30" spans="1:27" x14ac:dyDescent="0.25">
      <c r="A30" s="93" t="s">
        <v>272</v>
      </c>
      <c r="B30" s="142">
        <f>B28+B29</f>
        <v>64929.660512981594</v>
      </c>
      <c r="C30" s="116"/>
      <c r="D30" s="145" t="s">
        <v>305</v>
      </c>
      <c r="E30" s="116"/>
    </row>
    <row r="31" spans="1:27" x14ac:dyDescent="0.25">
      <c r="A31" s="93" t="s">
        <v>271</v>
      </c>
      <c r="B31" s="92">
        <f>('Three Statements'!B33+'Three Statements'!B34+'Three Statements'!B36+'Three Statements'!B37)</f>
        <v>1260</v>
      </c>
      <c r="D31" s="145" t="s">
        <v>305</v>
      </c>
      <c r="H31" s="130"/>
    </row>
    <row r="32" spans="1:27" x14ac:dyDescent="0.25">
      <c r="A32" s="93" t="s">
        <v>270</v>
      </c>
      <c r="B32" s="141">
        <f>B30-B31</f>
        <v>63669.660512981594</v>
      </c>
      <c r="C32" s="131"/>
      <c r="D32" s="145" t="s">
        <v>305</v>
      </c>
    </row>
    <row r="33" spans="1:4" ht="15.75" thickBot="1" x14ac:dyDescent="0.3">
      <c r="A33" s="91" t="s">
        <v>269</v>
      </c>
      <c r="B33" s="143">
        <f>B32/'Three Statements'!J15</f>
        <v>40.179859505452853</v>
      </c>
      <c r="C33" s="114"/>
      <c r="D33" s="145" t="s">
        <v>305</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2023-12-27T14:55:35Z</dcterms:modified>
</cp:coreProperties>
</file>