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ownloads_D\"/>
    </mc:Choice>
  </mc:AlternateContent>
  <xr:revisionPtr revIDLastSave="0" documentId="13_ncr:1_{07313879-8260-4A99-BDA6-159FC86419CC}" xr6:coauthVersionLast="47" xr6:coauthVersionMax="47" xr10:uidLastSave="{00000000-0000-0000-0000-000000000000}"/>
  <bookViews>
    <workbookView xWindow="-120" yWindow="-120" windowWidth="29040" windowHeight="15840"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 name="Operating Expens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7" l="1"/>
  <c r="C3" i="7"/>
  <c r="C4" i="7"/>
  <c r="C5" i="7"/>
  <c r="C6" i="7"/>
  <c r="C7" i="7"/>
  <c r="C8" i="7"/>
  <c r="C9" i="7"/>
  <c r="C10" i="7"/>
  <c r="C11" i="7"/>
  <c r="C12" i="7"/>
  <c r="C13" i="7"/>
  <c r="C14" i="7"/>
  <c r="C15" i="7"/>
  <c r="C16" i="7"/>
  <c r="C2" i="7"/>
  <c r="N7" i="3"/>
  <c r="O3" i="6"/>
  <c r="P3" i="6"/>
  <c r="Q3" i="6" s="1"/>
  <c r="N3" i="6"/>
  <c r="N6" i="6" s="1"/>
  <c r="M4" i="6"/>
  <c r="D4" i="6"/>
  <c r="E4" i="6"/>
  <c r="F4" i="6"/>
  <c r="G4" i="6"/>
  <c r="H4" i="6"/>
  <c r="I4" i="6"/>
  <c r="B4" i="6"/>
  <c r="C4" i="6"/>
  <c r="Q19" i="6"/>
  <c r="O19" i="6"/>
  <c r="N19" i="6"/>
  <c r="B32" i="6"/>
  <c r="I22" i="6"/>
  <c r="B11" i="6"/>
  <c r="N17" i="6"/>
  <c r="O17" i="6"/>
  <c r="P17" i="6"/>
  <c r="P18" i="6" s="1"/>
  <c r="Q17" i="6"/>
  <c r="R17" i="6" s="1"/>
  <c r="S17" i="6" s="1"/>
  <c r="T17" i="6" s="1"/>
  <c r="M17" i="6"/>
  <c r="C17" i="6"/>
  <c r="C18" i="6" s="1"/>
  <c r="D17" i="6"/>
  <c r="D19" i="6" s="1"/>
  <c r="E17" i="6"/>
  <c r="F17" i="6"/>
  <c r="F18" i="6" s="1"/>
  <c r="G17" i="6"/>
  <c r="H17" i="6"/>
  <c r="I17" i="6"/>
  <c r="I18" i="6" s="1"/>
  <c r="B17" i="6"/>
  <c r="B18" i="6" s="1"/>
  <c r="I12" i="6"/>
  <c r="C26" i="6"/>
  <c r="D26" i="6"/>
  <c r="E26" i="6"/>
  <c r="F26" i="6"/>
  <c r="G26" i="6"/>
  <c r="H26" i="6"/>
  <c r="I26" i="6"/>
  <c r="B26" i="6"/>
  <c r="N13" i="6"/>
  <c r="O13" i="6"/>
  <c r="P13" i="6"/>
  <c r="Q13" i="6"/>
  <c r="M13" i="6"/>
  <c r="N12" i="6"/>
  <c r="O12" i="6"/>
  <c r="P12" i="6"/>
  <c r="Q12" i="6"/>
  <c r="M12" i="6"/>
  <c r="N11" i="6"/>
  <c r="O11" i="6"/>
  <c r="P11" i="6"/>
  <c r="Q11" i="6"/>
  <c r="M11" i="6"/>
  <c r="C13" i="6"/>
  <c r="D13" i="6"/>
  <c r="E13" i="6"/>
  <c r="F13" i="6"/>
  <c r="G13" i="6"/>
  <c r="H13" i="6"/>
  <c r="I13" i="6"/>
  <c r="B13" i="6"/>
  <c r="C12" i="6"/>
  <c r="D12" i="6"/>
  <c r="E12" i="6"/>
  <c r="F12" i="6"/>
  <c r="G12" i="6"/>
  <c r="H12" i="6"/>
  <c r="B12" i="6"/>
  <c r="I11" i="6"/>
  <c r="C11" i="6"/>
  <c r="D11" i="6"/>
  <c r="F11" i="6"/>
  <c r="G11" i="6"/>
  <c r="H11" i="6"/>
  <c r="E11" i="6"/>
  <c r="C22" i="6"/>
  <c r="D22" i="6"/>
  <c r="D20" i="6" s="1"/>
  <c r="E22" i="6"/>
  <c r="E20" i="6" s="1"/>
  <c r="E19" i="6" s="1"/>
  <c r="G22" i="6"/>
  <c r="H22" i="6"/>
  <c r="B22" i="6"/>
  <c r="F24" i="6"/>
  <c r="F22" i="6" s="1"/>
  <c r="C25" i="6"/>
  <c r="D25" i="6"/>
  <c r="E25" i="6"/>
  <c r="F25" i="6"/>
  <c r="G25" i="6"/>
  <c r="H25" i="6"/>
  <c r="I25" i="6"/>
  <c r="B25" i="6"/>
  <c r="N7" i="6"/>
  <c r="O5" i="6"/>
  <c r="O8" i="6" s="1"/>
  <c r="B3" i="6"/>
  <c r="B7" i="6" s="1"/>
  <c r="C3" i="6"/>
  <c r="C5" i="6" s="1"/>
  <c r="M3" i="6"/>
  <c r="O7" i="6" s="1"/>
  <c r="I3" i="6"/>
  <c r="M7" i="6" s="1"/>
  <c r="H3" i="6"/>
  <c r="H7" i="6" s="1"/>
  <c r="G3" i="6"/>
  <c r="G6" i="6" s="1"/>
  <c r="F3" i="6"/>
  <c r="F7" i="6" s="1"/>
  <c r="E3" i="6"/>
  <c r="E5" i="6" s="1"/>
  <c r="D3" i="6"/>
  <c r="D7" i="6" s="1"/>
  <c r="C1" i="6"/>
  <c r="D1" i="6" s="1"/>
  <c r="E1" i="6" s="1"/>
  <c r="F1" i="6" s="1"/>
  <c r="G1" i="6" s="1"/>
  <c r="H1" i="6" s="1"/>
  <c r="I1" i="6" s="1"/>
  <c r="M1" i="6" s="1"/>
  <c r="N1" i="6" s="1"/>
  <c r="O1" i="6" s="1"/>
  <c r="P1" i="6" s="1"/>
  <c r="Q1" i="6" s="1"/>
  <c r="R1" i="6" s="1"/>
  <c r="S1" i="6" s="1"/>
  <c r="T1" i="6" s="1"/>
  <c r="U1" i="6" s="1"/>
  <c r="V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R3" i="6" l="1"/>
  <c r="S3" i="6" s="1"/>
  <c r="T3" i="6" s="1"/>
  <c r="U3" i="6" s="1"/>
  <c r="V3" i="6" s="1"/>
  <c r="W3" i="6" s="1"/>
  <c r="Q5" i="6"/>
  <c r="Q8" i="6" s="1"/>
  <c r="P5" i="6"/>
  <c r="P9" i="6" s="1"/>
  <c r="I5" i="6"/>
  <c r="I9" i="6" s="1"/>
  <c r="H20" i="6"/>
  <c r="H19" i="6" s="1"/>
  <c r="E18" i="6"/>
  <c r="I19" i="6"/>
  <c r="G20" i="6"/>
  <c r="G19" i="6" s="1"/>
  <c r="M18" i="6"/>
  <c r="M19" i="6"/>
  <c r="F20" i="6"/>
  <c r="F19" i="6" s="1"/>
  <c r="P19" i="6"/>
  <c r="U17" i="6"/>
  <c r="V17" i="6" s="1"/>
  <c r="V19" i="6" s="1"/>
  <c r="R19" i="6"/>
  <c r="S19" i="6"/>
  <c r="T19" i="6"/>
  <c r="I20" i="6"/>
  <c r="Q6" i="6"/>
  <c r="C20" i="6"/>
  <c r="C19" i="6" s="1"/>
  <c r="H18" i="6"/>
  <c r="B20" i="6"/>
  <c r="B19" i="6" s="1"/>
  <c r="O18" i="6"/>
  <c r="N18" i="6"/>
  <c r="Q18" i="6"/>
  <c r="I8" i="6"/>
  <c r="D18" i="6"/>
  <c r="I7" i="6"/>
  <c r="H5" i="6"/>
  <c r="H8" i="6" s="1"/>
  <c r="I6" i="6"/>
  <c r="G18" i="6"/>
  <c r="G5" i="6"/>
  <c r="G8" i="6" s="1"/>
  <c r="C6" i="6"/>
  <c r="F5" i="6"/>
  <c r="F9" i="6" s="1"/>
  <c r="M6" i="6"/>
  <c r="C8" i="6"/>
  <c r="C9" i="6"/>
  <c r="E8" i="6"/>
  <c r="E9" i="6"/>
  <c r="G7" i="6"/>
  <c r="P7" i="6"/>
  <c r="H9" i="6"/>
  <c r="D5" i="6"/>
  <c r="F8" i="6"/>
  <c r="M5" i="6"/>
  <c r="M9" i="6" s="1"/>
  <c r="F6" i="6"/>
  <c r="B5" i="6"/>
  <c r="B9" i="6" s="1"/>
  <c r="Q7" i="6"/>
  <c r="N5" i="6"/>
  <c r="E6" i="6"/>
  <c r="E7" i="6"/>
  <c r="D6" i="6"/>
  <c r="C7" i="6"/>
  <c r="O9" i="6"/>
  <c r="B6" i="6"/>
  <c r="P6" i="6"/>
  <c r="O6" i="6"/>
  <c r="H6"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P8" i="6" l="1"/>
  <c r="Q9" i="6"/>
  <c r="Q10" i="6" s="1"/>
  <c r="U19" i="6"/>
  <c r="W17" i="6"/>
  <c r="W19" i="6" s="1"/>
  <c r="B30" i="6" s="1"/>
  <c r="B29" i="6"/>
  <c r="F10" i="6"/>
  <c r="G9" i="6"/>
  <c r="G10" i="6" s="1"/>
  <c r="I10" i="6"/>
  <c r="P10" i="6"/>
  <c r="D8" i="6"/>
  <c r="D9" i="6"/>
  <c r="D10" i="6" s="1"/>
  <c r="N8" i="6"/>
  <c r="N9" i="6"/>
  <c r="B8" i="6"/>
  <c r="M10" i="6"/>
  <c r="M8"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B31" i="6" l="1"/>
  <c r="B33" i="6" s="1"/>
  <c r="B34" i="6" s="1"/>
  <c r="H10" i="6"/>
  <c r="B10" i="6"/>
  <c r="C10" i="6"/>
  <c r="N10" i="6"/>
  <c r="E10" i="6"/>
  <c r="O10"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<sst xmlns="http://schemas.openxmlformats.org/spreadsheetml/2006/main" count="646" uniqueCount="315">
  <si>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</si>
  <si>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</si>
  <si>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</si>
  <si>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</si>
  <si>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</si>
  <si>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</si>
  <si>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</si>
  <si>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</si>
  <si>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</si>
  <si>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</si>
  <si>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</si>
  <si>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</si>
  <si>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</si>
  <si>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</si>
  <si>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</si>
  <si>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</si>
  <si>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</si>
  <si>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</si>
  <si>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</si>
  <si>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</si>
  <si>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</si>
  <si>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</si>
  <si>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</si>
  <si>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</si>
  <si>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</si>
  <si>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</si>
  <si>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</si>
  <si>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</si>
  <si>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</si>
  <si>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</si>
  <si>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</si>
  <si>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</si>
  <si>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</si>
  <si>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</si>
  <si>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</si>
  <si>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</si>
  <si>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</si>
  <si>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</si>
  <si>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</si>
  <si>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</si>
  <si>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</si>
  <si>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</si>
  <si>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</si>
  <si>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</si>
  <si>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</si>
  <si>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</si>
  <si>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</si>
  <si>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</si>
  <si>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</si>
  <si>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</si>
  <si>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</si>
  <si>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</si>
  <si>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</si>
  <si>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</si>
  <si>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</si>
  <si>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</si>
  <si>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</si>
  <si>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</si>
  <si>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</si>
  <si>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</si>
  <si>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</si>
  <si>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</si>
  <si>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</si>
  <si>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</si>
  <si>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</si>
  <si>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</si>
  <si>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</si>
  <si>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</si>
  <si>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</si>
  <si>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</si>
  <si>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</si>
  <si>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</si>
  <si>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</si>
  <si>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</si>
  <si>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</si>
  <si>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</si>
  <si>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</si>
  <si>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</si>
  <si>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</si>
  <si>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</si>
  <si>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</si>
  <si>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</si>
  <si>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</si>
  <si>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</si>
  <si>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</si>
  <si>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</si>
  <si>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</si>
  <si>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</si>
  <si>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</si>
  <si>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</si>
  <si>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</si>
  <si>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</si>
  <si>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</si>
  <si>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</si>
  <si>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</si>
  <si>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</si>
  <si>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</si>
  <si>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</si>
  <si>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</si>
  <si>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</si>
  <si>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</si>
  <si>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</si>
  <si>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</si>
  <si>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</si>
  <si>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</si>
  <si>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</si>
  <si>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</si>
  <si>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</si>
  <si>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</si>
  <si>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</si>
  <si>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</si>
  <si>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</si>
  <si>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</si>
  <si>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</si>
  <si>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</si>
  <si>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</si>
  <si>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</si>
  <si>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</si>
  <si>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</si>
  <si>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</si>
  <si>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</si>
  <si>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</si>
  <si>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</si>
  <si>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</si>
  <si>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</si>
  <si>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</si>
  <si>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</si>
  <si>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</si>
  <si>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</si>
  <si>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</si>
  <si>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</si>
  <si>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</si>
  <si>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</si>
  <si>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</si>
  <si>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</si>
  <si>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</si>
  <si>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</si>
  <si>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</si>
  <si>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</si>
  <si>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</si>
  <si>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</si>
  <si>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</si>
  <si>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</si>
  <si>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</si>
  <si>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</si>
  <si>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</si>
  <si>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</si>
  <si>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</si>
  <si>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</si>
  <si>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</si>
  <si>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</si>
  <si>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</si>
  <si>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</si>
  <si>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</si>
  <si>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</si>
  <si>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</si>
  <si>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</si>
  <si>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</si>
  <si>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</si>
  <si>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</si>
  <si>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</si>
  <si>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</si>
  <si>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</si>
  <si>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</si>
  <si>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</si>
  <si>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</si>
  <si>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</si>
  <si>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</si>
  <si>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</si>
  <si>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</si>
  <si>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</si>
  <si>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</si>
  <si>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</si>
  <si>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</si>
  <si>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</si>
  <si>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</si>
  <si>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</si>
  <si>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</si>
  <si>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</si>
  <si>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</si>
  <si>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</si>
  <si>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</si>
  <si>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</si>
  <si>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</si>
  <si>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</si>
  <si>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</si>
  <si>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</si>
  <si>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</si>
  <si>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</si>
  <si>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</si>
  <si>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</si>
  <si>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</si>
  <si>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</si>
  <si>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</si>
  <si>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</si>
  <si>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</si>
  <si>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</si>
  <si>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</si>
  <si>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</si>
  <si>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</si>
  <si>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</si>
  <si>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</si>
  <si>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</si>
  <si>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</si>
  <si>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</si>
  <si>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</si>
  <si>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</si>
  <si>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</si>
  <si>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</si>
  <si>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</si>
  <si>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</si>
  <si>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</si>
  <si>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</si>
  <si>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</si>
  <si>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</si>
  <si>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</si>
  <si>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</si>
  <si>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</si>
  <si>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</si>
  <si>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</si>
  <si>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</si>
  <si>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</si>
  <si>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</si>
  <si>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</si>
  <si>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</si>
  <si>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</si>
  <si>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</si>
  <si>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</si>
  <si>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</si>
  <si>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</si>
  <si>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</si>
  <si>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</si>
  <si>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</si>
  <si>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</si>
  <si>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</si>
  <si>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</si>
  <si>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</si>
  <si>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</si>
  <si>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</si>
  <si>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</si>
  <si>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</si>
  <si>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</si>
  <si>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</si>
  <si>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</si>
  <si>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</si>
  <si>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</si>
  <si>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</si>
  <si>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</si>
  <si>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</si>
  <si>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</si>
  <si>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</si>
  <si>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</si>
  <si>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</si>
  <si>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</si>
  <si>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</si>
  <si>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</si>
  <si>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</si>
  <si>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</si>
  <si>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</si>
  <si>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</si>
  <si>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</si>
  <si>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</si>
  <si>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</si>
  <si>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</si>
  <si>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</si>
  <si>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</si>
  <si>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</si>
  <si>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</si>
  <si>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</si>
  <si>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</si>
  <si>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</si>
  <si>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</si>
  <si>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 xml:space="preserve">Value of the firm </t>
  </si>
  <si>
    <t xml:space="preserve">Present Value of Terminal Value of Firm </t>
  </si>
  <si>
    <t>Present Values</t>
  </si>
  <si>
    <t>Debt Ratio</t>
  </si>
  <si>
    <t>Cost of Debt</t>
  </si>
  <si>
    <t>Rm</t>
  </si>
  <si>
    <t>Rf</t>
  </si>
  <si>
    <t>Cost of Equity</t>
  </si>
  <si>
    <t>Beta</t>
  </si>
  <si>
    <t>WACC</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</si>
  <si>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</si>
  <si>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</si>
  <si>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</si>
  <si>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</si>
  <si>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</si>
  <si>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</si>
  <si>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</si>
  <si>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</si>
  <si>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</si>
  <si>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</si>
  <si>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</si>
  <si>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</si>
  <si>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</si>
  <si>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</si>
  <si>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Link from three statements sheet</t>
  </si>
  <si>
    <t>Feedback</t>
  </si>
  <si>
    <t>Present Value of FCFF in high growth phase (is this meaning 2023?)</t>
  </si>
  <si>
    <t>Feedback 2</t>
  </si>
  <si>
    <t>Calculate TV using Gordon's growth model in cell W16</t>
  </si>
  <si>
    <t>Calculate the PV of cash flows for columns M to W each year in each column</t>
  </si>
  <si>
    <t>Should be the sum of M18 to V18. Link these calculations in the table in column B</t>
  </si>
  <si>
    <t>Link PV of TV in cell W18 here. Link these calculations in the table in column B</t>
  </si>
  <si>
    <t>Link these calculations in the table in column B</t>
  </si>
  <si>
    <t>PV of Cash Flow</t>
  </si>
  <si>
    <t>PV Calculation formula corrected (n value in M18 now starts at 1, N18 has 2 etc)</t>
  </si>
  <si>
    <t>Change terminal growth rate in cell W17 to 5%</t>
  </si>
  <si>
    <t>Change FCFF growth rates in R to V to 7%</t>
  </si>
  <si>
    <t xml:space="preserve">  Growth %</t>
  </si>
  <si>
    <t>Year</t>
  </si>
  <si>
    <t>Annual Operating Expenses (Millions of US $)</t>
  </si>
  <si>
    <t>from https://www.macrotrends.net/stocks/charts/NKE/nike/operating-expenses#:~:text=NIKE%20operating%20expenses%20for%20the%20twelve%20months%20ending%20November%2030,a%206.47%25%20increase%20from%202021.</t>
  </si>
  <si>
    <t>Growth Rate (%)</t>
  </si>
  <si>
    <t>Average Growth Rate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</si>
</sst>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family val="2"/>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s>
  <fills count="19">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92D050"/>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30" fillId="0" borderId="0" applyFont="0" applyFill="0" applyBorder="0" applyAlignment="0" applyProtection="0"/>
    <xf numFmtId="0" fontId="13" fillId="0" borderId="1"/>
    <xf numFmtId="43" fontId="13" fillId="0" borderId="1" applyFont="0" applyFill="0" applyBorder="0" applyAlignment="0" applyProtection="0"/>
    <xf numFmtId="9" fontId="13" fillId="0" borderId="1" applyFont="0" applyFill="0" applyBorder="0" applyAlignment="0" applyProtection="0"/>
    <xf numFmtId="43" fontId="13" fillId="0" borderId="1" applyFont="0" applyFill="0" applyBorder="0" applyAlignment="0" applyProtection="0"/>
    <xf numFmtId="0" fontId="33" fillId="13" borderId="1" applyNumberFormat="0" applyBorder="0" applyAlignment="0" applyProtection="0"/>
    <xf numFmtId="0" fontId="33" fillId="14" borderId="1" applyNumberFormat="0" applyBorder="0" applyAlignment="0" applyProtection="0"/>
    <xf numFmtId="43" fontId="13" fillId="0" borderId="1" applyFont="0" applyFill="0" applyBorder="0" applyAlignment="0" applyProtection="0"/>
    <xf numFmtId="0" fontId="46" fillId="0" borderId="0" applyNumberFormat="0" applyFill="0" applyBorder="0" applyAlignment="0" applyProtection="0"/>
    <xf numFmtId="0" fontId="11" fillId="0" borderId="1"/>
    <xf numFmtId="164" fontId="11" fillId="0" borderId="1" applyFont="0" applyFill="0" applyBorder="0" applyAlignment="0" applyProtection="0"/>
    <xf numFmtId="9" fontId="11" fillId="0" borderId="1" applyFont="0" applyFill="0" applyBorder="0" applyAlignment="0" applyProtection="0"/>
    <xf numFmtId="0" fontId="48" fillId="0" borderId="1" applyNumberFormat="0" applyFill="0" applyBorder="0" applyAlignment="0" applyProtection="0"/>
    <xf numFmtId="9" fontId="51" fillId="0" borderId="0" applyFont="0" applyFill="0" applyBorder="0" applyAlignment="0" applyProtection="0"/>
  </cellStyleXfs>
  <cellXfs count="153">
    <xf numFmtId="0" fontId="0" fillId="0" borderId="0" xfId="0"/>
    <xf numFmtId="0" fontId="17" fillId="0" borderId="0" xfId="0" applyFont="1"/>
    <xf numFmtId="0" fontId="18" fillId="0" borderId="0" xfId="0" applyFont="1"/>
    <xf numFmtId="0" fontId="19" fillId="0" borderId="0" xfId="0" applyFont="1" applyAlignment="1">
      <alignment horizontal="left"/>
    </xf>
    <xf numFmtId="0" fontId="20" fillId="2" borderId="1" xfId="0" applyFont="1" applyFill="1" applyBorder="1" applyAlignment="1">
      <alignment vertical="center" wrapText="1"/>
    </xf>
    <xf numFmtId="0" fontId="21" fillId="2" borderId="1" xfId="0" applyFont="1" applyFill="1" applyBorder="1" applyAlignment="1">
      <alignment horizontal="right"/>
    </xf>
    <xf numFmtId="165" fontId="19" fillId="0" borderId="0" xfId="0" applyNumberFormat="1" applyFont="1"/>
    <xf numFmtId="165" fontId="18" fillId="0" borderId="0" xfId="0" applyNumberFormat="1" applyFont="1"/>
    <xf numFmtId="0" fontId="18" fillId="0" borderId="2" xfId="0" applyFont="1" applyBorder="1"/>
    <xf numFmtId="165" fontId="18" fillId="0" borderId="2" xfId="0" applyNumberFormat="1" applyFont="1" applyBorder="1"/>
    <xf numFmtId="0" fontId="18" fillId="0" borderId="3" xfId="0" applyFont="1" applyBorder="1"/>
    <xf numFmtId="165" fontId="18" fillId="0" borderId="3" xfId="0" applyNumberFormat="1" applyFont="1" applyBorder="1"/>
    <xf numFmtId="165" fontId="22" fillId="0" borderId="0" xfId="0" applyNumberFormat="1" applyFont="1"/>
    <xf numFmtId="165" fontId="18" fillId="0" borderId="4" xfId="0" applyNumberFormat="1" applyFont="1" applyBorder="1"/>
    <xf numFmtId="0" fontId="18" fillId="0" borderId="4" xfId="0" applyFont="1" applyBorder="1"/>
    <xf numFmtId="0" fontId="18" fillId="3" borderId="1" xfId="0" applyFont="1" applyFill="1" applyBorder="1"/>
    <xf numFmtId="165" fontId="21" fillId="4" borderId="1" xfId="0" applyNumberFormat="1" applyFont="1" applyFill="1" applyBorder="1" applyAlignment="1">
      <alignment horizontal="left"/>
    </xf>
    <xf numFmtId="165" fontId="25" fillId="0" borderId="0" xfId="0" applyNumberFormat="1" applyFont="1" applyAlignment="1">
      <alignment horizontal="left"/>
    </xf>
    <xf numFmtId="166" fontId="23" fillId="0" borderId="0" xfId="0" applyNumberFormat="1" applyFont="1" applyAlignment="1">
      <alignment horizontal="right"/>
    </xf>
    <xf numFmtId="165" fontId="18" fillId="5" borderId="1" xfId="0" applyNumberFormat="1" applyFont="1" applyFill="1" applyBorder="1"/>
    <xf numFmtId="165" fontId="19" fillId="0" borderId="0" xfId="0" applyNumberFormat="1" applyFont="1" applyAlignment="1">
      <alignment horizontal="left"/>
    </xf>
    <xf numFmtId="166" fontId="26" fillId="6" borderId="1" xfId="0" applyNumberFormat="1" applyFont="1" applyFill="1" applyBorder="1"/>
    <xf numFmtId="0" fontId="19" fillId="7" borderId="1" xfId="0" applyFont="1" applyFill="1" applyBorder="1"/>
    <xf numFmtId="10" fontId="23" fillId="0" borderId="0" xfId="0" applyNumberFormat="1" applyFont="1" applyAlignment="1">
      <alignment horizontal="right"/>
    </xf>
    <xf numFmtId="10" fontId="26" fillId="6" borderId="1" xfId="0" applyNumberFormat="1" applyFont="1" applyFill="1" applyBorder="1"/>
    <xf numFmtId="166" fontId="26" fillId="0" borderId="0" xfId="0" applyNumberFormat="1" applyFont="1"/>
    <xf numFmtId="166" fontId="24" fillId="0" borderId="0" xfId="0" applyNumberFormat="1" applyFont="1" applyAlignment="1">
      <alignment horizontal="right"/>
    </xf>
    <xf numFmtId="166" fontId="25" fillId="0" borderId="0" xfId="0" applyNumberFormat="1" applyFont="1" applyAlignment="1">
      <alignment horizontal="right"/>
    </xf>
    <xf numFmtId="166" fontId="27" fillId="8" borderId="1" xfId="0" applyNumberFormat="1" applyFont="1" applyFill="1" applyBorder="1"/>
    <xf numFmtId="164" fontId="19" fillId="0" borderId="0" xfId="0" applyNumberFormat="1" applyFont="1"/>
    <xf numFmtId="0" fontId="21" fillId="4" borderId="1" xfId="0" applyFont="1" applyFill="1" applyBorder="1"/>
    <xf numFmtId="164" fontId="22" fillId="0" borderId="0" xfId="0" applyNumberFormat="1" applyFont="1"/>
    <xf numFmtId="0" fontId="0" fillId="9" borderId="0" xfId="0" applyFill="1"/>
    <xf numFmtId="0" fontId="16" fillId="9" borderId="0" xfId="0" applyFont="1" applyFill="1"/>
    <xf numFmtId="0" fontId="34" fillId="10" borderId="0" xfId="0" applyFont="1" applyFill="1" applyAlignment="1">
      <alignment vertical="center" wrapText="1"/>
    </xf>
    <xf numFmtId="0" fontId="31"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32" fillId="0" borderId="0" xfId="0" applyFont="1"/>
    <xf numFmtId="165" fontId="32"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6" fillId="0" borderId="0" xfId="0" applyNumberFormat="1" applyFont="1"/>
    <xf numFmtId="0" fontId="32" fillId="0" borderId="6" xfId="0" applyFont="1" applyBorder="1"/>
    <xf numFmtId="165" fontId="32" fillId="0" borderId="6" xfId="1" applyNumberFormat="1" applyFont="1" applyBorder="1"/>
    <xf numFmtId="0" fontId="32" fillId="0" borderId="7" xfId="0" applyFont="1" applyBorder="1"/>
    <xf numFmtId="165" fontId="32" fillId="0" borderId="7" xfId="1" applyNumberFormat="1" applyFont="1" applyBorder="1"/>
    <xf numFmtId="167" fontId="0" fillId="0" borderId="0" xfId="0" applyNumberFormat="1"/>
    <xf numFmtId="3" fontId="0" fillId="0" borderId="0" xfId="0" applyNumberFormat="1"/>
    <xf numFmtId="0" fontId="37" fillId="0" borderId="0" xfId="0" applyFont="1"/>
    <xf numFmtId="165" fontId="37" fillId="0" borderId="0" xfId="0" applyNumberFormat="1" applyFont="1"/>
    <xf numFmtId="0" fontId="32" fillId="11" borderId="0" xfId="0" applyFont="1" applyFill="1" applyAlignment="1">
      <alignment horizontal="center"/>
    </xf>
    <xf numFmtId="0" fontId="32"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2" fillId="0" borderId="8" xfId="0" applyFont="1" applyBorder="1" applyAlignment="1">
      <alignment horizontal="left"/>
    </xf>
    <xf numFmtId="165" fontId="32" fillId="0" borderId="8" xfId="1" applyNumberFormat="1" applyFont="1" applyBorder="1"/>
    <xf numFmtId="0" fontId="32" fillId="0" borderId="8" xfId="0" applyFont="1" applyBorder="1"/>
    <xf numFmtId="0" fontId="32" fillId="0" borderId="0" xfId="0" applyFont="1" applyAlignment="1">
      <alignment horizontal="left"/>
    </xf>
    <xf numFmtId="0" fontId="36" fillId="0" borderId="0" xfId="0" applyFont="1"/>
    <xf numFmtId="3" fontId="36" fillId="0" borderId="0" xfId="0" applyNumberFormat="1" applyFont="1"/>
    <xf numFmtId="165" fontId="15" fillId="0" borderId="0" xfId="1" applyNumberFormat="1" applyFont="1"/>
    <xf numFmtId="165" fontId="38" fillId="0" borderId="0" xfId="0" applyNumberFormat="1" applyFont="1"/>
    <xf numFmtId="0" fontId="39" fillId="0" borderId="0" xfId="0" applyFont="1" applyAlignment="1">
      <alignment horizontal="left" indent="1"/>
    </xf>
    <xf numFmtId="166" fontId="40" fillId="0" borderId="0" xfId="0" applyNumberFormat="1" applyFont="1"/>
    <xf numFmtId="0" fontId="41" fillId="0" borderId="0" xfId="0" applyFont="1" applyAlignment="1">
      <alignment horizontal="left" indent="2"/>
    </xf>
    <xf numFmtId="166" fontId="42" fillId="0" borderId="0" xfId="0" applyNumberFormat="1" applyFont="1"/>
    <xf numFmtId="0" fontId="41" fillId="0" borderId="6" xfId="0" applyFont="1" applyBorder="1"/>
    <xf numFmtId="166" fontId="40" fillId="0" borderId="6" xfId="0" applyNumberFormat="1" applyFont="1" applyBorder="1"/>
    <xf numFmtId="0" fontId="41" fillId="0" borderId="0" xfId="0" applyFont="1" applyAlignment="1">
      <alignment horizontal="left" indent="1"/>
    </xf>
    <xf numFmtId="0" fontId="39" fillId="0" borderId="7" xfId="0" applyFont="1" applyBorder="1"/>
    <xf numFmtId="166" fontId="40" fillId="0" borderId="7" xfId="0" applyNumberFormat="1" applyFont="1" applyBorder="1"/>
    <xf numFmtId="0" fontId="45" fillId="10" borderId="0" xfId="0" applyFont="1" applyFill="1" applyAlignment="1">
      <alignment wrapText="1"/>
    </xf>
    <xf numFmtId="0" fontId="0" fillId="0" borderId="0" xfId="0" applyAlignment="1">
      <alignment wrapText="1"/>
    </xf>
    <xf numFmtId="0" fontId="0" fillId="12" borderId="0" xfId="0" applyFill="1"/>
    <xf numFmtId="0" fontId="14" fillId="0" borderId="0" xfId="0" applyFont="1"/>
    <xf numFmtId="0" fontId="41" fillId="0" borderId="0" xfId="0" applyFont="1"/>
    <xf numFmtId="166" fontId="23" fillId="0" borderId="0" xfId="0" applyNumberFormat="1" applyFont="1"/>
    <xf numFmtId="0" fontId="13" fillId="0" borderId="1" xfId="2"/>
    <xf numFmtId="0" fontId="13" fillId="9" borderId="1" xfId="2" applyFill="1"/>
    <xf numFmtId="165" fontId="18" fillId="0" borderId="1" xfId="0" applyNumberFormat="1" applyFont="1" applyBorder="1"/>
    <xf numFmtId="165" fontId="19" fillId="9" borderId="0" xfId="0" applyNumberFormat="1" applyFont="1" applyFill="1"/>
    <xf numFmtId="0" fontId="12" fillId="0" borderId="1" xfId="2" applyFont="1"/>
    <xf numFmtId="0" fontId="47"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6" fillId="0" borderId="0" xfId="9" applyAlignment="1">
      <alignment horizontal="left" wrapText="1"/>
    </xf>
    <xf numFmtId="0" fontId="11" fillId="0" borderId="1" xfId="10"/>
    <xf numFmtId="0" fontId="11" fillId="0" borderId="10" xfId="10" applyBorder="1"/>
    <xf numFmtId="0" fontId="11" fillId="0" borderId="11" xfId="10" applyBorder="1"/>
    <xf numFmtId="0" fontId="11" fillId="0" borderId="12" xfId="10" applyBorder="1"/>
    <xf numFmtId="165" fontId="0" fillId="0" borderId="1" xfId="11" applyNumberFormat="1" applyFont="1"/>
    <xf numFmtId="166" fontId="0" fillId="0" borderId="1" xfId="12" applyNumberFormat="1" applyFont="1" applyFill="1"/>
    <xf numFmtId="0" fontId="11" fillId="0" borderId="1" xfId="10" applyAlignment="1">
      <alignment horizontal="left" indent="1"/>
    </xf>
    <xf numFmtId="0" fontId="48" fillId="0" borderId="1" xfId="13" applyAlignment="1">
      <alignment horizontal="left" indent="1"/>
    </xf>
    <xf numFmtId="0" fontId="49" fillId="0" borderId="1" xfId="10" applyFont="1"/>
    <xf numFmtId="10" fontId="50" fillId="0" borderId="1" xfId="12" applyNumberFormat="1" applyFont="1" applyBorder="1" applyAlignment="1">
      <alignment horizontal="left"/>
    </xf>
    <xf numFmtId="10" fontId="49" fillId="0" borderId="1" xfId="11" applyNumberFormat="1" applyFont="1" applyBorder="1" applyAlignment="1">
      <alignment horizontal="right"/>
    </xf>
    <xf numFmtId="166" fontId="0" fillId="0" borderId="1" xfId="12" applyNumberFormat="1" applyFont="1"/>
    <xf numFmtId="164" fontId="0" fillId="0" borderId="1" xfId="11" applyFont="1"/>
    <xf numFmtId="164" fontId="11" fillId="0" borderId="1" xfId="10" applyNumberFormat="1"/>
    <xf numFmtId="0" fontId="11" fillId="16" borderId="1" xfId="10" applyFill="1"/>
    <xf numFmtId="0" fontId="32" fillId="11" borderId="1" xfId="10" applyFont="1" applyFill="1" applyAlignment="1">
      <alignment horizontal="center"/>
    </xf>
    <xf numFmtId="0" fontId="31" fillId="17" borderId="1" xfId="10" applyFont="1" applyFill="1" applyAlignment="1">
      <alignment horizontal="right" wrapText="1"/>
    </xf>
    <xf numFmtId="0" fontId="31" fillId="17" borderId="1" xfId="10" applyFont="1" applyFill="1" applyAlignment="1">
      <alignment horizontal="right"/>
    </xf>
    <xf numFmtId="0" fontId="31" fillId="10" borderId="1" xfId="10" applyFont="1" applyFill="1" applyAlignment="1">
      <alignment wrapText="1"/>
    </xf>
    <xf numFmtId="0" fontId="31" fillId="10" borderId="1" xfId="10" applyFont="1" applyFill="1" applyAlignment="1">
      <alignment horizontal="right"/>
    </xf>
    <xf numFmtId="0" fontId="31" fillId="10" borderId="1" xfId="10" applyFont="1" applyFill="1" applyAlignment="1">
      <alignment vertical="center" wrapText="1"/>
    </xf>
    <xf numFmtId="0" fontId="10" fillId="0" borderId="1" xfId="10" applyFont="1"/>
    <xf numFmtId="166" fontId="41" fillId="0" borderId="1" xfId="11" applyNumberFormat="1" applyFont="1"/>
    <xf numFmtId="166" fontId="11" fillId="0" borderId="1" xfId="10" applyNumberFormat="1"/>
    <xf numFmtId="2" fontId="11" fillId="0" borderId="1" xfId="10" applyNumberFormat="1"/>
    <xf numFmtId="164" fontId="10" fillId="0" borderId="1" xfId="10" applyNumberFormat="1" applyFont="1"/>
    <xf numFmtId="43" fontId="11" fillId="0" borderId="1" xfId="10" applyNumberFormat="1"/>
    <xf numFmtId="41" fontId="11" fillId="0" borderId="1" xfId="10" applyNumberFormat="1"/>
    <xf numFmtId="0" fontId="9" fillId="0" borderId="1" xfId="10" applyFont="1" applyAlignment="1">
      <alignment horizontal="left" indent="1"/>
    </xf>
    <xf numFmtId="168" fontId="0" fillId="0" borderId="1" xfId="12" applyNumberFormat="1" applyFont="1" applyFill="1"/>
    <xf numFmtId="0" fontId="8" fillId="0" borderId="1" xfId="10" applyFont="1"/>
    <xf numFmtId="0" fontId="31" fillId="10" borderId="1" xfId="10" applyFont="1" applyFill="1" applyAlignment="1">
      <alignment horizontal="center"/>
    </xf>
    <xf numFmtId="0" fontId="8" fillId="9" borderId="1" xfId="10" applyFont="1" applyFill="1"/>
    <xf numFmtId="10" fontId="11" fillId="0" borderId="1" xfId="10" applyNumberFormat="1"/>
    <xf numFmtId="10" fontId="0" fillId="0" borderId="1" xfId="12" applyNumberFormat="1" applyFont="1" applyFill="1"/>
    <xf numFmtId="0" fontId="7" fillId="0" borderId="1" xfId="10" applyFont="1" applyAlignment="1">
      <alignment horizontal="left" indent="1"/>
    </xf>
    <xf numFmtId="166" fontId="0" fillId="9" borderId="0" xfId="14" applyNumberFormat="1" applyFont="1" applyFill="1"/>
    <xf numFmtId="10" fontId="49" fillId="15" borderId="1" xfId="10" applyNumberFormat="1" applyFont="1" applyFill="1"/>
    <xf numFmtId="0" fontId="6" fillId="0" borderId="1" xfId="10" applyFont="1"/>
    <xf numFmtId="0" fontId="6" fillId="0" borderId="14" xfId="10" applyFont="1" applyBorder="1"/>
    <xf numFmtId="165" fontId="6" fillId="0" borderId="1" xfId="10" applyNumberFormat="1" applyFont="1"/>
    <xf numFmtId="0" fontId="5" fillId="0" borderId="1" xfId="10" applyFont="1"/>
    <xf numFmtId="10" fontId="3" fillId="0" borderId="1" xfId="12" applyNumberFormat="1" applyFont="1" applyBorder="1" applyAlignment="1">
      <alignment horizontal="left"/>
    </xf>
    <xf numFmtId="1" fontId="3" fillId="0" borderId="1" xfId="11" applyNumberFormat="1" applyFont="1" applyBorder="1" applyAlignment="1">
      <alignment horizontal="right"/>
    </xf>
    <xf numFmtId="1" fontId="3" fillId="0" borderId="1" xfId="10" applyNumberFormat="1" applyFont="1"/>
    <xf numFmtId="166" fontId="0" fillId="0" borderId="1" xfId="11" applyNumberFormat="1" applyFont="1"/>
    <xf numFmtId="1" fontId="11" fillId="0" borderId="13" xfId="10" applyNumberFormat="1" applyBorder="1"/>
    <xf numFmtId="1" fontId="11" fillId="0" borderId="11" xfId="10" applyNumberFormat="1" applyBorder="1"/>
    <xf numFmtId="1" fontId="4" fillId="0" borderId="11" xfId="10" applyNumberFormat="1" applyFont="1" applyBorder="1"/>
    <xf numFmtId="2" fontId="11" fillId="0" borderId="9" xfId="10" applyNumberFormat="1" applyBorder="1"/>
    <xf numFmtId="0" fontId="4" fillId="9" borderId="1" xfId="10" applyFont="1" applyFill="1"/>
    <xf numFmtId="0" fontId="11" fillId="9" borderId="1" xfId="10" applyFill="1"/>
    <xf numFmtId="0" fontId="2" fillId="9" borderId="1" xfId="10" applyFont="1" applyFill="1" applyAlignment="1">
      <alignment horizontal="left" indent="1"/>
    </xf>
    <xf numFmtId="0" fontId="49" fillId="9" borderId="1" xfId="10" applyFont="1" applyFill="1"/>
    <xf numFmtId="10" fontId="49" fillId="9" borderId="1" xfId="11" applyNumberFormat="1" applyFont="1" applyFill="1" applyBorder="1" applyAlignment="1">
      <alignment horizontal="right"/>
    </xf>
    <xf numFmtId="0" fontId="41" fillId="0" borderId="1" xfId="10" applyFont="1"/>
    <xf numFmtId="0" fontId="14" fillId="0" borderId="0" xfId="0" applyFont="1"/>
    <xf numFmtId="0" fontId="0" fillId="0" borderId="0" xfId="0"/>
    <xf numFmtId="0" fontId="14" fillId="0" borderId="0" xfId="0" applyFont="1" applyAlignment="1">
      <alignment horizontal="center"/>
    </xf>
    <xf numFmtId="0" fontId="0" fillId="0" borderId="0" xfId="0" applyAlignment="1">
      <alignment horizontal="center"/>
    </xf>
    <xf numFmtId="0" fontId="1" fillId="0" borderId="0" xfId="0" applyFont="1"/>
    <xf numFmtId="166" fontId="0" fillId="0" borderId="0" xfId="0" applyNumberFormat="1"/>
    <xf numFmtId="166" fontId="0" fillId="18" borderId="0" xfId="0" applyNumberFormat="1" applyFill="1"/>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Schedules!$B$18</c:f>
              <c:strCache>
                <c:ptCount val="1"/>
                <c:pt idx="0">
                  <c:v>nm</c:v>
                </c:pt>
              </c:strCache>
            </c:strRef>
          </c:tx>
          <c:spPr>
            <a:ln w="19050" cap="rnd">
              <a:solidFill>
                <a:schemeClr val="accent1"/>
              </a:solidFill>
              <a:round/>
            </a:ln>
            <a:effectLst/>
          </c:spPr>
          <c:marker>
            <c:symbol val="none"/>
          </c:marker>
          <c:xVal>
            <c:numRef>
              <c:f>(Schedules!$C$1:$I$1,Schedules!$M$1:$Q$1)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(Schedules!$C$18:$I$18,Schedules!$M$18:$Q$18)</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Share Price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(Schedules!$B$1:$I$1,Schedules!$M$1:$W$1)</c:f>
              <c:strCache>
                <c:ptCount val="19"/>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Terminal year</c:v>
                </c:pt>
              </c:strCache>
            </c:strRef>
          </c:cat>
          <c:val>
            <c:numRef>
              <c:f>(Schedules!$B$3:$I$3,Schedules!$M$3:$W$3)</c:f>
              <c:numCache>
                <c:formatCode>_(* #,##0.00_);_(* \(#,##0.00\);_(* "-"??_);_(@_)</c:formatCode>
                <c:ptCount val="19"/>
                <c:pt idx="0">
                  <c:v>50.740833333333335</c:v>
                </c:pt>
                <c:pt idx="1">
                  <c:v>51.459166666666668</c:v>
                </c:pt>
                <c:pt idx="2">
                  <c:v>52.42166666666666</c:v>
                </c:pt>
                <c:pt idx="3">
                  <c:v>70.00833333333334</c:v>
                </c:pt>
                <c:pt idx="4">
                  <c:v>83.51166666666667</c:v>
                </c:pt>
                <c:pt idx="5">
                  <c:v>103.21666666666668</c:v>
                </c:pt>
                <c:pt idx="6">
                  <c:v>146.41166666666666</c:v>
                </c:pt>
                <c:pt idx="7">
                  <c:v>113.42250000000001</c:v>
                </c:pt>
                <c:pt idx="8">
                  <c:v>111.685</c:v>
                </c:pt>
                <c:pt idx="9">
                  <c:v>109.67467000000001</c:v>
                </c:pt>
                <c:pt idx="10">
                  <c:v>112.30686208</c:v>
                </c:pt>
                <c:pt idx="11">
                  <c:v>114.66530618367999</c:v>
                </c:pt>
                <c:pt idx="12">
                  <c:v>120.16924088049663</c:v>
                </c:pt>
                <c:pt idx="13">
                  <c:v>125.2163489974775</c:v>
                </c:pt>
                <c:pt idx="14">
                  <c:v>127.3450269304346</c:v>
                </c:pt>
                <c:pt idx="15">
                  <c:v>125.68954158033895</c:v>
                </c:pt>
                <c:pt idx="16">
                  <c:v>128.32902195352605</c:v>
                </c:pt>
                <c:pt idx="17">
                  <c:v>133.20552478776006</c:v>
                </c:pt>
                <c:pt idx="18">
                  <c:v>137.33489605618061</c:v>
                </c:pt>
              </c:numCache>
            </c:numRef>
          </c:val>
          <c:smooth val="0"/>
          <c:extLst>
            <c:ext xmlns:c16="http://schemas.microsoft.com/office/drawing/2014/chart" uri="{C3380CC4-5D6E-409C-BE32-E72D297353CC}">
              <c16:uniqueId val="{00000000-1D7D-4E0B-8C21-06C9319019AB}"/>
            </c:ext>
          </c:extLst>
        </c:ser>
        <c:dLbls>
          <c:showLegendKey val="0"/>
          <c:showVal val="0"/>
          <c:showCatName val="0"/>
          <c:showSerName val="0"/>
          <c:showPercent val="0"/>
          <c:showBubbleSize val="0"/>
        </c:dLbls>
        <c:smooth val="0"/>
        <c:axId val="754961736"/>
        <c:axId val="754963176"/>
      </c:lineChart>
      <c:catAx>
        <c:axId val="75496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963176"/>
        <c:crosses val="autoZero"/>
        <c:auto val="1"/>
        <c:lblAlgn val="ctr"/>
        <c:lblOffset val="100"/>
        <c:noMultiLvlLbl val="0"/>
      </c:catAx>
      <c:valAx>
        <c:axId val="75496317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961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Nike Inc Annual Operating Expenses (2009 - 2023)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'Operating Expenses'!$B$1</c:f>
              <c:strCache>
                <c:ptCount val="1"/>
                <c:pt idx="0">
                  <c:v>Annual Operating Expenses (Millions of US $)</c:v>
                </c:pt>
              </c:strCache>
            </c:strRef>
          </c:tx>
          <c:spPr>
            <a:solidFill>
              <a:schemeClr val="accent1"/>
            </a:solidFill>
            <a:ln>
              <a:noFill/>
            </a:ln>
            <a:effectLst/>
          </c:spPr>
          <c:invertIfNegative val="0"/>
          <c:cat>
            <c:numRef>
              <c:f>'Operating Expenses'!$A$2:$A$16</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'Operating Expenses'!$B$2:$B$16</c:f>
              <c:numCache>
                <c:formatCode>#,##0</c:formatCode>
                <c:ptCount val="15"/>
                <c:pt idx="0">
                  <c:v>17318</c:v>
                </c:pt>
                <c:pt idx="1">
                  <c:v>16540</c:v>
                </c:pt>
                <c:pt idx="2">
                  <c:v>17276</c:v>
                </c:pt>
                <c:pt idx="3">
                  <c:v>20262</c:v>
                </c:pt>
                <c:pt idx="4">
                  <c:v>22075</c:v>
                </c:pt>
                <c:pt idx="5">
                  <c:v>24119</c:v>
                </c:pt>
                <c:pt idx="6">
                  <c:v>26426</c:v>
                </c:pt>
                <c:pt idx="7">
                  <c:v>27874</c:v>
                </c:pt>
                <c:pt idx="8">
                  <c:v>29601</c:v>
                </c:pt>
                <c:pt idx="9">
                  <c:v>31952</c:v>
                </c:pt>
                <c:pt idx="10">
                  <c:v>34345</c:v>
                </c:pt>
                <c:pt idx="11">
                  <c:v>34288</c:v>
                </c:pt>
                <c:pt idx="12">
                  <c:v>37601</c:v>
                </c:pt>
                <c:pt idx="13">
                  <c:v>40035</c:v>
                </c:pt>
                <c:pt idx="14">
                  <c:v>45302</c:v>
                </c:pt>
              </c:numCache>
            </c:numRef>
          </c:val>
          <c:extLst>
            <c:ext xmlns:c16="http://schemas.microsoft.com/office/drawing/2014/chart" uri="{C3380CC4-5D6E-409C-BE32-E72D297353CC}">
              <c16:uniqueId val="{00000000-305D-4894-AE31-191008D07C88}"/>
            </c:ext>
          </c:extLst>
        </c:ser>
        <c:dLbls>
          <c:showLegendKey val="0"/>
          <c:showVal val="0"/>
          <c:showCatName val="0"/>
          <c:showSerName val="0"/>
          <c:showPercent val="0"/>
          <c:showBubbleSize val="0"/>
        </c:dLbls>
        <c:gapWidth val="219"/>
        <c:overlap val="-27"/>
        <c:axId val="811927624"/>
        <c:axId val="811929784"/>
      </c:barChart>
      <c:lineChart>
        <c:grouping val="standard"/>
        <c:varyColors val="0"/>
        <c:ser>
          <c:idx val="1"/>
          <c:order val="1"/>
          <c:tx>
            <c:strRef>
              <c:f>'Operating Expenses'!$C$1</c:f>
              <c:strCache>
                <c:ptCount val="1"/>
                <c:pt idx="0">
                  <c:v>Growth Rate (%)</c:v>
                </c:pt>
              </c:strCache>
            </c:strRef>
          </c:tx>
          <c:spPr>
            <a:ln w="28575" cap="rnd">
              <a:solidFill>
                <a:schemeClr val="accent2"/>
              </a:solidFill>
              <a:round/>
            </a:ln>
            <a:effectLst/>
          </c:spPr>
          <c:marker>
            <c:symbol val="none"/>
          </c:marker>
          <c:cat>
            <c:numRef>
              <c:f>'Operating Expenses'!$A$2:$A$16</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'Operating Expenses'!$C$2:$C$16</c:f>
              <c:numCache>
                <c:formatCode>0.0%</c:formatCode>
                <c:ptCount val="15"/>
                <c:pt idx="0">
                  <c:v>0</c:v>
                </c:pt>
                <c:pt idx="1">
                  <c:v>-4.4924356161219543E-2</c:v>
                </c:pt>
                <c:pt idx="2">
                  <c:v>4.449818621523579E-2</c:v>
                </c:pt>
                <c:pt idx="3">
                  <c:v>0.17284093540171336</c:v>
                </c:pt>
                <c:pt idx="4">
                  <c:v>8.9477840292172539E-2</c:v>
                </c:pt>
                <c:pt idx="5">
                  <c:v>9.2593431483578709E-2</c:v>
                </c:pt>
                <c:pt idx="6">
                  <c:v>9.5650731788216758E-2</c:v>
                </c:pt>
                <c:pt idx="7">
                  <c:v>5.4794520547945202E-2</c:v>
                </c:pt>
                <c:pt idx="8">
                  <c:v>6.1957379636937648E-2</c:v>
                </c:pt>
                <c:pt idx="9">
                  <c:v>7.9422992466470721E-2</c:v>
                </c:pt>
                <c:pt idx="10">
                  <c:v>7.4893590385578371E-2</c:v>
                </c:pt>
                <c:pt idx="11">
                  <c:v>-1.6596302227398457E-3</c:v>
                </c:pt>
                <c:pt idx="12">
                  <c:v>9.6622725151656555E-2</c:v>
                </c:pt>
                <c:pt idx="13">
                  <c:v>6.4732320948910932E-2</c:v>
                </c:pt>
                <c:pt idx="14">
                  <c:v>0.13155988510053704</c:v>
                </c:pt>
              </c:numCache>
            </c:numRef>
          </c:val>
          <c:smooth val="0"/>
          <c:extLst>
            <c:ext xmlns:c16="http://schemas.microsoft.com/office/drawing/2014/chart" uri="{C3380CC4-5D6E-409C-BE32-E72D297353CC}">
              <c16:uniqueId val="{00000001-305D-4894-AE31-191008D07C88}"/>
            </c:ext>
          </c:extLst>
        </c:ser>
        <c:dLbls>
          <c:showLegendKey val="0"/>
          <c:showVal val="0"/>
          <c:showCatName val="0"/>
          <c:showSerName val="0"/>
          <c:showPercent val="0"/>
          <c:showBubbleSize val="0"/>
        </c:dLbls>
        <c:marker val="1"/>
        <c:smooth val="0"/>
        <c:axId val="811929424"/>
        <c:axId val="811924384"/>
      </c:lineChart>
      <c:catAx>
        <c:axId val="81192762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929784"/>
        <c:crosses val="autoZero"/>
        <c:auto val="1"/>
        <c:lblAlgn val="ctr"/>
        <c:lblOffset val="100"/>
        <c:noMultiLvlLbl val="0"/>
      </c:catAx>
      <c:valAx>
        <c:axId val="811929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Millions of US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927624"/>
        <c:crosses val="autoZero"/>
        <c:crossBetween val="between"/>
      </c:valAx>
      <c:valAx>
        <c:axId val="811924384"/>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Growth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929424"/>
        <c:crosses val="max"/>
        <c:crossBetween val="between"/>
      </c:valAx>
      <c:catAx>
        <c:axId val="811929424"/>
        <c:scaling>
          <c:orientation val="minMax"/>
        </c:scaling>
        <c:delete val="1"/>
        <c:axPos val="b"/>
        <c:numFmt formatCode="General" sourceLinked="1"/>
        <c:majorTickMark val="none"/>
        <c:minorTickMark val="none"/>
        <c:tickLblPos val="nextTo"/>
        <c:crossAx val="811924384"/>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descr="A graph of a graph with numbers and a red line&#10;&#10;Description automatically generated">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36</xdr:row>
      <xdr:rowOff>0</xdr:rowOff>
    </xdr:from>
    <xdr:to>
      <xdr:col>23</xdr:col>
      <xdr:colOff>504825</xdr:colOff>
      <xdr:row>49</xdr:row>
      <xdr:rowOff>142875</xdr:rowOff>
    </xdr:to>
    <xdr:graphicFrame macro="">
      <xdr:nvGraphicFramePr>
        <xdr:cNvPr id="10" name="Chart 9">
          <a:extLst>
            <a:ext uri="{FF2B5EF4-FFF2-40B4-BE49-F238E27FC236}">
              <a16:creationId xmlns:a16="http://schemas.microsoft.com/office/drawing/2014/main" id="{5E415B75-6301-4227-9C36-00F6C3A96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6</xdr:row>
      <xdr:rowOff>14287</xdr:rowOff>
    </xdr:from>
    <xdr:to>
      <xdr:col>19</xdr:col>
      <xdr:colOff>457200</xdr:colOff>
      <xdr:row>27</xdr:row>
      <xdr:rowOff>180975</xdr:rowOff>
    </xdr:to>
    <xdr:graphicFrame macro="">
      <xdr:nvGraphicFramePr>
        <xdr:cNvPr id="2" name="Chart 1">
          <a:extLst>
            <a:ext uri="{FF2B5EF4-FFF2-40B4-BE49-F238E27FC236}">
              <a16:creationId xmlns:a16="http://schemas.microsoft.com/office/drawing/2014/main" id="{EAFA5E89-5316-FB5B-CBA5-E8E590AFAB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5546875" defaultRowHeight="15" x14ac:dyDescent="0.25"/>
  <cols>
    <col min="1" max="1" width="184.42578125" bestFit="1" customWidth="1"/>
  </cols>
  <sheetData>
    <row r="1" spans="1:3" ht="23.25" x14ac:dyDescent="0.35">
      <c r="A1" s="75" t="s">
        <v>262</v>
      </c>
    </row>
    <row r="2" spans="1:3" x14ac:dyDescent="0.25">
      <c r="A2" s="86" t="s">
        <v>263</v>
      </c>
    </row>
    <row r="3" spans="1:3" x14ac:dyDescent="0.25">
      <c r="A3" s="87"/>
    </row>
    <row r="4" spans="1:3" ht="23.25" x14ac:dyDescent="0.35">
      <c r="A4" s="75" t="s">
        <v>241</v>
      </c>
    </row>
    <row r="5" spans="1:3" x14ac:dyDescent="0.25">
      <c r="A5" s="88" t="s">
        <v>264</v>
      </c>
    </row>
    <row r="6" spans="1:3" x14ac:dyDescent="0.25">
      <c r="A6" s="88" t="s">
        <v>265</v>
      </c>
    </row>
    <row r="7" spans="1:3" x14ac:dyDescent="0.25">
      <c r="A7" s="89" t="s">
        <v>266</v>
      </c>
    </row>
    <row r="8" spans="1:3" x14ac:dyDescent="0.25">
      <c r="A8" s="88" t="s">
        <v>267</v>
      </c>
    </row>
    <row r="9" spans="1:3" x14ac:dyDescent="0.25">
      <c r="A9" s="76" t="s">
        <v>268</v>
      </c>
    </row>
    <row r="15" spans="1:3" x14ac:dyDescent="0.25">
      <c r="C15" s="78"/>
    </row>
    <row r="18" spans="1:3" x14ac:dyDescent="0.25">
      <c r="C18" s="78"/>
    </row>
    <row r="20" spans="1:3" x14ac:dyDescent="0.25">
      <c r="C20" s="78"/>
    </row>
    <row r="25" spans="1:3" x14ac:dyDescent="0.25">
      <c r="A25" s="76"/>
    </row>
    <row r="26" spans="1:3" x14ac:dyDescent="0.25">
      <c r="A26" s="76"/>
    </row>
    <row r="30" spans="1:3" x14ac:dyDescent="0.25">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workbookViewId="0">
      <selection activeCell="B85" sqref="B85"/>
    </sheetView>
  </sheetViews>
  <sheetFormatPr defaultColWidth="8.85546875"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16" workbookViewId="0">
      <selection activeCell="N7" sqref="N7"/>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M7" si="7">+IFERROR(K5/K$3,"nm")</f>
        <v>0.15619948995907587</v>
      </c>
      <c r="L7" s="18">
        <f t="shared" si="7"/>
        <v>0.17856684944615914</v>
      </c>
      <c r="M7" s="18">
        <f t="shared" si="7"/>
        <v>0.18783608689231665</v>
      </c>
      <c r="N7" s="18">
        <f>+IFERROR(N5/N$3,"nm")</f>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zoomScaleNormal="100" workbookViewId="0">
      <selection activeCell="I10" sqref="I10"/>
    </sheetView>
  </sheetViews>
  <sheetFormatPr defaultColWidth="14.42578125" defaultRowHeight="15" customHeight="1" x14ac:dyDescent="0.25"/>
  <cols>
    <col min="1" max="1" width="48.7109375" customWidth="1"/>
    <col min="2" max="14" width="11.7109375" customWidth="1"/>
    <col min="15" max="15" width="26.42578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25">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25">
      <c r="A57" s="1" t="s">
        <v>109</v>
      </c>
      <c r="B57" s="6"/>
      <c r="C57" s="6"/>
      <c r="D57" s="6"/>
      <c r="E57" s="6"/>
      <c r="F57" s="6"/>
      <c r="G57" s="6"/>
      <c r="H57" s="6"/>
      <c r="I57" s="6"/>
      <c r="J57" s="6"/>
      <c r="K57" s="6"/>
      <c r="L57" s="6"/>
      <c r="M57" s="6"/>
      <c r="N57" s="6"/>
      <c r="O57" s="6"/>
      <c r="P57" s="82" t="s">
        <v>258</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25">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25">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19" workbookViewId="0">
      <selection activeCell="O49" sqref="O49"/>
    </sheetView>
  </sheetViews>
  <sheetFormatPr defaultColWidth="14.42578125" defaultRowHeight="15" customHeight="1" x14ac:dyDescent="0.25"/>
  <cols>
    <col min="1" max="94" width="8.7109375" customWidth="1"/>
  </cols>
  <sheetData>
    <row r="16" spans="17:23" ht="15" customHeight="1" x14ac:dyDescent="0.25">
      <c r="Q16" s="146" t="s">
        <v>246</v>
      </c>
      <c r="R16" s="147"/>
      <c r="S16" s="147"/>
      <c r="T16" s="147"/>
      <c r="U16" s="147"/>
      <c r="V16" s="147"/>
      <c r="W16" s="147"/>
    </row>
    <row r="17" spans="17:26" ht="15" customHeight="1" x14ac:dyDescent="0.25">
      <c r="Q17" s="78" t="s">
        <v>247</v>
      </c>
    </row>
    <row r="18" spans="17:26" ht="15" customHeight="1" x14ac:dyDescent="0.25">
      <c r="Q18" s="148" t="s">
        <v>248</v>
      </c>
      <c r="R18" s="149"/>
      <c r="S18" s="149"/>
      <c r="T18" s="149"/>
      <c r="U18" s="149"/>
      <c r="V18" s="149"/>
      <c r="W18" s="149"/>
      <c r="X18" s="149"/>
      <c r="Y18" s="149"/>
    </row>
    <row r="19" spans="17:26" ht="15" customHeight="1" x14ac:dyDescent="0.25">
      <c r="Q19" s="148" t="s">
        <v>250</v>
      </c>
      <c r="R19" s="148"/>
      <c r="S19" s="148"/>
      <c r="T19" s="148"/>
      <c r="U19" s="148"/>
      <c r="V19" s="148"/>
      <c r="W19" s="148"/>
      <c r="X19" s="148"/>
      <c r="Y19" s="148"/>
      <c r="Z19" s="148"/>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AA34"/>
  <sheetViews>
    <sheetView tabSelected="1" workbookViewId="0">
      <pane ySplit="1" topLeftCell="A2" activePane="bottomLeft" state="frozen"/>
      <selection pane="bottomLeft" activeCell="I17" sqref="I17"/>
    </sheetView>
  </sheetViews>
  <sheetFormatPr defaultColWidth="8.85546875" defaultRowHeight="15" x14ac:dyDescent="0.25"/>
  <cols>
    <col min="1" max="1" width="42.7109375" style="90" customWidth="1"/>
    <col min="2" max="2" width="10.42578125" style="90" customWidth="1"/>
    <col min="3" max="3" width="11.5703125" style="90" bestFit="1" customWidth="1"/>
    <col min="4" max="8" width="10.42578125" style="90" customWidth="1"/>
    <col min="9" max="9" width="12.140625" style="90" customWidth="1"/>
    <col min="10" max="10" width="9.7109375" style="90" customWidth="1"/>
    <col min="11" max="11" width="8.85546875" style="90" customWidth="1"/>
    <col min="12" max="12" width="34.7109375" style="90" customWidth="1"/>
    <col min="13" max="13" width="11.42578125" style="90" bestFit="1" customWidth="1"/>
    <col min="14" max="17" width="10.42578125" style="90" bestFit="1" customWidth="1"/>
    <col min="18" max="19" width="10.5703125" style="90" bestFit="1" customWidth="1"/>
    <col min="20" max="16384" width="8.85546875" style="90"/>
  </cols>
  <sheetData>
    <row r="1" spans="1:23" ht="60" customHeight="1" x14ac:dyDescent="0.25">
      <c r="A1" s="110" t="s">
        <v>294</v>
      </c>
      <c r="B1" s="109">
        <v>2015</v>
      </c>
      <c r="C1" s="109">
        <f t="shared" ref="C1:I1" si="0">+B1+1</f>
        <v>2016</v>
      </c>
      <c r="D1" s="109">
        <f t="shared" si="0"/>
        <v>2017</v>
      </c>
      <c r="E1" s="109">
        <f t="shared" si="0"/>
        <v>2018</v>
      </c>
      <c r="F1" s="109">
        <f t="shared" si="0"/>
        <v>2019</v>
      </c>
      <c r="G1" s="109">
        <f t="shared" si="0"/>
        <v>2020</v>
      </c>
      <c r="H1" s="109">
        <f t="shared" si="0"/>
        <v>2021</v>
      </c>
      <c r="I1" s="109">
        <f t="shared" si="0"/>
        <v>2022</v>
      </c>
      <c r="J1" s="121" t="s">
        <v>297</v>
      </c>
      <c r="K1" s="108" t="s">
        <v>241</v>
      </c>
      <c r="L1" s="121" t="s">
        <v>299</v>
      </c>
      <c r="M1" s="107">
        <f>+I1+1</f>
        <v>2023</v>
      </c>
      <c r="N1" s="107">
        <f t="shared" ref="N1:V1" si="1">+M1+1</f>
        <v>2024</v>
      </c>
      <c r="O1" s="107">
        <f t="shared" si="1"/>
        <v>2025</v>
      </c>
      <c r="P1" s="107">
        <f t="shared" si="1"/>
        <v>2026</v>
      </c>
      <c r="Q1" s="107">
        <f t="shared" si="1"/>
        <v>2027</v>
      </c>
      <c r="R1" s="107">
        <f t="shared" si="1"/>
        <v>2028</v>
      </c>
      <c r="S1" s="107">
        <f t="shared" si="1"/>
        <v>2029</v>
      </c>
      <c r="T1" s="107">
        <f t="shared" si="1"/>
        <v>2030</v>
      </c>
      <c r="U1" s="107">
        <f t="shared" si="1"/>
        <v>2031</v>
      </c>
      <c r="V1" s="107">
        <f t="shared" si="1"/>
        <v>2032</v>
      </c>
      <c r="W1" s="106" t="s">
        <v>293</v>
      </c>
    </row>
    <row r="2" spans="1:23" x14ac:dyDescent="0.25">
      <c r="A2" s="105" t="s">
        <v>292</v>
      </c>
      <c r="B2" s="105"/>
      <c r="C2" s="105"/>
      <c r="D2" s="105"/>
      <c r="E2" s="105"/>
      <c r="F2" s="105"/>
      <c r="G2" s="105"/>
      <c r="H2" s="105"/>
      <c r="I2" s="105"/>
      <c r="J2" s="105"/>
      <c r="K2" s="105"/>
      <c r="L2" s="105"/>
      <c r="M2" s="105"/>
      <c r="N2" s="105"/>
      <c r="O2" s="105"/>
      <c r="P2" s="105"/>
      <c r="Q2" s="105"/>
      <c r="R2" s="104"/>
      <c r="S2" s="104"/>
      <c r="T2" s="104"/>
      <c r="U2" s="104"/>
      <c r="V2" s="104"/>
      <c r="W2" s="104"/>
    </row>
    <row r="3" spans="1:23" x14ac:dyDescent="0.25">
      <c r="A3" s="90" t="s">
        <v>291</v>
      </c>
      <c r="B3" s="103">
        <f>AVERAGE(57.13, 60.46, 59.89, 56.06, 50.95, 52.53, 49.25, 46.22, 44.94, 45.61, 44.03, 41.82)</f>
        <v>50.740833333333335</v>
      </c>
      <c r="C3" s="103">
        <f>AVERAGE(46.96, 46.26, 46.36, 48.51, 53.11, 51.13, 50.71, 50.73, 54.15, 56.33, 56.44, 56.82)</f>
        <v>51.459166666666668</v>
      </c>
      <c r="D3" s="103">
        <f>AVERAGE(58.58, 56.58, 51.5, 48.56, 49.29, 55.11, 54.88, 49.29, 51.54, 51.68, 53, 49.05)</f>
        <v>52.42166666666666</v>
      </c>
      <c r="E3" s="103">
        <f>AVERAGE(70.45, 71.17, 71.09, 80.27, 77.69, 72.69, 75.1, 67.67, 64.46, 62.43, 62.98, 64.1)</f>
        <v>70.00833333333334</v>
      </c>
      <c r="F3" s="103">
        <f>AVERAGE(97.29, 89.55, 85.77, 89.96, 80.73, 82.19, 80.2, 73.49, 83.67, 80.02, 81.46, 77.81)</f>
        <v>83.51166666666667</v>
      </c>
      <c r="G3" s="103">
        <f>AVERAGE(136.87, 130.32, 116.18, 121.46, 108.02, 94.23, 94.65, 94.93, 83.95, 79.68, 85.83, 92.48)</f>
        <v>103.21666666666668</v>
      </c>
      <c r="H3" s="103">
        <f>AVERAGE(162.5, 165.01, 163.11, 141.6, 160.63, 163.06, 150.38, 132.56, 128.83, 129.09, 130.66, 129.51)</f>
        <v>146.41166666666666</v>
      </c>
      <c r="I3" s="115">
        <f>AVERAGE(115.16, 107.96, 91.22, 81.57, 104.47, 112.78, 100.05, 116.35, 122.08, 131.43, 133.37, 144.63)</f>
        <v>113.42250000000001</v>
      </c>
      <c r="J3" s="115"/>
      <c r="M3" s="103">
        <f>AVERAGE(119.24, 109.9, 102.43, 94.98, 101.03, 109.65, 109.27, 104.21, 125.46, 121.07, 117.27, 125.71)</f>
        <v>111.685</v>
      </c>
      <c r="N3" s="103">
        <f>(1+N4)*M3</f>
        <v>109.67467000000001</v>
      </c>
      <c r="O3" s="103">
        <f t="shared" ref="O3:W3" si="2">(1+O4)*N3</f>
        <v>112.30686208</v>
      </c>
      <c r="P3" s="103">
        <f t="shared" si="2"/>
        <v>114.66530618367999</v>
      </c>
      <c r="Q3" s="103">
        <f t="shared" si="2"/>
        <v>120.16924088049663</v>
      </c>
      <c r="R3" s="103">
        <f t="shared" si="2"/>
        <v>125.2163489974775</v>
      </c>
      <c r="S3" s="103">
        <f t="shared" si="2"/>
        <v>127.3450269304346</v>
      </c>
      <c r="T3" s="103">
        <f t="shared" si="2"/>
        <v>125.68954158033895</v>
      </c>
      <c r="U3" s="103">
        <f t="shared" si="2"/>
        <v>128.32902195352605</v>
      </c>
      <c r="V3" s="103">
        <f t="shared" si="2"/>
        <v>133.20552478776006</v>
      </c>
      <c r="W3" s="103">
        <f t="shared" si="2"/>
        <v>137.33489605618061</v>
      </c>
    </row>
    <row r="4" spans="1:23" x14ac:dyDescent="0.25">
      <c r="A4" s="145" t="s">
        <v>309</v>
      </c>
      <c r="B4" s="113" t="e">
        <f>(B3-A3)/(A3)</f>
        <v>#VALUE!</v>
      </c>
      <c r="C4" s="113">
        <f>(C3-B3)/(B3)</f>
        <v>1.4156908472794764E-2</v>
      </c>
      <c r="D4" s="113">
        <f t="shared" ref="D4:I4" si="3">(D3-C3)/(C3)</f>
        <v>1.8704150540072059E-2</v>
      </c>
      <c r="E4" s="113">
        <f t="shared" si="3"/>
        <v>0.33548469144437765</v>
      </c>
      <c r="F4" s="113">
        <f t="shared" si="3"/>
        <v>0.19288179978573974</v>
      </c>
      <c r="G4" s="113">
        <f t="shared" si="3"/>
        <v>0.23595505617977541</v>
      </c>
      <c r="H4" s="113">
        <f t="shared" si="3"/>
        <v>0.41848861617955729</v>
      </c>
      <c r="I4" s="113">
        <f t="shared" si="3"/>
        <v>-0.22531788222705373</v>
      </c>
      <c r="J4" s="115"/>
      <c r="M4" s="113">
        <f>(M3-I3)/(I3)</f>
        <v>-1.5318830038131863E-2</v>
      </c>
      <c r="N4" s="113">
        <v>-1.7999999999999999E-2</v>
      </c>
      <c r="O4" s="113">
        <v>2.4E-2</v>
      </c>
      <c r="P4" s="113">
        <v>2.1000000000000001E-2</v>
      </c>
      <c r="Q4" s="113">
        <v>4.8000000000000001E-2</v>
      </c>
      <c r="R4" s="113">
        <v>4.2000000000000003E-2</v>
      </c>
      <c r="S4" s="113">
        <v>1.7000000000000001E-2</v>
      </c>
      <c r="T4" s="113">
        <v>-1.2999999999999999E-2</v>
      </c>
      <c r="U4" s="113">
        <v>2.1000000000000001E-2</v>
      </c>
      <c r="V4" s="113">
        <v>3.7999999999999999E-2</v>
      </c>
      <c r="W4" s="113">
        <v>3.1E-2</v>
      </c>
    </row>
    <row r="5" spans="1:23" x14ac:dyDescent="0.25">
      <c r="A5" s="90" t="s">
        <v>290</v>
      </c>
      <c r="B5" s="94">
        <f>('Three Statements'!B15*Schedules!B3)+('Three Statements'!B33+'Three Statements'!B36+'Three Statements'!B34+'Three Statements'!B37)-('Three Statements'!B21)</f>
        <v>87158.385999999999</v>
      </c>
      <c r="C5" s="94">
        <f>('Three Statements'!C15*Schedules!C3)+('Three Statements'!C33+'Three Statements'!C36+'Three Statements'!C34+'Three Statements'!C37)-('Three Statements'!C21)</f>
        <v>88584.597916666666</v>
      </c>
      <c r="D5" s="94">
        <f>('Three Statements'!D15*Schedules!D3)+('Three Statements'!D33+'Three Statements'!D36+'Three Statements'!D34+'Three Statements'!D37)-('Three Statements'!D21)</f>
        <v>88691.459999999992</v>
      </c>
      <c r="E5" s="94">
        <f>('Three Statements'!E15*Schedules!E3)+('Three Statements'!E33+'Three Statements'!E36+'Three Statements'!E34+'Three Statements'!E37)-('Three Statements'!E21)</f>
        <v>115711.82583333334</v>
      </c>
      <c r="F5" s="94">
        <f>('Three Statements'!F15*Schedules!F3)+('Three Statements'!F33+'Three Statements'!F36+'Three Statements'!F34+'Three Statements'!F37)-('Three Statements'!F21)</f>
        <v>134168.28133333335</v>
      </c>
      <c r="G5" s="94">
        <f>('Three Statements'!G15*Schedules!G3)+('Three Statements'!G33+'Three Statements'!G36+'Three Statements'!G34+'Three Statements'!G37)-('Three Statements'!G21)</f>
        <v>168946.6466666667</v>
      </c>
      <c r="H5" s="94">
        <f>('Three Statements'!H15*Schedules!H3)+('Three Statements'!H33+'Three Statements'!H36+'Three Statements'!H34+'Three Statements'!H37)-('Three Statements'!H21)</f>
        <v>238558.93633333335</v>
      </c>
      <c r="I5" s="94">
        <f>('Three Statements'!I15*Schedules!I3)+('Three Statements'!I33+'Three Statements'!I36+'Three Statements'!I34+'Three Statements'!I37)-('Three Statements'!I21)</f>
        <v>186753.96300000002</v>
      </c>
      <c r="J5" s="94"/>
      <c r="M5" s="117">
        <f>('Three Statements'!J15*M3)+('Three Statements'!J33+'Three Statements'!J36+'Three Statements'!J34+'Three Statements'!J37)-('Three Statements'!J21)</f>
        <v>182383.80325571896</v>
      </c>
      <c r="N5" s="117">
        <f>('Three Statements'!K15*N3)+('Three Statements'!K33+'Three Statements'!K36+'Three Statements'!K34+'Three Statements'!K37)-('Three Statements'!K21)</f>
        <v>176973.90181230119</v>
      </c>
      <c r="O5" s="117">
        <f>('Three Statements'!L15*O3)+('Three Statements'!L33+'Three Statements'!L36+'Three Statements'!L34+'Three Statements'!L37)-('Three Statements'!L21)</f>
        <v>177263.52334636851</v>
      </c>
      <c r="P5" s="117">
        <f>('Three Statements'!M15*P3)+('Three Statements'!M33+'Three Statements'!M36+'Three Statements'!M34+'Three Statements'!M37)-('Three Statements'!M21)</f>
        <v>175960.77017021147</v>
      </c>
      <c r="Q5" s="117">
        <f>('Three Statements'!N15*Q3)+('Three Statements'!N33+'Three Statements'!N36+'Three Statements'!N34+'Three Statements'!N37)-('Three Statements'!N21)</f>
        <v>179401.53409936425</v>
      </c>
    </row>
    <row r="6" spans="1:23" x14ac:dyDescent="0.25">
      <c r="A6" s="90" t="s">
        <v>289</v>
      </c>
      <c r="B6" s="102">
        <f>B3/'Three Statements'!B16</f>
        <v>27.421443935227622</v>
      </c>
      <c r="C6" s="102">
        <f>C3/'Three Statements'!C16</f>
        <v>23.847765403368797</v>
      </c>
      <c r="D6" s="102">
        <f>D3/'Three Statements'!D16</f>
        <v>20.919212264150939</v>
      </c>
      <c r="E6" s="102">
        <f>E3/'Three Statements'!E16</f>
        <v>60.08837342645284</v>
      </c>
      <c r="F6" s="102">
        <f>F3/'Three Statements'!F16</f>
        <v>33.545614627285516</v>
      </c>
      <c r="G6" s="102">
        <f>G3/'Three Statements'!G16</f>
        <v>64.702499671786796</v>
      </c>
      <c r="H6" s="102">
        <f>H3/'Three Statements'!H16</f>
        <v>41.144567196321518</v>
      </c>
      <c r="I6" s="102">
        <f>I3/'Three Statements'!I16</f>
        <v>30.218485444922266</v>
      </c>
      <c r="J6" s="102"/>
      <c r="M6" s="116">
        <f>M3/'Three Statements'!J16</f>
        <v>31.589519390934136</v>
      </c>
      <c r="N6" s="116">
        <f>N3/'Three Statements'!K16</f>
        <v>26.050670628332</v>
      </c>
      <c r="O6" s="116">
        <f>O3/'Three Statements'!L16</f>
        <v>20.986829107408266</v>
      </c>
      <c r="P6" s="116">
        <f>P3/'Three Statements'!M16</f>
        <v>18.452151671804977</v>
      </c>
      <c r="Q6" s="116">
        <f>Q3/'Three Statements'!N16</f>
        <v>18.72457953466472</v>
      </c>
    </row>
    <row r="7" spans="1:23" x14ac:dyDescent="0.25">
      <c r="A7" s="90" t="s">
        <v>288</v>
      </c>
      <c r="B7" s="102">
        <f>(B3)/((SUM('Three Statements'!B39:B42))/'Three Statements'!B15)</f>
        <v>3.5315332493900997</v>
      </c>
      <c r="C7" s="102">
        <f>(C3)/((SUM('Three Statements'!C39:C42))/'Three Statements'!C15)</f>
        <v>3.6575133756186435</v>
      </c>
      <c r="D7" s="102">
        <f>(D3)/((SUM('Three Statements'!D39:D42))/'Three Statements'!D15)</f>
        <v>3.5744926251309739</v>
      </c>
      <c r="E7" s="102">
        <f>(E3)/((SUM('Three Statements'!E39:E42))/'Three Statements'!E15)</f>
        <v>5.9188150139285236</v>
      </c>
      <c r="F7" s="102">
        <f>(F3)/((SUM('Three Statements'!F39:F42))/'Three Statements'!F15)</f>
        <v>7.4754027286135694</v>
      </c>
      <c r="G7" s="102">
        <f>(G3)/((SUM('Three Statements'!G39:G42))/'Three Statements'!G15)</f>
        <v>10.197370991102835</v>
      </c>
      <c r="H7" s="102">
        <f>(H3)/((SUM('Three Statements'!H39:H42))/'Three Statements'!H15)</f>
        <v>9.2282813634108773</v>
      </c>
      <c r="I7" s="102">
        <f>(I3)/((SUM('Three Statements'!I39:I42))/'Three Statements'!I15)</f>
        <v>5.9780434199332513</v>
      </c>
      <c r="J7" s="102"/>
      <c r="M7" s="116">
        <f>(I3)/((SUM('Three Statements'!J39:J42))/'Three Statements'!J15)</f>
        <v>5.4692141115917643</v>
      </c>
      <c r="N7" s="116">
        <f>(K3)/((SUM('Three Statements'!K39:K42))/'Three Statements'!K15)</f>
        <v>0</v>
      </c>
      <c r="O7" s="116">
        <f>(M3)/((SUM('Three Statements'!L39:L42))/'Three Statements'!L15)</f>
        <v>4.4791308897757123</v>
      </c>
      <c r="P7" s="116">
        <f>(N3)/((SUM('Three Statements'!M39:M42))/'Three Statements'!M15)</f>
        <v>4.0722656626034111</v>
      </c>
      <c r="Q7" s="116">
        <f>(O3)/((SUM('Three Statements'!N39:N42))/'Three Statements'!N15)</f>
        <v>4.0683673991978484</v>
      </c>
    </row>
    <row r="8" spans="1:23" x14ac:dyDescent="0.25">
      <c r="A8" s="90" t="s">
        <v>287</v>
      </c>
      <c r="B8" s="102">
        <f>B5/'Three Statements'!B5</f>
        <v>18.011652407522217</v>
      </c>
      <c r="C8" s="102">
        <f>C5/'Three Statements'!C5</f>
        <v>16.74250574875575</v>
      </c>
      <c r="D8" s="102">
        <f>D5/'Three Statements'!D5</f>
        <v>15.694825694567331</v>
      </c>
      <c r="E8" s="102">
        <f>E5/'Three Statements'!E5</f>
        <v>22.573512647938614</v>
      </c>
      <c r="F8" s="102">
        <f>F5/'Three Statements'!F5</f>
        <v>24.152705910591063</v>
      </c>
      <c r="G8" s="102">
        <f>G5/'Three Statements'!G5</f>
        <v>45.698308538454611</v>
      </c>
      <c r="H8" s="102">
        <f>H5/'Three Statements'!H5</f>
        <v>31.115030172601195</v>
      </c>
      <c r="I8" s="102">
        <f>I5/'Three Statements'!I5</f>
        <v>24.660499537831772</v>
      </c>
      <c r="J8" s="102"/>
      <c r="M8" s="116">
        <f>M5/'Three Statements'!J5</f>
        <v>23.276708105435628</v>
      </c>
      <c r="N8" s="116">
        <f>N5/'Three Statements'!K5</f>
        <v>21.698226206333853</v>
      </c>
      <c r="O8" s="116">
        <f>O5/'Three Statements'!L5</f>
        <v>17.81531761406487</v>
      </c>
      <c r="P8" s="116">
        <f>P5/'Three Statements'!M5</f>
        <v>15.702819996114044</v>
      </c>
      <c r="Q8" s="116">
        <f>Q5/'Three Statements'!N5</f>
        <v>15.794104525615545</v>
      </c>
    </row>
    <row r="9" spans="1:23" x14ac:dyDescent="0.25">
      <c r="A9" s="90" t="s">
        <v>286</v>
      </c>
      <c r="B9" s="102">
        <f>B5/'Three Statements'!B54</f>
        <v>17.417743005595522</v>
      </c>
      <c r="C9" s="102">
        <f>C5/'Three Statements'!C54</f>
        <v>29.469260783987579</v>
      </c>
      <c r="D9" s="102">
        <f>D5/'Three Statements'!D54</f>
        <v>30.075096642929804</v>
      </c>
      <c r="E9" s="102">
        <f>E5/'Three Statements'!E54</f>
        <v>31.719250502558481</v>
      </c>
      <c r="F9" s="102">
        <f>F5/'Three Statements'!F54</f>
        <v>49.254141458639261</v>
      </c>
      <c r="G9" s="102">
        <f>G5/'Three Statements'!G54</f>
        <v>197.13727732399849</v>
      </c>
      <c r="H9" s="102">
        <f>H5/'Three Statements'!H54</f>
        <v>48.795037090066138</v>
      </c>
      <c r="I9" s="102">
        <f>I5/'Three Statements'!I54</f>
        <v>46.157677459218988</v>
      </c>
      <c r="J9" s="102"/>
      <c r="M9" s="114">
        <f>M5/'Three Statements'!J54</f>
        <v>20.820507900363463</v>
      </c>
      <c r="N9" s="114">
        <f>N5/'Three Statements'!K54</f>
        <v>20.675606145496374</v>
      </c>
      <c r="O9" s="114">
        <f>O5/'Three Statements'!L54</f>
        <v>16.987793214148528</v>
      </c>
      <c r="P9" s="114">
        <f>P5/'Three Statements'!M54</f>
        <v>14.942533430333743</v>
      </c>
      <c r="Q9" s="114">
        <f>Q5/'Three Statements'!N54</f>
        <v>14.687208988588665</v>
      </c>
    </row>
    <row r="10" spans="1:23" x14ac:dyDescent="0.25">
      <c r="A10" s="111" t="s">
        <v>295</v>
      </c>
      <c r="B10" s="112" t="str">
        <f>IFERROR((B9-A9)/(A9), "nm")</f>
        <v>nm</v>
      </c>
      <c r="C10" s="112">
        <f>IFERROR((C9-B9)/(B9), "nm")</f>
        <v>0.69191041425519118</v>
      </c>
      <c r="D10" s="112">
        <f t="shared" ref="D10:I10" si="4">IFERROR((D9-C9)/(C9), "nm")</f>
        <v>2.0558230604529174E-2</v>
      </c>
      <c r="E10" s="112">
        <f t="shared" si="4"/>
        <v>5.4668281839592769E-2</v>
      </c>
      <c r="F10" s="112">
        <f t="shared" si="4"/>
        <v>0.55281542527829941</v>
      </c>
      <c r="G10" s="112">
        <f t="shared" si="4"/>
        <v>3.0024507886213554</v>
      </c>
      <c r="H10" s="112">
        <f t="shared" si="4"/>
        <v>-0.75248193668683649</v>
      </c>
      <c r="I10" s="112">
        <f t="shared" si="4"/>
        <v>-5.4049751534753381E-2</v>
      </c>
      <c r="J10" s="112"/>
      <c r="K10" s="112"/>
      <c r="L10" s="112"/>
      <c r="M10" s="112">
        <f>IFERROR((M9-I9)/(I9), "nm")</f>
        <v>-0.54892643983747447</v>
      </c>
      <c r="N10" s="112">
        <f t="shared" ref="N10" si="5">IFERROR((N9-M9)/(M9), "nm")</f>
        <v>-6.959568688742662E-3</v>
      </c>
      <c r="O10" s="112">
        <f t="shared" ref="O10" si="6">IFERROR((O9-N9)/(N9), "nm")</f>
        <v>-0.17836540826887134</v>
      </c>
      <c r="P10" s="112">
        <f t="shared" ref="P10" si="7">IFERROR((P9-O9)/(O9), "nm")</f>
        <v>-0.12039584883287614</v>
      </c>
      <c r="Q10" s="112">
        <f t="shared" ref="Q10" si="8">IFERROR((Q9-P9)/(P9), "nm")</f>
        <v>-1.7087091886758794E-2</v>
      </c>
    </row>
    <row r="11" spans="1:23" x14ac:dyDescent="0.25">
      <c r="A11" s="90" t="s">
        <v>285</v>
      </c>
      <c r="B11" s="101">
        <f>('Three Statements'!B33+'Three Statements'!B34+'Three Statements'!B36+'Three Statements'!B37)/(SUM('Three Statements'!B39))</f>
        <v>9.9157944440072407E-2</v>
      </c>
      <c r="C11" s="101">
        <f>('Three Statements'!C33+'Three Statements'!C34+'Three Statements'!C36+'Three Statements'!C37)/(SUM('Three Statements'!C39))</f>
        <v>0.1676456191874694</v>
      </c>
      <c r="D11" s="101">
        <f>('Three Statements'!D33+'Three Statements'!D34+'Three Statements'!D36+'Three Statements'!D37)/(SUM('Three Statements'!D39))</f>
        <v>0.30643991295236561</v>
      </c>
      <c r="E11" s="101">
        <f>('Three Statements'!E33+'Three Statements'!E34+'Three Statements'!E36+'Three Statements'!E37)/(SUM('Three Statements'!E39))</f>
        <v>0.38830004076640851</v>
      </c>
      <c r="F11" s="101">
        <f>('Three Statements'!F33+'Three Statements'!F34+'Three Statements'!F36+'Three Statements'!F37)/(SUM('Three Statements'!F39))</f>
        <v>0.38484513274336285</v>
      </c>
      <c r="G11" s="101">
        <f>('Three Statements'!G33+'Three Statements'!G34+'Three Statements'!G36+'Three Statements'!G37)/(SUM('Three Statements'!G39))</f>
        <v>1.6157666045934203</v>
      </c>
      <c r="H11" s="101">
        <f>('Three Statements'!H33+'Three Statements'!H34+'Three Statements'!H36+'Three Statements'!H37)/(SUM('Three Statements'!H39))</f>
        <v>1.0036030390851414</v>
      </c>
      <c r="I11" s="101">
        <f>('Three Statements'!I33+'Three Statements'!I34+'Three Statements'!I36+'Three Statements'!I37)/(SUM('Three Statements'!I39))</f>
        <v>0.82632026699823313</v>
      </c>
      <c r="J11" s="122"/>
      <c r="M11" s="113">
        <f>('Three Statements'!J33+'Three Statements'!J34+'Three Statements'!J36+'Three Statements'!J37)/(SUM('Three Statements'!J39))</f>
        <v>0.76847857841208134</v>
      </c>
      <c r="N11" s="113">
        <f>('Three Statements'!K33+'Three Statements'!K34+'Three Statements'!K36+'Three Statements'!K37)/(SUM('Three Statements'!K39))</f>
        <v>0.72613301841539257</v>
      </c>
      <c r="O11" s="113">
        <f>('Three Statements'!L33+'Three Statements'!L34+'Three Statements'!L36+'Three Statements'!L37)/(SUM('Three Statements'!L39))</f>
        <v>0.66251464930435411</v>
      </c>
      <c r="P11" s="113">
        <f>('Three Statements'!M33+'Three Statements'!M34+'Three Statements'!M36+'Three Statements'!M37)/(SUM('Three Statements'!M39))</f>
        <v>0.62560299554371024</v>
      </c>
      <c r="Q11" s="113">
        <f>('Three Statements'!N33+'Three Statements'!N34+'Three Statements'!N36+'Three Statements'!N37)/(SUM('Three Statements'!N39))</f>
        <v>0.62340450247719126</v>
      </c>
      <c r="R11" s="113"/>
      <c r="S11" s="113"/>
      <c r="T11" s="113"/>
      <c r="U11" s="113"/>
      <c r="V11" s="113"/>
      <c r="W11" s="113"/>
    </row>
    <row r="12" spans="1:23" x14ac:dyDescent="0.25">
      <c r="A12" s="90" t="s">
        <v>284</v>
      </c>
      <c r="B12" s="101">
        <f>('Three Statements'!B33+'Three Statements'!B34+'Three Statements'!B36+'Three Statements'!B37)/(SUM('Three Statements'!B39)+'Three Statements'!B33+'Three Statements'!B34+'Three Statements'!B36+'Three Statements'!B37)</f>
        <v>9.021264408963986E-2</v>
      </c>
      <c r="C12" s="101">
        <f>('Three Statements'!C33+'Three Statements'!C34+'Three Statements'!C36+'Three Statements'!C37)/(SUM('Three Statements'!C39)+'Three Statements'!C33+'Three Statements'!C34+'Three Statements'!C36+'Three Statements'!C37)</f>
        <v>0.14357577027876756</v>
      </c>
      <c r="D12" s="101">
        <f>('Three Statements'!D33+'Three Statements'!D34+'Three Statements'!D36+'Three Statements'!D37)/(SUM('Three Statements'!D39)+'Three Statements'!D33+'Three Statements'!D34+'Three Statements'!D36+'Three Statements'!D37)</f>
        <v>0.23456104633228453</v>
      </c>
      <c r="E12" s="101">
        <f>('Three Statements'!E33+'Three Statements'!E34+'Three Statements'!E36+'Three Statements'!E37)/(SUM('Three Statements'!E39)+'Three Statements'!E33+'Three Statements'!E34+'Three Statements'!E36+'Three Statements'!E37)</f>
        <v>0.27969461165761267</v>
      </c>
      <c r="F12" s="101">
        <f>('Three Statements'!F33+'Three Statements'!F34+'Three Statements'!F36+'Three Statements'!F37)/(SUM('Three Statements'!F39)+'Three Statements'!F33+'Three Statements'!F34+'Three Statements'!F36+'Three Statements'!F37)</f>
        <v>0.27789759565460498</v>
      </c>
      <c r="G12" s="101">
        <f>('Three Statements'!G33+'Three Statements'!G34+'Three Statements'!G36+'Three Statements'!G37)/(SUM('Three Statements'!G39)+'Three Statements'!G33+'Three Statements'!G34+'Three Statements'!G36+'Three Statements'!G37)</f>
        <v>0.61770289511153298</v>
      </c>
      <c r="H12" s="101">
        <f>('Three Statements'!H33+'Three Statements'!H34+'Three Statements'!H36+'Three Statements'!H37)/(SUM('Three Statements'!H39)+'Three Statements'!H33+'Three Statements'!H34+'Three Statements'!H36+'Three Statements'!H37)</f>
        <v>0.50089913995308832</v>
      </c>
      <c r="I12" s="101">
        <f>('Three Statements'!I33+'Three Statements'!I34+'Three Statements'!I36+'Three Statements'!I37)/(SUM('Three Statements'!I39)+'Three Statements'!I33+'Three Statements'!I34+'Three Statements'!I36+'Three Statements'!I37)</f>
        <v>0.45245091013329514</v>
      </c>
      <c r="J12" s="122"/>
      <c r="M12" s="113">
        <f>('Three Statements'!J33+'Three Statements'!J34+'Three Statements'!J36+'Three Statements'!J37)/(SUM('Three Statements'!J39)+'Three Statements'!J33+'Three Statements'!J34+'Three Statements'!J36+'Three Statements'!J37)</f>
        <v>0.43454220356013529</v>
      </c>
      <c r="N12" s="113">
        <f>('Three Statements'!K33+'Three Statements'!K34+'Three Statements'!K36+'Three Statements'!K37)/(SUM('Three Statements'!K39)+'Three Statements'!K33+'Three Statements'!K34+'Three Statements'!K36+'Three Statements'!K37)</f>
        <v>0.42067037167389915</v>
      </c>
      <c r="O12" s="113">
        <f>('Three Statements'!L33+'Three Statements'!L34+'Three Statements'!L36+'Three Statements'!L37)/(SUM('Three Statements'!L39)+'Three Statements'!L33+'Three Statements'!L34+'Three Statements'!L36+'Three Statements'!L37)</f>
        <v>0.39850154077232947</v>
      </c>
      <c r="P12" s="113">
        <f>('Three Statements'!M33+'Three Statements'!M34+'Three Statements'!M36+'Three Statements'!M37)/(SUM('Three Statements'!M39)+'Three Statements'!M33+'Three Statements'!M34+'Three Statements'!M36+'Three Statements'!M37)</f>
        <v>0.3848436532527838</v>
      </c>
      <c r="Q12" s="113">
        <f>('Three Statements'!N33+'Three Statements'!N34+'Three Statements'!N36+'Three Statements'!N37)/(SUM('Three Statements'!N39)+'Three Statements'!N33+'Three Statements'!N34+'Three Statements'!N36+'Three Statements'!N37)</f>
        <v>0.38401057871031136</v>
      </c>
      <c r="R12" s="113"/>
      <c r="S12" s="113"/>
      <c r="T12" s="113"/>
      <c r="U12" s="113"/>
      <c r="V12" s="113"/>
      <c r="W12" s="113"/>
    </row>
    <row r="13" spans="1:23" x14ac:dyDescent="0.25">
      <c r="A13" s="90" t="s">
        <v>283</v>
      </c>
      <c r="B13" s="101">
        <f>'Three Statements'!B14/(SUM('Three Statements'!B39))</f>
        <v>0.25757456520028332</v>
      </c>
      <c r="C13" s="101">
        <f>'Three Statements'!C14/(SUM('Three Statements'!C39))</f>
        <v>0.3067384565181922</v>
      </c>
      <c r="D13" s="101">
        <f>'Three Statements'!D14/(SUM('Three Statements'!D39))</f>
        <v>0.34174256468122832</v>
      </c>
      <c r="E13" s="101">
        <f>'Three Statements'!E14/(SUM('Three Statements'!E39))</f>
        <v>0.19700366897676314</v>
      </c>
      <c r="F13" s="101">
        <f>'Three Statements'!F14/(SUM('Three Statements'!F39))</f>
        <v>0.44568584070796458</v>
      </c>
      <c r="G13" s="101">
        <f>'Three Statements'!G14/(SUM('Three Statements'!G39))</f>
        <v>0.31520794537554314</v>
      </c>
      <c r="H13" s="101">
        <f>'Three Statements'!H14/(SUM('Three Statements'!H39))</f>
        <v>0.44857836610010182</v>
      </c>
      <c r="I13" s="101">
        <f>'Three Statements'!I14/(SUM('Three Statements'!I39))</f>
        <v>0.3956547346377855</v>
      </c>
      <c r="J13" s="122"/>
      <c r="M13" s="113">
        <f>'Three Statements'!J14/(SUM('Three Statements'!J39))</f>
        <v>0.34096322160062364</v>
      </c>
      <c r="N13" s="113">
        <f>'Three Statements'!K14/(SUM('Three Statements'!K39))</f>
        <v>0.37703779804060383</v>
      </c>
      <c r="O13" s="113">
        <f>'Three Statements'!L14/(SUM('Three Statements'!L39))</f>
        <v>0.42922831910610693</v>
      </c>
      <c r="P13" s="113">
        <f>'Three Statements'!M14/(SUM('Three Statements'!M39))</f>
        <v>0.4614713898997605</v>
      </c>
      <c r="Q13" s="113">
        <f>'Three Statements'!N14/(SUM('Three Statements'!N39))</f>
        <v>0.46497019129554934</v>
      </c>
      <c r="R13" s="113"/>
      <c r="S13" s="113"/>
      <c r="T13" s="113"/>
      <c r="U13" s="113"/>
      <c r="V13" s="113"/>
      <c r="W13" s="113"/>
    </row>
    <row r="16" spans="1:23" x14ac:dyDescent="0.25">
      <c r="B16" s="120" t="s">
        <v>296</v>
      </c>
      <c r="J16" s="122"/>
    </row>
    <row r="17" spans="1:27" x14ac:dyDescent="0.25">
      <c r="A17" s="90" t="s">
        <v>282</v>
      </c>
      <c r="B17" s="94">
        <f>'Three Statements'!B54</f>
        <v>5004</v>
      </c>
      <c r="C17" s="94">
        <f>'Three Statements'!C54</f>
        <v>3006</v>
      </c>
      <c r="D17" s="94">
        <f>'Three Statements'!D54</f>
        <v>2949</v>
      </c>
      <c r="E17" s="94">
        <f>'Three Statements'!E54</f>
        <v>3648</v>
      </c>
      <c r="F17" s="94">
        <f>'Three Statements'!F54</f>
        <v>2724</v>
      </c>
      <c r="G17" s="94">
        <f>'Three Statements'!G54</f>
        <v>857</v>
      </c>
      <c r="H17" s="94">
        <f>'Three Statements'!H54</f>
        <v>4889</v>
      </c>
      <c r="I17" s="94">
        <f>'Three Statements'!I54</f>
        <v>4046</v>
      </c>
      <c r="J17" s="94"/>
      <c r="M17" s="94">
        <f>'Three Statements'!J54</f>
        <v>8759.8152806125872</v>
      </c>
      <c r="N17" s="94">
        <f>'Three Statements'!K54</f>
        <v>8559.5508333307171</v>
      </c>
      <c r="O17" s="94">
        <f>'Three Statements'!L54</f>
        <v>10434.758718320873</v>
      </c>
      <c r="P17" s="94">
        <f>'Three Statements'!M54</f>
        <v>11775.832457768265</v>
      </c>
      <c r="Q17" s="94">
        <f>'Three Statements'!N54</f>
        <v>12214.814553176957</v>
      </c>
      <c r="R17" s="117">
        <f>Q17*(1+R18)</f>
        <v>13069.851571899344</v>
      </c>
      <c r="S17" s="117">
        <f t="shared" ref="S17:V17" si="9">R17*(1+S18)</f>
        <v>13984.741181932299</v>
      </c>
      <c r="T17" s="117">
        <f t="shared" si="9"/>
        <v>14963.673064667561</v>
      </c>
      <c r="U17" s="117">
        <f t="shared" si="9"/>
        <v>16011.130179194291</v>
      </c>
      <c r="V17" s="117">
        <f t="shared" si="9"/>
        <v>17131.909291737891</v>
      </c>
      <c r="W17" s="117">
        <f>(V17*(1+W18))/(W20-W18)</f>
        <v>333120.45845045906</v>
      </c>
      <c r="X17" s="140" t="s">
        <v>300</v>
      </c>
    </row>
    <row r="18" spans="1:27" s="98" customFormat="1" ht="12" x14ac:dyDescent="0.2">
      <c r="A18" s="99" t="s">
        <v>21</v>
      </c>
      <c r="B18" s="100" t="str">
        <f>IFERROR((B17-A17)/(A17), "nm")</f>
        <v>nm</v>
      </c>
      <c r="C18" s="100">
        <f t="shared" ref="C18:H18" si="10">IFERROR((C17-B17)/(B17), "nm")</f>
        <v>-0.39928057553956836</v>
      </c>
      <c r="D18" s="100">
        <f t="shared" si="10"/>
        <v>-1.8962075848303395E-2</v>
      </c>
      <c r="E18" s="100">
        <f t="shared" si="10"/>
        <v>0.23702950152594099</v>
      </c>
      <c r="F18" s="100">
        <f t="shared" si="10"/>
        <v>-0.25328947368421051</v>
      </c>
      <c r="G18" s="100">
        <f t="shared" si="10"/>
        <v>-0.68538913362701914</v>
      </c>
      <c r="H18" s="100">
        <f t="shared" si="10"/>
        <v>4.7047841306884477</v>
      </c>
      <c r="I18" s="100">
        <f>IFERROR((I17-H17)/(H17), "nm")</f>
        <v>-0.17242789936592351</v>
      </c>
      <c r="J18" s="100"/>
      <c r="K18" s="100"/>
      <c r="L18" s="144" t="s">
        <v>308</v>
      </c>
      <c r="M18" s="100">
        <f>IFERROR((M17-I17)/(I17), "nm")</f>
        <v>1.1650556798350438</v>
      </c>
      <c r="N18" s="100">
        <f t="shared" ref="N18" si="11">IFERROR((N17-M17)/(M17), "nm")</f>
        <v>-2.2861720352151692E-2</v>
      </c>
      <c r="O18" s="100">
        <f t="shared" ref="O18" si="12">IFERROR((O17-N17)/(N17), "nm")</f>
        <v>0.21907783731923572</v>
      </c>
      <c r="P18" s="100">
        <f t="shared" ref="P18" si="13">IFERROR((P17-O17)/(O17), "nm")</f>
        <v>0.12851986094252441</v>
      </c>
      <c r="Q18" s="100">
        <f t="shared" ref="Q18" si="14">IFERROR((Q17-P17)/(P17), "nm")</f>
        <v>3.7278221899217381E-2</v>
      </c>
      <c r="R18" s="127">
        <v>7.0000000000000007E-2</v>
      </c>
      <c r="S18" s="127">
        <v>7.0000000000000007E-2</v>
      </c>
      <c r="T18" s="127">
        <v>7.0000000000000007E-2</v>
      </c>
      <c r="U18" s="127">
        <v>7.0000000000000007E-2</v>
      </c>
      <c r="V18" s="127">
        <v>7.0000000000000007E-2</v>
      </c>
      <c r="W18" s="127">
        <v>0.05</v>
      </c>
      <c r="X18" s="143" t="s">
        <v>307</v>
      </c>
    </row>
    <row r="19" spans="1:27" s="98" customFormat="1" x14ac:dyDescent="0.25">
      <c r="A19" s="132" t="s">
        <v>305</v>
      </c>
      <c r="B19" s="133">
        <f>(B17/(1+B20))</f>
        <v>5002.9044259854973</v>
      </c>
      <c r="C19" s="133">
        <f>(C17/(1+C20)^2)</f>
        <v>2680.1672799921171</v>
      </c>
      <c r="D19" s="133">
        <f>(D17/(1+D20)^3)</f>
        <v>2339.8556995135446</v>
      </c>
      <c r="E19" s="133">
        <f>(E17/(1+E20)^4)</f>
        <v>3987.203926491185</v>
      </c>
      <c r="F19" s="133">
        <f>(F17/(1+F20)^5)</f>
        <v>1334.0847379280551</v>
      </c>
      <c r="G19" s="133">
        <f>(G17/(1+G20)^6)</f>
        <v>616.86839669842277</v>
      </c>
      <c r="H19" s="133">
        <f>(H17/(1+H20)^7)</f>
        <v>2129.2498342286508</v>
      </c>
      <c r="I19" s="133">
        <f>(I17/(1+I20)^8)</f>
        <v>1868.2156889508215</v>
      </c>
      <c r="J19" s="133"/>
      <c r="K19" s="133"/>
      <c r="L19" s="133"/>
      <c r="M19" s="133">
        <f>(M17/(1+M20)^1)</f>
        <v>7934.6152904099517</v>
      </c>
      <c r="N19" s="133">
        <f>(N17/(1+N20)^2)</f>
        <v>7022.8408827343228</v>
      </c>
      <c r="O19" s="133">
        <f>(O17/(1+O20)^3)</f>
        <v>7754.8819521384694</v>
      </c>
      <c r="P19" s="133">
        <f>(P17/(1+P20)^4)</f>
        <v>7927.1180274030767</v>
      </c>
      <c r="Q19" s="133">
        <f>(Q17/(1+Q20)^5)</f>
        <v>7448.0316052988173</v>
      </c>
      <c r="R19" s="133">
        <f>(R17/(1+R20)^6)</f>
        <v>7218.6538203530199</v>
      </c>
      <c r="S19" s="133">
        <f>(S17/(1+S20)^7)</f>
        <v>6996.3402063204094</v>
      </c>
      <c r="T19" s="133">
        <f>(T17/(1+T20)^8)</f>
        <v>6780.873207212715</v>
      </c>
      <c r="U19" s="133">
        <f>(U17/(1+U20)^9)</f>
        <v>6572.0419671355121</v>
      </c>
      <c r="V19" s="133">
        <f>(V17/(1+V20)^10)</f>
        <v>6369.6421239447445</v>
      </c>
      <c r="W19" s="133">
        <f>(W17/(1+W20)^11)</f>
        <v>112186.73225546804</v>
      </c>
      <c r="X19" s="134"/>
      <c r="Y19" s="134"/>
      <c r="Z19" s="134"/>
      <c r="AA19" s="134"/>
    </row>
    <row r="20" spans="1:27" x14ac:dyDescent="0.25">
      <c r="A20" s="90" t="s">
        <v>281</v>
      </c>
      <c r="B20" s="123">
        <f>((SUM('Three Statements'!B39))/(SUM('Three Statements'!B39)+('Three Statements'!B33+'Three Statements'!B34+'Three Statements'!B36+'Three Statements'!B37)))*B22+((('Three Statements'!B33+'Three Statements'!B34+'Three Statements'!B36+'Three Statements'!B37))/(SUM('Three Statements'!B39)+('Three Statements'!B33+'Three Statements'!B34+'Three Statements'!B36+'Three Statements'!B37)))*B25*(1-'Three Statements'!B13)</f>
        <v>2.1898759624754973E-4</v>
      </c>
      <c r="C20" s="123">
        <f>((SUM('Three Statements'!C39))/(SUM('Three Statements'!C39)+('Three Statements'!C33+'Three Statements'!C34+'Three Statements'!C36+'Three Statements'!C37)))*C22+((('Three Statements'!C33+'Three Statements'!C34+'Three Statements'!C36+'Three Statements'!C37))/(SUM('Three Statements'!C39)+('Three Statements'!C33+'Three Statements'!C34+'Three Statements'!C36+'Three Statements'!C37)))*C25*(1-'Three Statements'!C13)</f>
        <v>5.9042862626837077E-2</v>
      </c>
      <c r="D20" s="123">
        <f>((SUM('Three Statements'!D39))/(SUM('Three Statements'!D39)+('Three Statements'!D33+'Three Statements'!D34+'Three Statements'!D36+'Three Statements'!D37)))*D22+((('Three Statements'!D33+'Three Statements'!D34+'Three Statements'!D36+'Three Statements'!D37))/(SUM('Three Statements'!D39)+('Three Statements'!D33+'Three Statements'!D34+'Three Statements'!D36+'Three Statements'!D37)))*D25*(1-'Three Statements'!D13)</f>
        <v>8.01777631271232E-2</v>
      </c>
      <c r="E20" s="123">
        <f>((SUM('Three Statements'!E39))/(SUM('Three Statements'!E39)+('Three Statements'!E33+'Three Statements'!E34+'Three Statements'!E36+'Three Statements'!E37)))*E22+((('Three Statements'!E33+'Three Statements'!E34+'Three Statements'!E36+'Three Statements'!E37))/(SUM('Three Statements'!E39)+('Three Statements'!E33+'Three Statements'!E34+'Three Statements'!E36+'Three Statements'!E37)))*E25*(1-'Three Statements'!E13)</f>
        <v>-2.1982568692263366E-2</v>
      </c>
      <c r="F20" s="123">
        <f>((SUM('Three Statements'!F39))/(SUM('Three Statements'!F39)+('Three Statements'!F33+'Three Statements'!F34+'Three Statements'!F36+'Three Statements'!F37)))*F22+((('Three Statements'!F33+'Three Statements'!F34+'Three Statements'!F36+'Three Statements'!F37))/(SUM('Three Statements'!F39)+('Three Statements'!F33+'Three Statements'!F34+'Three Statements'!F36+'Three Statements'!F37)))*F25*(1-'Three Statements'!F13)</f>
        <v>0.15346584028795957</v>
      </c>
      <c r="G20" s="123">
        <f>((SUM('Three Statements'!G39))/(SUM('Three Statements'!G39)+('Three Statements'!G33+'Three Statements'!G34+'Three Statements'!G36+'Three Statements'!G37)))*G22+((('Three Statements'!G33+'Three Statements'!G34+'Three Statements'!G36+'Three Statements'!G37))/(SUM('Three Statements'!G39)+('Three Statements'!G33+'Three Statements'!G34+'Three Statements'!G36+'Three Statements'!G37)))*G25*(1-'Three Statements'!G13)</f>
        <v>5.632619618204053E-2</v>
      </c>
      <c r="H20" s="123">
        <f>((SUM('Three Statements'!H39))/(SUM('Three Statements'!H39)+('Three Statements'!H33+'Three Statements'!H34+'Three Statements'!H36+'Three Statements'!H37)))*H22+((('Three Statements'!H33+'Three Statements'!H34+'Three Statements'!H36+'Three Statements'!H37))/(SUM('Three Statements'!H39)+('Three Statements'!H33+'Three Statements'!H34+'Three Statements'!H36+'Three Statements'!H37)))*H25*(1-'Three Statements'!H13)</f>
        <v>0.12608322225907775</v>
      </c>
      <c r="I20" s="123">
        <f>((SUM('Three Statements'!I39))/(SUM('Three Statements'!I39)+('Three Statements'!I33+'Three Statements'!I34+'Three Statements'!I36+'Three Statements'!I37)))*I22+((('Three Statements'!I33+'Three Statements'!I34+'Three Statements'!I36+'Three Statements'!I37))/(SUM('Three Statements'!I39)+('Three Statements'!I33+'Three Statements'!I34+'Three Statements'!I36+'Three Statements'!I37)))*I25*(1-'Three Statements'!I13)</f>
        <v>0.10141213717236222</v>
      </c>
      <c r="J20" s="122"/>
      <c r="K20" s="128"/>
      <c r="L20" s="140" t="s">
        <v>301</v>
      </c>
      <c r="M20" s="135">
        <v>0.104</v>
      </c>
      <c r="N20" s="135">
        <v>0.104</v>
      </c>
      <c r="O20" s="135">
        <v>0.104</v>
      </c>
      <c r="P20" s="135">
        <v>0.104</v>
      </c>
      <c r="Q20" s="135">
        <v>0.104</v>
      </c>
      <c r="R20" s="135">
        <v>0.104</v>
      </c>
      <c r="S20" s="135">
        <v>0.104</v>
      </c>
      <c r="T20" s="135">
        <v>0.104</v>
      </c>
      <c r="U20" s="135">
        <v>0.104</v>
      </c>
      <c r="V20" s="135">
        <v>0.104</v>
      </c>
      <c r="W20" s="135">
        <v>0.104</v>
      </c>
    </row>
    <row r="21" spans="1:27" x14ac:dyDescent="0.25">
      <c r="A21" s="96" t="s">
        <v>280</v>
      </c>
      <c r="B21" s="90">
        <v>0.80710000000000004</v>
      </c>
      <c r="C21" s="90">
        <v>0.62080000000000002</v>
      </c>
      <c r="D21" s="90">
        <v>0.43830000000000002</v>
      </c>
      <c r="E21" s="90">
        <v>0.67949999999999999</v>
      </c>
      <c r="F21" s="90">
        <v>0.69140000000000001</v>
      </c>
      <c r="G21" s="90">
        <v>0.83499999999999996</v>
      </c>
      <c r="H21" s="90">
        <v>0.86209999999999998</v>
      </c>
      <c r="I21" s="90">
        <v>1.44</v>
      </c>
      <c r="J21" s="122"/>
      <c r="K21" s="118"/>
      <c r="L21" s="142" t="s">
        <v>306</v>
      </c>
    </row>
    <row r="22" spans="1:27" x14ac:dyDescent="0.25">
      <c r="A22" s="96" t="s">
        <v>279</v>
      </c>
      <c r="B22" s="95">
        <f>B23+B21*(B24-B23)</f>
        <v>-1.4744200000000006E-3</v>
      </c>
      <c r="C22" s="95">
        <f t="shared" ref="C22:H22" si="15">C23+C21*(C24-C23)</f>
        <v>6.7680480000000001E-2</v>
      </c>
      <c r="D22" s="95">
        <f t="shared" si="15"/>
        <v>0.10062078000000002</v>
      </c>
      <c r="E22" s="95">
        <f t="shared" si="15"/>
        <v>-3.2978099999999996E-2</v>
      </c>
      <c r="F22" s="95">
        <f t="shared" si="15"/>
        <v>0.20797766000000004</v>
      </c>
      <c r="G22" s="95">
        <f t="shared" si="15"/>
        <v>0.13761899999999999</v>
      </c>
      <c r="H22" s="95">
        <f t="shared" si="15"/>
        <v>0.23497659999999998</v>
      </c>
      <c r="I22" s="95">
        <f>I23+I21*(I24-I23)</f>
        <v>0.17301599999999998</v>
      </c>
      <c r="J22" s="95"/>
      <c r="K22" s="96"/>
      <c r="L22" s="96"/>
      <c r="M22" s="95"/>
      <c r="N22" s="95"/>
      <c r="O22" s="95"/>
      <c r="P22" s="95"/>
      <c r="Q22" s="95"/>
      <c r="R22" s="95"/>
      <c r="S22" s="95"/>
      <c r="T22" s="95"/>
      <c r="U22" s="95"/>
      <c r="V22" s="95"/>
      <c r="W22" s="95"/>
    </row>
    <row r="23" spans="1:27" x14ac:dyDescent="0.25">
      <c r="A23" s="96" t="s">
        <v>278</v>
      </c>
      <c r="B23" s="124">
        <v>2.29E-2</v>
      </c>
      <c r="C23" s="123">
        <v>2.23E-2</v>
      </c>
      <c r="D23" s="123">
        <v>2.76E-2</v>
      </c>
      <c r="E23" s="123">
        <v>2.9399999999999999E-2</v>
      </c>
      <c r="F23" s="123">
        <v>2.69E-2</v>
      </c>
      <c r="G23" s="123">
        <v>1.12E-2</v>
      </c>
      <c r="H23" s="123">
        <v>2.29E-2</v>
      </c>
      <c r="I23" s="124">
        <v>2.7E-2</v>
      </c>
      <c r="J23" s="126"/>
      <c r="K23" s="97"/>
      <c r="L23" s="97"/>
      <c r="M23" s="119"/>
      <c r="N23" s="95"/>
      <c r="O23" s="95"/>
      <c r="P23" s="95"/>
      <c r="Q23" s="95"/>
      <c r="R23" s="95"/>
      <c r="S23" s="95"/>
      <c r="T23" s="95"/>
      <c r="U23" s="95"/>
      <c r="V23" s="95"/>
      <c r="W23" s="95"/>
    </row>
    <row r="24" spans="1:27" x14ac:dyDescent="0.25">
      <c r="A24" s="96" t="s">
        <v>277</v>
      </c>
      <c r="B24" s="124">
        <v>-7.3000000000000001E-3</v>
      </c>
      <c r="C24" s="123">
        <v>9.5399999999999999E-2</v>
      </c>
      <c r="D24" s="123">
        <v>0.19420000000000001</v>
      </c>
      <c r="E24" s="123">
        <v>-6.2399999999999997E-2</v>
      </c>
      <c r="F24" s="123">
        <f>0.2888</f>
        <v>0.2888</v>
      </c>
      <c r="G24" s="123">
        <v>0.16259999999999999</v>
      </c>
      <c r="H24" s="123">
        <v>0.26889999999999997</v>
      </c>
      <c r="I24" s="124">
        <v>0.12839999999999999</v>
      </c>
      <c r="J24" s="126"/>
      <c r="K24" s="125"/>
      <c r="L24" s="125"/>
      <c r="M24" s="124">
        <v>0.20949999999999999</v>
      </c>
      <c r="N24" s="95"/>
      <c r="O24" s="95"/>
      <c r="P24" s="95"/>
      <c r="Q24" s="95"/>
      <c r="R24" s="95"/>
      <c r="S24" s="95"/>
      <c r="T24" s="95"/>
      <c r="U24" s="95"/>
      <c r="V24" s="95"/>
      <c r="W24" s="95"/>
    </row>
    <row r="25" spans="1:27" x14ac:dyDescent="0.25">
      <c r="A25" s="96" t="s">
        <v>276</v>
      </c>
      <c r="B25" s="95">
        <f>'Three Statements'!B10/('Three Statements'!B33+'Three Statements'!B34+'Three Statements'!B36+'Three Statements'!B37)</f>
        <v>2.2222222222222223E-2</v>
      </c>
      <c r="C25" s="95">
        <f>'Three Statements'!C10/('Three Statements'!C33+'Three Statements'!C34+'Three Statements'!C36+'Three Statements'!C37)</f>
        <v>9.2457420924574214E-3</v>
      </c>
      <c r="D25" s="95">
        <f>'Three Statements'!D10/('Three Statements'!D33+'Three Statements'!D34+'Three Statements'!D36+'Three Statements'!D37)</f>
        <v>1.551814834297738E-2</v>
      </c>
      <c r="E25" s="95">
        <f>'Three Statements'!E10/('Three Statements'!E33+'Three Statements'!E34+'Three Statements'!E36+'Three Statements'!E37)</f>
        <v>1.4173228346456693E-2</v>
      </c>
      <c r="F25" s="95">
        <f>'Three Statements'!F10/('Three Statements'!F33+'Three Statements'!F34+'Three Statements'!F36+'Three Statements'!F37)</f>
        <v>1.4084507042253521E-2</v>
      </c>
      <c r="G25" s="95">
        <f>'Three Statements'!G10/('Three Statements'!G33+'Three Statements'!G34+'Three Statements'!G36+'Three Statements'!G37)</f>
        <v>6.8382635420668461E-3</v>
      </c>
      <c r="H25" s="95">
        <f>'Three Statements'!H10/('Three Statements'!H33+'Three Statements'!H34+'Three Statements'!H36+'Three Statements'!H37)</f>
        <v>2.0447982517755404E-2</v>
      </c>
      <c r="I25" s="95">
        <f>'Three Statements'!I10/('Three Statements'!I33+'Three Statements'!I34+'Three Statements'!I36+'Three Statements'!I37)</f>
        <v>1.623505187297062E-2</v>
      </c>
      <c r="J25" s="95"/>
      <c r="M25" s="95"/>
      <c r="N25" s="95"/>
      <c r="O25" s="95"/>
      <c r="P25" s="95"/>
      <c r="Q25" s="95"/>
      <c r="R25" s="95"/>
      <c r="S25" s="95"/>
      <c r="T25" s="95"/>
      <c r="U25" s="95"/>
      <c r="V25" s="95"/>
      <c r="W25" s="95"/>
    </row>
    <row r="26" spans="1:27" x14ac:dyDescent="0.25">
      <c r="A26" s="96" t="s">
        <v>275</v>
      </c>
      <c r="B26" s="95">
        <f>('Three Statements'!B33+'Three Statements'!B34+'Three Statements'!B36+'Three Statements'!B37)/(SUM('Three Statements'!B39))</f>
        <v>9.9157944440072407E-2</v>
      </c>
      <c r="C26" s="95">
        <f>('Three Statements'!C33+'Three Statements'!C34+'Three Statements'!C36+'Three Statements'!C37)/(SUM('Three Statements'!C39))</f>
        <v>0.1676456191874694</v>
      </c>
      <c r="D26" s="95">
        <f>('Three Statements'!D33+'Three Statements'!D34+'Three Statements'!D36+'Three Statements'!D37)/(SUM('Three Statements'!D39))</f>
        <v>0.30643991295236561</v>
      </c>
      <c r="E26" s="95">
        <f>('Three Statements'!E33+'Three Statements'!E34+'Three Statements'!E36+'Three Statements'!E37)/(SUM('Three Statements'!E39))</f>
        <v>0.38830004076640851</v>
      </c>
      <c r="F26" s="95">
        <f>('Three Statements'!F33+'Three Statements'!F34+'Three Statements'!F36+'Three Statements'!F37)/(SUM('Three Statements'!F39))</f>
        <v>0.38484513274336285</v>
      </c>
      <c r="G26" s="95">
        <f>('Three Statements'!G33+'Three Statements'!G34+'Three Statements'!G36+'Three Statements'!G37)/(SUM('Three Statements'!G39))</f>
        <v>1.6157666045934203</v>
      </c>
      <c r="H26" s="95">
        <f>('Three Statements'!H33+'Three Statements'!H34+'Three Statements'!H36+'Three Statements'!H37)/(SUM('Three Statements'!H39))</f>
        <v>1.0036030390851414</v>
      </c>
      <c r="I26" s="95">
        <f>('Three Statements'!I33+'Three Statements'!I34+'Three Statements'!I36+'Three Statements'!I37)/(SUM('Three Statements'!I39))</f>
        <v>0.82632026699823313</v>
      </c>
      <c r="J26" s="122"/>
      <c r="M26" s="95"/>
      <c r="N26" s="95"/>
      <c r="O26" s="95"/>
      <c r="P26" s="95"/>
      <c r="Q26" s="95"/>
      <c r="R26" s="95"/>
      <c r="S26" s="95"/>
      <c r="T26" s="95"/>
      <c r="U26" s="95"/>
      <c r="V26" s="95"/>
      <c r="W26" s="95"/>
    </row>
    <row r="27" spans="1:27" x14ac:dyDescent="0.25">
      <c r="A27" s="90" t="s">
        <v>274</v>
      </c>
      <c r="M27" s="94"/>
      <c r="N27" s="94"/>
      <c r="O27" s="94"/>
      <c r="P27" s="94"/>
      <c r="Q27" s="94"/>
    </row>
    <row r="28" spans="1:27" ht="15.75" thickBot="1" x14ac:dyDescent="0.3">
      <c r="M28" s="94"/>
      <c r="N28" s="94"/>
      <c r="O28" s="94"/>
      <c r="P28" s="94"/>
      <c r="Q28" s="94"/>
    </row>
    <row r="29" spans="1:27" x14ac:dyDescent="0.25">
      <c r="A29" s="129" t="s">
        <v>298</v>
      </c>
      <c r="B29" s="136">
        <f>SUM(M19:V19)</f>
        <v>72025.039082951029</v>
      </c>
      <c r="C29" s="116"/>
      <c r="D29" s="140" t="s">
        <v>302</v>
      </c>
      <c r="M29" s="94"/>
      <c r="N29" s="94"/>
      <c r="O29" s="94"/>
      <c r="P29" s="94"/>
      <c r="Q29" s="94"/>
    </row>
    <row r="30" spans="1:27" x14ac:dyDescent="0.25">
      <c r="A30" s="93" t="s">
        <v>273</v>
      </c>
      <c r="B30" s="137">
        <f>W19</f>
        <v>112186.73225546804</v>
      </c>
      <c r="C30" s="116"/>
      <c r="D30" s="140" t="s">
        <v>303</v>
      </c>
      <c r="M30" s="94"/>
      <c r="N30" s="94"/>
      <c r="O30" s="94"/>
      <c r="P30" s="94"/>
      <c r="Q30" s="94"/>
    </row>
    <row r="31" spans="1:27" x14ac:dyDescent="0.25">
      <c r="A31" s="93" t="s">
        <v>272</v>
      </c>
      <c r="B31" s="138">
        <f>B29+B30</f>
        <v>184211.77133841906</v>
      </c>
      <c r="C31" s="116"/>
      <c r="D31" s="141" t="s">
        <v>304</v>
      </c>
      <c r="E31" s="116"/>
    </row>
    <row r="32" spans="1:27" x14ac:dyDescent="0.25">
      <c r="A32" s="93" t="s">
        <v>271</v>
      </c>
      <c r="B32" s="92">
        <f>('Three Statements'!B33+'Three Statements'!B34+'Three Statements'!B36+'Three Statements'!B37)</f>
        <v>1260</v>
      </c>
      <c r="D32" s="141" t="s">
        <v>304</v>
      </c>
      <c r="H32" s="130"/>
    </row>
    <row r="33" spans="1:4" x14ac:dyDescent="0.25">
      <c r="A33" s="93" t="s">
        <v>270</v>
      </c>
      <c r="B33" s="137">
        <f>B31-B32</f>
        <v>182951.77133841906</v>
      </c>
      <c r="C33" s="131"/>
      <c r="D33" s="141" t="s">
        <v>304</v>
      </c>
    </row>
    <row r="34" spans="1:4" ht="15.75" thickBot="1" x14ac:dyDescent="0.3">
      <c r="A34" s="91" t="s">
        <v>269</v>
      </c>
      <c r="B34" s="139">
        <f>B33/'Three Statements'!J15</f>
        <v>115.4549342563657</v>
      </c>
      <c r="C34" s="114"/>
      <c r="D34" s="141" t="s">
        <v>304</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F3C5-FFAB-4940-810E-C907F6F6DB36}">
  <dimension ref="A1:C27"/>
  <sheetViews>
    <sheetView workbookViewId="0">
      <selection activeCell="F35" sqref="F35"/>
    </sheetView>
  </sheetViews>
  <sheetFormatPr defaultRowHeight="15" x14ac:dyDescent="0.25"/>
  <cols>
    <col min="2" max="2" width="41.7109375" bestFit="1" customWidth="1"/>
    <col min="3" max="3" width="15.5703125" bestFit="1" customWidth="1"/>
  </cols>
  <sheetData>
    <row r="1" spans="1:3" x14ac:dyDescent="0.25">
      <c r="A1" s="150" t="s">
        <v>310</v>
      </c>
      <c r="B1" s="150" t="s">
        <v>311</v>
      </c>
      <c r="C1" s="150" t="s">
        <v>313</v>
      </c>
    </row>
    <row r="2" spans="1:3" x14ac:dyDescent="0.25">
      <c r="A2">
        <v>2009</v>
      </c>
      <c r="B2" s="51">
        <v>17318</v>
      </c>
      <c r="C2" s="151" t="str">
        <f>IFERROR((B2-B1)/(B1), "nm")</f>
        <v>nm</v>
      </c>
    </row>
    <row r="3" spans="1:3" x14ac:dyDescent="0.25">
      <c r="A3">
        <v>2010</v>
      </c>
      <c r="B3" s="51">
        <v>16540</v>
      </c>
      <c r="C3" s="151">
        <f t="shared" ref="C3:C16" si="0">IFERROR((B3-B2)/(B2), "nm")</f>
        <v>-4.4924356161219543E-2</v>
      </c>
    </row>
    <row r="4" spans="1:3" x14ac:dyDescent="0.25">
      <c r="A4">
        <v>2011</v>
      </c>
      <c r="B4" s="51">
        <v>17276</v>
      </c>
      <c r="C4" s="151">
        <f t="shared" si="0"/>
        <v>4.449818621523579E-2</v>
      </c>
    </row>
    <row r="5" spans="1:3" x14ac:dyDescent="0.25">
      <c r="A5">
        <v>2012</v>
      </c>
      <c r="B5" s="51">
        <v>20262</v>
      </c>
      <c r="C5" s="151">
        <f t="shared" si="0"/>
        <v>0.17284093540171336</v>
      </c>
    </row>
    <row r="6" spans="1:3" x14ac:dyDescent="0.25">
      <c r="A6">
        <v>2013</v>
      </c>
      <c r="B6" s="51">
        <v>22075</v>
      </c>
      <c r="C6" s="151">
        <f t="shared" si="0"/>
        <v>8.9477840292172539E-2</v>
      </c>
    </row>
    <row r="7" spans="1:3" x14ac:dyDescent="0.25">
      <c r="A7">
        <v>2014</v>
      </c>
      <c r="B7" s="51">
        <v>24119</v>
      </c>
      <c r="C7" s="151">
        <f t="shared" si="0"/>
        <v>9.2593431483578709E-2</v>
      </c>
    </row>
    <row r="8" spans="1:3" x14ac:dyDescent="0.25">
      <c r="A8">
        <v>2015</v>
      </c>
      <c r="B8" s="51">
        <v>26426</v>
      </c>
      <c r="C8" s="151">
        <f t="shared" si="0"/>
        <v>9.5650731788216758E-2</v>
      </c>
    </row>
    <row r="9" spans="1:3" x14ac:dyDescent="0.25">
      <c r="A9">
        <v>2016</v>
      </c>
      <c r="B9" s="51">
        <v>27874</v>
      </c>
      <c r="C9" s="151">
        <f t="shared" si="0"/>
        <v>5.4794520547945202E-2</v>
      </c>
    </row>
    <row r="10" spans="1:3" x14ac:dyDescent="0.25">
      <c r="A10">
        <v>2017</v>
      </c>
      <c r="B10" s="51">
        <v>29601</v>
      </c>
      <c r="C10" s="151">
        <f t="shared" si="0"/>
        <v>6.1957379636937648E-2</v>
      </c>
    </row>
    <row r="11" spans="1:3" x14ac:dyDescent="0.25">
      <c r="A11">
        <v>2018</v>
      </c>
      <c r="B11" s="51">
        <v>31952</v>
      </c>
      <c r="C11" s="151">
        <f t="shared" si="0"/>
        <v>7.9422992466470721E-2</v>
      </c>
    </row>
    <row r="12" spans="1:3" x14ac:dyDescent="0.25">
      <c r="A12">
        <v>2019</v>
      </c>
      <c r="B12" s="51">
        <v>34345</v>
      </c>
      <c r="C12" s="151">
        <f t="shared" si="0"/>
        <v>7.4893590385578371E-2</v>
      </c>
    </row>
    <row r="13" spans="1:3" x14ac:dyDescent="0.25">
      <c r="A13">
        <v>2020</v>
      </c>
      <c r="B13" s="51">
        <v>34288</v>
      </c>
      <c r="C13" s="151">
        <f t="shared" si="0"/>
        <v>-1.6596302227398457E-3</v>
      </c>
    </row>
    <row r="14" spans="1:3" x14ac:dyDescent="0.25">
      <c r="A14">
        <v>2021</v>
      </c>
      <c r="B14" s="51">
        <v>37601</v>
      </c>
      <c r="C14" s="151">
        <f t="shared" si="0"/>
        <v>9.6622725151656555E-2</v>
      </c>
    </row>
    <row r="15" spans="1:3" x14ac:dyDescent="0.25">
      <c r="A15">
        <v>2022</v>
      </c>
      <c r="B15" s="51">
        <v>40035</v>
      </c>
      <c r="C15" s="151">
        <f t="shared" si="0"/>
        <v>6.4732320948910932E-2</v>
      </c>
    </row>
    <row r="16" spans="1:3" x14ac:dyDescent="0.25">
      <c r="A16">
        <v>2023</v>
      </c>
      <c r="B16" s="51">
        <v>45302</v>
      </c>
      <c r="C16" s="151">
        <f t="shared" si="0"/>
        <v>0.13155988510053704</v>
      </c>
    </row>
    <row r="19" spans="1:3" x14ac:dyDescent="0.25">
      <c r="A19" s="150" t="s">
        <v>312</v>
      </c>
    </row>
    <row r="27" spans="1:3" x14ac:dyDescent="0.25">
      <c r="A27" s="39"/>
      <c r="B27" s="39" t="s">
        <v>314</v>
      </c>
      <c r="C27" s="152">
        <f>AVERAGE(C2:C15)</f>
        <v>6.7761589841112094E-2</v>
      </c>
    </row>
  </sheetData>
  <sortState xmlns:xlrd2="http://schemas.microsoft.com/office/spreadsheetml/2017/richdata2" ref="A2:C16">
    <sortCondition ref="A2:A16"/>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Historicals</vt:lpstr>
      <vt:lpstr>Segmental forecast</vt:lpstr>
      <vt:lpstr>Three Statements</vt:lpstr>
      <vt:lpstr>Graphs</vt:lpstr>
      <vt:lpstr>Schedules</vt:lpstr>
      <vt:lpstr>Operating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2024-01-10T19:12:15Z</dcterms:modified>
</cp:coreProperties>
</file>