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Downloads_D\"/>
    </mc:Choice>
  </mc:AlternateContent>
  <xr:revisionPtr revIDLastSave="0" documentId="13_ncr:1_{433E1DA7-F0A0-496C-B0E0-025AF1A64097}" xr6:coauthVersionLast="47" xr6:coauthVersionMax="47" xr10:uidLastSave="{00000000-0000-0000-0000-000000000000}"/>
  <bookViews>
    <workbookView xWindow="-28920" yWindow="-120" windowWidth="29040" windowHeight="15840" xr2:uid="{00000000-000D-0000-FFFF-FFFF00000000}"/>
  </bookViews>
  <sheets>
    <sheet name="Sheet2" sheetId="2" r:id="rId1"/>
    <sheet name="Three Statements" sheetId="3" r:id="rId2"/>
    <sheet name="Schedules" sheetId="4"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2" l="1"/>
  <c r="F18" i="2"/>
  <c r="G18" i="2"/>
  <c r="H18" i="2"/>
  <c r="E18" i="2"/>
  <c r="F22" i="2"/>
  <c r="G22" i="2"/>
  <c r="H22" i="2"/>
  <c r="E22" i="2"/>
  <c r="F21" i="2"/>
  <c r="G21" i="2"/>
  <c r="H21" i="2"/>
  <c r="E21" i="2"/>
  <c r="F20" i="2"/>
  <c r="G20" i="2"/>
  <c r="H20" i="2"/>
  <c r="E20" i="2"/>
  <c r="F19" i="2"/>
  <c r="G19" i="2"/>
  <c r="H19" i="2"/>
  <c r="F17" i="2"/>
  <c r="G17" i="2"/>
  <c r="H17" i="2"/>
  <c r="E17" i="2"/>
  <c r="F16" i="2"/>
  <c r="G16" i="2"/>
  <c r="H16" i="2"/>
  <c r="E16" i="2"/>
  <c r="F11" i="2"/>
  <c r="G11" i="2"/>
  <c r="H11" i="2"/>
  <c r="E11" i="2"/>
  <c r="F10" i="2"/>
  <c r="G10" i="2"/>
  <c r="H10" i="2"/>
  <c r="E10" i="2"/>
  <c r="F5" i="2"/>
  <c r="G5" i="2"/>
  <c r="H5" i="2"/>
  <c r="E5" i="2"/>
  <c r="F4" i="2"/>
  <c r="G4" i="2"/>
  <c r="H4" i="2"/>
  <c r="E4" i="2"/>
  <c r="G9" i="2"/>
  <c r="H9" i="2"/>
  <c r="F9" i="2"/>
  <c r="E9" i="2"/>
  <c r="B32" i="4"/>
  <c r="I26" i="4"/>
  <c r="H26" i="4"/>
  <c r="G26" i="4"/>
  <c r="F26" i="4"/>
  <c r="E26" i="4"/>
  <c r="D26" i="4"/>
  <c r="C26" i="4"/>
  <c r="B26" i="4"/>
  <c r="I25" i="4"/>
  <c r="H25" i="4"/>
  <c r="H20" i="4" s="1"/>
  <c r="G25" i="4"/>
  <c r="F25" i="4"/>
  <c r="E25" i="4"/>
  <c r="D25" i="4"/>
  <c r="C25" i="4"/>
  <c r="B25" i="4"/>
  <c r="F24" i="4"/>
  <c r="F22" i="4" s="1"/>
  <c r="F20" i="4" s="1"/>
  <c r="I22" i="4"/>
  <c r="I20" i="4" s="1"/>
  <c r="H22" i="4"/>
  <c r="G22" i="4"/>
  <c r="E22" i="4"/>
  <c r="D22" i="4"/>
  <c r="C22" i="4"/>
  <c r="B22" i="4"/>
  <c r="B20" i="4" s="1"/>
  <c r="G20" i="4"/>
  <c r="E20" i="4"/>
  <c r="D20" i="4"/>
  <c r="C20" i="4"/>
  <c r="M18" i="4"/>
  <c r="I18" i="4"/>
  <c r="B18" i="4"/>
  <c r="Q17" i="4"/>
  <c r="Q18" i="4" s="1"/>
  <c r="P17" i="4"/>
  <c r="P19" i="4" s="1"/>
  <c r="O17" i="4"/>
  <c r="O19" i="4" s="1"/>
  <c r="N17" i="4"/>
  <c r="N19" i="4" s="1"/>
  <c r="M17" i="4"/>
  <c r="M19" i="4" s="1"/>
  <c r="I17" i="4"/>
  <c r="H17" i="4"/>
  <c r="H18" i="4" s="1"/>
  <c r="G17" i="4"/>
  <c r="G18" i="4" s="1"/>
  <c r="F17" i="4"/>
  <c r="F18" i="4" s="1"/>
  <c r="E17" i="4"/>
  <c r="E19" i="4" s="1"/>
  <c r="D17" i="4"/>
  <c r="D19" i="4" s="1"/>
  <c r="C17" i="4"/>
  <c r="C19" i="4" s="1"/>
  <c r="B17" i="4"/>
  <c r="B19" i="4" s="1"/>
  <c r="Q13" i="4"/>
  <c r="P13" i="4"/>
  <c r="O13" i="4"/>
  <c r="N13" i="4"/>
  <c r="M13" i="4"/>
  <c r="I13" i="4"/>
  <c r="H13" i="4"/>
  <c r="G13" i="4"/>
  <c r="F13" i="4"/>
  <c r="E13" i="4"/>
  <c r="D13" i="4"/>
  <c r="C13" i="4"/>
  <c r="B13" i="4"/>
  <c r="Q12" i="4"/>
  <c r="P12" i="4"/>
  <c r="O12" i="4"/>
  <c r="N12" i="4"/>
  <c r="M12" i="4"/>
  <c r="I12" i="4"/>
  <c r="H12" i="4"/>
  <c r="G12" i="4"/>
  <c r="F12" i="4"/>
  <c r="E12" i="4"/>
  <c r="D12" i="4"/>
  <c r="C12" i="4"/>
  <c r="B12" i="4"/>
  <c r="Q11" i="4"/>
  <c r="P11" i="4"/>
  <c r="O11" i="4"/>
  <c r="N11" i="4"/>
  <c r="M11" i="4"/>
  <c r="I11" i="4"/>
  <c r="H11" i="4"/>
  <c r="G11" i="4"/>
  <c r="F11" i="4"/>
  <c r="E11" i="4"/>
  <c r="D11" i="4"/>
  <c r="C11" i="4"/>
  <c r="B11" i="4"/>
  <c r="M8" i="4"/>
  <c r="B8" i="4"/>
  <c r="N7" i="4"/>
  <c r="H7" i="4"/>
  <c r="G7" i="4"/>
  <c r="D6" i="4"/>
  <c r="M5" i="4"/>
  <c r="M9" i="4" s="1"/>
  <c r="I5" i="4"/>
  <c r="I8" i="4" s="1"/>
  <c r="B5" i="4"/>
  <c r="B9" i="4" s="1"/>
  <c r="B10" i="4" s="1"/>
  <c r="M4" i="4"/>
  <c r="C4" i="4"/>
  <c r="B4" i="4"/>
  <c r="M3" i="4"/>
  <c r="M6" i="4" s="1"/>
  <c r="I3" i="4"/>
  <c r="I4" i="4" s="1"/>
  <c r="H3" i="4"/>
  <c r="H5" i="4" s="1"/>
  <c r="G3" i="4"/>
  <c r="G5" i="4" s="1"/>
  <c r="F3" i="4"/>
  <c r="F7" i="4" s="1"/>
  <c r="E3" i="4"/>
  <c r="E7" i="4" s="1"/>
  <c r="D3" i="4"/>
  <c r="D7" i="4" s="1"/>
  <c r="C3" i="4"/>
  <c r="C6" i="4" s="1"/>
  <c r="B3" i="4"/>
  <c r="B6" i="4" s="1"/>
  <c r="C1" i="4"/>
  <c r="D1" i="4" s="1"/>
  <c r="E1" i="4" s="1"/>
  <c r="F1" i="4" s="1"/>
  <c r="G1" i="4" s="1"/>
  <c r="H1" i="4" s="1"/>
  <c r="I1" i="4" s="1"/>
  <c r="M1" i="4" s="1"/>
  <c r="N1" i="4" s="1"/>
  <c r="O1" i="4" s="1"/>
  <c r="P1" i="4" s="1"/>
  <c r="Q1" i="4" s="1"/>
  <c r="R1" i="4" s="1"/>
  <c r="S1" i="4" s="1"/>
  <c r="T1" i="4" s="1"/>
  <c r="U1" i="4" s="1"/>
  <c r="V1" i="4" s="1"/>
  <c r="B68" i="3"/>
  <c r="I66" i="3"/>
  <c r="H66" i="3"/>
  <c r="G66" i="3"/>
  <c r="F66" i="3"/>
  <c r="E66" i="3"/>
  <c r="D66" i="3"/>
  <c r="C66" i="3"/>
  <c r="B66" i="3"/>
  <c r="I65" i="3"/>
  <c r="I64" i="3"/>
  <c r="H64" i="3"/>
  <c r="G64" i="3"/>
  <c r="F64" i="3"/>
  <c r="E64" i="3"/>
  <c r="D64" i="3"/>
  <c r="C64" i="3"/>
  <c r="B64" i="3"/>
  <c r="B65" i="3" s="1"/>
  <c r="N63" i="3"/>
  <c r="M63" i="3"/>
  <c r="L63" i="3"/>
  <c r="K63" i="3"/>
  <c r="I63" i="3"/>
  <c r="H63" i="3"/>
  <c r="G63" i="3"/>
  <c r="F63" i="3"/>
  <c r="E63" i="3"/>
  <c r="D63" i="3"/>
  <c r="C63" i="3"/>
  <c r="B63" i="3"/>
  <c r="I62" i="3"/>
  <c r="H62" i="3"/>
  <c r="G62" i="3"/>
  <c r="F62" i="3"/>
  <c r="E62" i="3"/>
  <c r="D62" i="3"/>
  <c r="C62" i="3"/>
  <c r="B62" i="3"/>
  <c r="F61" i="3"/>
  <c r="D61" i="3"/>
  <c r="C61" i="3"/>
  <c r="I60" i="3"/>
  <c r="I61" i="3" s="1"/>
  <c r="H60" i="3"/>
  <c r="H61" i="3" s="1"/>
  <c r="G60" i="3"/>
  <c r="G65" i="3" s="1"/>
  <c r="F60" i="3"/>
  <c r="F65" i="3" s="1"/>
  <c r="E60" i="3"/>
  <c r="E65" i="3" s="1"/>
  <c r="D60" i="3"/>
  <c r="D65" i="3" s="1"/>
  <c r="C60" i="3"/>
  <c r="C65" i="3" s="1"/>
  <c r="B60" i="3"/>
  <c r="B61" i="3" s="1"/>
  <c r="N59" i="3"/>
  <c r="M59" i="3"/>
  <c r="I58" i="3"/>
  <c r="H58" i="3"/>
  <c r="G58" i="3"/>
  <c r="F58" i="3"/>
  <c r="F59" i="3" s="1"/>
  <c r="E58" i="3"/>
  <c r="E59" i="3" s="1"/>
  <c r="D58" i="3"/>
  <c r="C58" i="3"/>
  <c r="B58" i="3"/>
  <c r="N53" i="3"/>
  <c r="M53" i="3"/>
  <c r="L53" i="3"/>
  <c r="L59" i="3" s="1"/>
  <c r="K53" i="3"/>
  <c r="K59" i="3" s="1"/>
  <c r="J53" i="3"/>
  <c r="J59" i="3" s="1"/>
  <c r="I53" i="3"/>
  <c r="I59" i="3" s="1"/>
  <c r="H53" i="3"/>
  <c r="H59" i="3" s="1"/>
  <c r="G53" i="3"/>
  <c r="G59" i="3" s="1"/>
  <c r="F53" i="3"/>
  <c r="E53" i="3"/>
  <c r="D53" i="3"/>
  <c r="D59" i="3" s="1"/>
  <c r="C53" i="3"/>
  <c r="C59" i="3" s="1"/>
  <c r="B53" i="3"/>
  <c r="B59" i="3" s="1"/>
  <c r="I52" i="3"/>
  <c r="I50" i="3"/>
  <c r="H50" i="3"/>
  <c r="G50" i="3"/>
  <c r="F50" i="3"/>
  <c r="E50" i="3"/>
  <c r="D50" i="3"/>
  <c r="C50" i="3"/>
  <c r="B50" i="3"/>
  <c r="B51" i="3" s="1"/>
  <c r="K49" i="3"/>
  <c r="J49" i="3"/>
  <c r="C49" i="3"/>
  <c r="I48" i="3"/>
  <c r="H48" i="3"/>
  <c r="G48" i="3"/>
  <c r="F48" i="3"/>
  <c r="E48" i="3"/>
  <c r="D48" i="3"/>
  <c r="C48" i="3"/>
  <c r="B48" i="3"/>
  <c r="B49" i="3" s="1"/>
  <c r="N47" i="3"/>
  <c r="M47" i="3"/>
  <c r="L47" i="3"/>
  <c r="K47" i="3"/>
  <c r="J47" i="3"/>
  <c r="I47" i="3"/>
  <c r="H47" i="3"/>
  <c r="G47" i="3"/>
  <c r="F47" i="3"/>
  <c r="E47" i="3"/>
  <c r="D47" i="3"/>
  <c r="D55" i="3" s="1"/>
  <c r="C47" i="3"/>
  <c r="B47" i="3"/>
  <c r="N46" i="3"/>
  <c r="N49" i="3" s="1"/>
  <c r="M46" i="3"/>
  <c r="M49" i="3" s="1"/>
  <c r="L46" i="3"/>
  <c r="L49" i="3" s="1"/>
  <c r="K46" i="3"/>
  <c r="J46" i="3"/>
  <c r="I46" i="3"/>
  <c r="I49" i="3" s="1"/>
  <c r="H46" i="3"/>
  <c r="H49" i="3" s="1"/>
  <c r="G46" i="3"/>
  <c r="G49" i="3" s="1"/>
  <c r="F46" i="3"/>
  <c r="F49" i="3" s="1"/>
  <c r="E46" i="3"/>
  <c r="E49" i="3" s="1"/>
  <c r="D46" i="3"/>
  <c r="D49" i="3" s="1"/>
  <c r="C46" i="3"/>
  <c r="B46" i="3"/>
  <c r="I42" i="3"/>
  <c r="H42" i="3"/>
  <c r="G42" i="3"/>
  <c r="G39" i="3" s="1"/>
  <c r="G43" i="3" s="1"/>
  <c r="G44" i="3" s="1"/>
  <c r="F42" i="3"/>
  <c r="F39" i="3" s="1"/>
  <c r="F43" i="3" s="1"/>
  <c r="E42" i="3"/>
  <c r="D42" i="3"/>
  <c r="C42" i="3"/>
  <c r="B42" i="3"/>
  <c r="I41" i="3"/>
  <c r="H41" i="3"/>
  <c r="G41" i="3"/>
  <c r="F41" i="3"/>
  <c r="E41" i="3"/>
  <c r="D41" i="3"/>
  <c r="C41" i="3"/>
  <c r="B41" i="3"/>
  <c r="I40" i="3"/>
  <c r="H40" i="3"/>
  <c r="G40" i="3"/>
  <c r="F40" i="3"/>
  <c r="E40" i="3"/>
  <c r="D40" i="3"/>
  <c r="D39" i="3" s="1"/>
  <c r="C40" i="3"/>
  <c r="C39" i="3" s="1"/>
  <c r="B40" i="3"/>
  <c r="I39" i="3"/>
  <c r="H39" i="3"/>
  <c r="E39" i="3"/>
  <c r="B39" i="3"/>
  <c r="I38" i="3"/>
  <c r="H38" i="3"/>
  <c r="G38" i="3"/>
  <c r="F38" i="3"/>
  <c r="E38" i="3"/>
  <c r="D38" i="3"/>
  <c r="C38" i="3"/>
  <c r="B38" i="3"/>
  <c r="I37" i="3"/>
  <c r="H37" i="3"/>
  <c r="G37" i="3"/>
  <c r="F37" i="3"/>
  <c r="E37" i="3"/>
  <c r="D37" i="3"/>
  <c r="C37" i="3"/>
  <c r="B37" i="3"/>
  <c r="I36" i="3"/>
  <c r="H36" i="3"/>
  <c r="G36" i="3"/>
  <c r="F36" i="3"/>
  <c r="E36" i="3"/>
  <c r="D36" i="3"/>
  <c r="C36" i="3"/>
  <c r="B36" i="3"/>
  <c r="I35" i="3"/>
  <c r="H35" i="3"/>
  <c r="G35" i="3"/>
  <c r="F35" i="3"/>
  <c r="E35" i="3"/>
  <c r="D35" i="3"/>
  <c r="C35" i="3"/>
  <c r="B35" i="3"/>
  <c r="I34" i="3"/>
  <c r="I32" i="3" s="1"/>
  <c r="I43" i="3" s="1"/>
  <c r="H34" i="3"/>
  <c r="H32" i="3" s="1"/>
  <c r="H43" i="3" s="1"/>
  <c r="G34" i="3"/>
  <c r="F34" i="3"/>
  <c r="E34" i="3"/>
  <c r="D34" i="3"/>
  <c r="C34" i="3"/>
  <c r="B34" i="3"/>
  <c r="I33" i="3"/>
  <c r="J63" i="3" s="1"/>
  <c r="H33" i="3"/>
  <c r="G33" i="3"/>
  <c r="F33" i="3"/>
  <c r="E33" i="3"/>
  <c r="D33" i="3"/>
  <c r="C33" i="3"/>
  <c r="B33" i="3"/>
  <c r="N32" i="3"/>
  <c r="M32" i="3"/>
  <c r="L32" i="3"/>
  <c r="K32" i="3"/>
  <c r="J32" i="3"/>
  <c r="G32" i="3"/>
  <c r="F32" i="3"/>
  <c r="E32" i="3"/>
  <c r="E43" i="3" s="1"/>
  <c r="D32" i="3"/>
  <c r="D43" i="3" s="1"/>
  <c r="C32" i="3"/>
  <c r="C43" i="3" s="1"/>
  <c r="B32" i="3"/>
  <c r="B43" i="3" s="1"/>
  <c r="I30" i="3"/>
  <c r="H30" i="3"/>
  <c r="G30" i="3"/>
  <c r="F30" i="3"/>
  <c r="E30" i="3"/>
  <c r="D30" i="3"/>
  <c r="C30" i="3"/>
  <c r="B30" i="3"/>
  <c r="I29" i="3"/>
  <c r="H29" i="3"/>
  <c r="G29" i="3"/>
  <c r="F29" i="3"/>
  <c r="E29" i="3"/>
  <c r="D29" i="3"/>
  <c r="C29" i="3"/>
  <c r="B29" i="3"/>
  <c r="I28" i="3"/>
  <c r="H28" i="3"/>
  <c r="G28" i="3"/>
  <c r="F28" i="3"/>
  <c r="E28" i="3"/>
  <c r="D28" i="3"/>
  <c r="C28" i="3"/>
  <c r="B28" i="3"/>
  <c r="I27" i="3"/>
  <c r="H27" i="3"/>
  <c r="G27" i="3"/>
  <c r="F27" i="3"/>
  <c r="E27" i="3"/>
  <c r="D27" i="3"/>
  <c r="C27" i="3"/>
  <c r="B27" i="3"/>
  <c r="I26" i="3"/>
  <c r="H26" i="3"/>
  <c r="G26" i="3"/>
  <c r="F26" i="3"/>
  <c r="E26" i="3"/>
  <c r="D26" i="3"/>
  <c r="C26" i="3"/>
  <c r="B26" i="3"/>
  <c r="I25" i="3"/>
  <c r="H25" i="3"/>
  <c r="G25" i="3"/>
  <c r="F25" i="3"/>
  <c r="E25" i="3"/>
  <c r="D25" i="3"/>
  <c r="C25" i="3"/>
  <c r="C31" i="3" s="1"/>
  <c r="B25" i="3"/>
  <c r="B31" i="3" s="1"/>
  <c r="C24" i="3"/>
  <c r="B24" i="3"/>
  <c r="I23" i="3"/>
  <c r="I24" i="3" s="1"/>
  <c r="H23" i="3"/>
  <c r="H24" i="3" s="1"/>
  <c r="G23" i="3"/>
  <c r="G24" i="3" s="1"/>
  <c r="F23" i="3"/>
  <c r="G52" i="3" s="1"/>
  <c r="E23" i="3"/>
  <c r="F52" i="3" s="1"/>
  <c r="D23" i="3"/>
  <c r="E52" i="3" s="1"/>
  <c r="C23" i="3"/>
  <c r="D52" i="3" s="1"/>
  <c r="B23" i="3"/>
  <c r="C52" i="3" s="1"/>
  <c r="C55" i="3" s="1"/>
  <c r="I22" i="3"/>
  <c r="H22" i="3"/>
  <c r="G22" i="3"/>
  <c r="F22" i="3"/>
  <c r="E22" i="3"/>
  <c r="D22" i="3"/>
  <c r="C22" i="3"/>
  <c r="B22" i="3"/>
  <c r="I21" i="3"/>
  <c r="I31" i="3" s="1"/>
  <c r="J31" i="3" s="1"/>
  <c r="K31" i="3" s="1"/>
  <c r="L31" i="3" s="1"/>
  <c r="M31" i="3" s="1"/>
  <c r="N31" i="3" s="1"/>
  <c r="H21" i="3"/>
  <c r="H31" i="3" s="1"/>
  <c r="G21" i="3"/>
  <c r="G31" i="3" s="1"/>
  <c r="F21" i="3"/>
  <c r="F31" i="3" s="1"/>
  <c r="E21" i="3"/>
  <c r="E31" i="3" s="1"/>
  <c r="D21" i="3"/>
  <c r="D31" i="3" s="1"/>
  <c r="C21" i="3"/>
  <c r="B21" i="3"/>
  <c r="N17" i="3"/>
  <c r="N18" i="3" s="1"/>
  <c r="M17" i="3"/>
  <c r="M18" i="3" s="1"/>
  <c r="L17" i="3"/>
  <c r="L18" i="3" s="1"/>
  <c r="K17" i="3"/>
  <c r="K18" i="3" s="1"/>
  <c r="J17" i="3"/>
  <c r="I15" i="3"/>
  <c r="H15" i="3"/>
  <c r="G15" i="3"/>
  <c r="F15" i="3"/>
  <c r="E15" i="3"/>
  <c r="D15" i="3"/>
  <c r="C15" i="3"/>
  <c r="B15" i="3"/>
  <c r="I12" i="3"/>
  <c r="H12" i="3"/>
  <c r="H13" i="3" s="1"/>
  <c r="G12" i="3"/>
  <c r="G13" i="3" s="1"/>
  <c r="F12" i="3"/>
  <c r="E12" i="3"/>
  <c r="D12" i="3"/>
  <c r="C12" i="3"/>
  <c r="B12" i="3"/>
  <c r="H11" i="3"/>
  <c r="H14" i="3" s="1"/>
  <c r="G11" i="3"/>
  <c r="G14" i="3" s="1"/>
  <c r="I10" i="3"/>
  <c r="H10" i="3"/>
  <c r="G10" i="3"/>
  <c r="F10" i="3"/>
  <c r="E10" i="3"/>
  <c r="D10" i="3"/>
  <c r="C10" i="3"/>
  <c r="B10" i="3"/>
  <c r="N9" i="3"/>
  <c r="M9" i="3"/>
  <c r="L9" i="3"/>
  <c r="K9" i="3"/>
  <c r="J9" i="3"/>
  <c r="I9" i="3"/>
  <c r="H9" i="3"/>
  <c r="G9" i="3"/>
  <c r="F9" i="3"/>
  <c r="E9" i="3"/>
  <c r="D9" i="3"/>
  <c r="C9" i="3"/>
  <c r="B9" i="3"/>
  <c r="N8" i="3"/>
  <c r="I8" i="3"/>
  <c r="H8" i="3"/>
  <c r="G8" i="3"/>
  <c r="F8" i="3"/>
  <c r="E8" i="3"/>
  <c r="D8" i="3"/>
  <c r="C8" i="3"/>
  <c r="B8" i="3"/>
  <c r="N7" i="3"/>
  <c r="M7" i="3"/>
  <c r="L7" i="3"/>
  <c r="L8" i="3" s="1"/>
  <c r="K7" i="3"/>
  <c r="K8" i="3" s="1"/>
  <c r="J7" i="3"/>
  <c r="I7" i="3"/>
  <c r="J8" i="3" s="1"/>
  <c r="H7" i="3"/>
  <c r="G7" i="3"/>
  <c r="F7" i="3"/>
  <c r="F11" i="3" s="1"/>
  <c r="E7" i="3"/>
  <c r="E11" i="3" s="1"/>
  <c r="D7" i="3"/>
  <c r="D11" i="3" s="1"/>
  <c r="D14" i="3" s="1"/>
  <c r="C7" i="3"/>
  <c r="C11" i="3" s="1"/>
  <c r="C14" i="3" s="1"/>
  <c r="C16" i="3" s="1"/>
  <c r="B7" i="3"/>
  <c r="B11" i="3" s="1"/>
  <c r="B14" i="3" s="1"/>
  <c r="N6" i="3"/>
  <c r="M6" i="3"/>
  <c r="L6" i="3"/>
  <c r="K6" i="3"/>
  <c r="J6" i="3"/>
  <c r="I6" i="3"/>
  <c r="H6" i="3"/>
  <c r="G6" i="3"/>
  <c r="F6" i="3"/>
  <c r="E6" i="3"/>
  <c r="D6" i="3"/>
  <c r="C6" i="3"/>
  <c r="B6" i="3"/>
  <c r="N5" i="3"/>
  <c r="M5" i="3"/>
  <c r="L5" i="3"/>
  <c r="K5" i="3"/>
  <c r="J5" i="3"/>
  <c r="I5" i="3"/>
  <c r="H5" i="3"/>
  <c r="G5" i="3"/>
  <c r="F5" i="3"/>
  <c r="E5" i="3"/>
  <c r="D5" i="3"/>
  <c r="C5" i="3"/>
  <c r="B5" i="3"/>
  <c r="N4" i="3"/>
  <c r="K4" i="3"/>
  <c r="J4" i="3"/>
  <c r="I4" i="3"/>
  <c r="H4" i="3"/>
  <c r="G4" i="3"/>
  <c r="F4" i="3"/>
  <c r="E4" i="3"/>
  <c r="D4" i="3"/>
  <c r="C4" i="3"/>
  <c r="B4" i="3"/>
  <c r="N3" i="3"/>
  <c r="N23" i="3" s="1"/>
  <c r="M3" i="3"/>
  <c r="M23" i="3" s="1"/>
  <c r="N52" i="3" s="1"/>
  <c r="L3" i="3"/>
  <c r="L23" i="3" s="1"/>
  <c r="M52" i="3" s="1"/>
  <c r="K3" i="3"/>
  <c r="K23" i="3" s="1"/>
  <c r="J3" i="3"/>
  <c r="J23" i="3" s="1"/>
  <c r="I3" i="3"/>
  <c r="H3" i="3"/>
  <c r="G3" i="3"/>
  <c r="F3" i="3"/>
  <c r="E3" i="3"/>
  <c r="D3" i="3"/>
  <c r="C3" i="3"/>
  <c r="B3" i="3"/>
  <c r="J1" i="3"/>
  <c r="K1" i="3" s="1"/>
  <c r="L1" i="3" s="1"/>
  <c r="M1" i="3" s="1"/>
  <c r="N1" i="3" s="1"/>
  <c r="H1" i="3"/>
  <c r="G1" i="3"/>
  <c r="F1" i="3" s="1"/>
  <c r="E1" i="3" s="1"/>
  <c r="D1" i="3" s="1"/>
  <c r="C1" i="3" s="1"/>
  <c r="B1" i="3" s="1"/>
  <c r="I19" i="4" l="1"/>
  <c r="G8" i="4"/>
  <c r="G9" i="4"/>
  <c r="H8" i="4"/>
  <c r="H9" i="4"/>
  <c r="H10" i="4" s="1"/>
  <c r="M10" i="4"/>
  <c r="D4" i="4"/>
  <c r="C5" i="4"/>
  <c r="F6" i="4"/>
  <c r="I7" i="4"/>
  <c r="C18" i="4"/>
  <c r="N18" i="4"/>
  <c r="F19" i="4"/>
  <c r="Q19" i="4"/>
  <c r="E4" i="4"/>
  <c r="D5" i="4"/>
  <c r="G6" i="4"/>
  <c r="B7" i="4"/>
  <c r="M7" i="4"/>
  <c r="R17" i="4"/>
  <c r="D18" i="4"/>
  <c r="O18" i="4"/>
  <c r="G19" i="4"/>
  <c r="F4" i="4"/>
  <c r="E5" i="4"/>
  <c r="H6" i="4"/>
  <c r="C7" i="4"/>
  <c r="I9" i="4"/>
  <c r="E18" i="4"/>
  <c r="P18" i="4"/>
  <c r="H19" i="4"/>
  <c r="G4" i="4"/>
  <c r="F5" i="4"/>
  <c r="I6" i="4"/>
  <c r="O7" i="4"/>
  <c r="E6" i="4"/>
  <c r="N3" i="4"/>
  <c r="H4" i="4"/>
  <c r="E13" i="3"/>
  <c r="E14" i="3"/>
  <c r="G16" i="3"/>
  <c r="G19" i="3"/>
  <c r="G17" i="3" s="1"/>
  <c r="E55" i="3"/>
  <c r="E56" i="3" s="1"/>
  <c r="E67" i="3" s="1"/>
  <c r="G54" i="3"/>
  <c r="F14" i="3"/>
  <c r="F13" i="3"/>
  <c r="H16" i="3"/>
  <c r="H19" i="3"/>
  <c r="H17" i="3" s="1"/>
  <c r="H18" i="3" s="1"/>
  <c r="B44" i="3"/>
  <c r="F55" i="3"/>
  <c r="C19" i="3"/>
  <c r="C17" i="3" s="1"/>
  <c r="C18" i="3" s="1"/>
  <c r="B19" i="3"/>
  <c r="B17" i="3" s="1"/>
  <c r="B18" i="3" s="1"/>
  <c r="B16" i="3"/>
  <c r="B13" i="3"/>
  <c r="C44" i="3"/>
  <c r="H44" i="3"/>
  <c r="D54" i="3"/>
  <c r="D56" i="3"/>
  <c r="D67" i="3" s="1"/>
  <c r="L54" i="3"/>
  <c r="G55" i="3"/>
  <c r="G56" i="3" s="1"/>
  <c r="G67" i="3" s="1"/>
  <c r="B54" i="3"/>
  <c r="B55" i="3"/>
  <c r="B56" i="3" s="1"/>
  <c r="B67" i="3" s="1"/>
  <c r="B69" i="3" s="1"/>
  <c r="C54" i="3"/>
  <c r="I54" i="3"/>
  <c r="J52" i="3"/>
  <c r="K52" i="3"/>
  <c r="C13" i="3"/>
  <c r="D44" i="3"/>
  <c r="I44" i="3"/>
  <c r="E54" i="3"/>
  <c r="M54" i="3"/>
  <c r="M56" i="3"/>
  <c r="H55" i="3"/>
  <c r="J56" i="3"/>
  <c r="H56" i="3"/>
  <c r="H67" i="3" s="1"/>
  <c r="D16" i="3"/>
  <c r="D19" i="3"/>
  <c r="D17" i="3" s="1"/>
  <c r="L52" i="3"/>
  <c r="L56" i="3" s="1"/>
  <c r="D13" i="3"/>
  <c r="E44" i="3"/>
  <c r="F44" i="3"/>
  <c r="F56" i="3"/>
  <c r="F67" i="3" s="1"/>
  <c r="F54" i="3"/>
  <c r="N56" i="3"/>
  <c r="N54" i="3"/>
  <c r="I55" i="3"/>
  <c r="I56" i="3" s="1"/>
  <c r="I67" i="3" s="1"/>
  <c r="K54" i="3"/>
  <c r="M8" i="3"/>
  <c r="H52" i="3"/>
  <c r="H54" i="3" s="1"/>
  <c r="H65" i="3"/>
  <c r="C56" i="3"/>
  <c r="C67" i="3" s="1"/>
  <c r="K56" i="3"/>
  <c r="L4" i="3"/>
  <c r="I11" i="3"/>
  <c r="I14" i="3" s="1"/>
  <c r="D24" i="3"/>
  <c r="J60" i="3"/>
  <c r="J15" i="3" s="1"/>
  <c r="E61" i="3"/>
  <c r="M4" i="3"/>
  <c r="E24" i="3"/>
  <c r="J54" i="3"/>
  <c r="F24" i="3"/>
  <c r="G61" i="3"/>
  <c r="N6" i="4" l="1"/>
  <c r="O3" i="4"/>
  <c r="P7" i="4"/>
  <c r="N5" i="4"/>
  <c r="I10" i="4"/>
  <c r="S17" i="4"/>
  <c r="R19" i="4"/>
  <c r="G10" i="4"/>
  <c r="F8" i="4"/>
  <c r="F9" i="4"/>
  <c r="E9" i="4"/>
  <c r="E8" i="4"/>
  <c r="D9" i="4"/>
  <c r="D8" i="4"/>
  <c r="C9" i="4"/>
  <c r="C10" i="4" s="1"/>
  <c r="C8" i="4"/>
  <c r="B70" i="3"/>
  <c r="C68" i="3"/>
  <c r="B71" i="3"/>
  <c r="C51" i="3" s="1"/>
  <c r="J62" i="3"/>
  <c r="J65" i="3" s="1"/>
  <c r="I16" i="3"/>
  <c r="I19" i="3"/>
  <c r="I17" i="3" s="1"/>
  <c r="C69" i="3"/>
  <c r="D18" i="3"/>
  <c r="F16" i="3"/>
  <c r="F19" i="3"/>
  <c r="F17" i="3" s="1"/>
  <c r="F18" i="3" s="1"/>
  <c r="K60" i="3"/>
  <c r="I13" i="3"/>
  <c r="E19" i="3"/>
  <c r="E17" i="3" s="1"/>
  <c r="E18" i="3" s="1"/>
  <c r="E16" i="3"/>
  <c r="N9" i="4" l="1"/>
  <c r="N10" i="4" s="1"/>
  <c r="N8" i="4"/>
  <c r="T17" i="4"/>
  <c r="S19" i="4"/>
  <c r="E10" i="4"/>
  <c r="F10" i="4"/>
  <c r="Q7" i="4"/>
  <c r="O6" i="4"/>
  <c r="P3" i="4"/>
  <c r="O5" i="4"/>
  <c r="D10" i="4"/>
  <c r="J67" i="3"/>
  <c r="C70" i="3"/>
  <c r="D68" i="3"/>
  <c r="D69" i="3" s="1"/>
  <c r="C71" i="3"/>
  <c r="D51" i="3" s="1"/>
  <c r="I18" i="3"/>
  <c r="J18" i="3"/>
  <c r="L60" i="3"/>
  <c r="K15" i="3"/>
  <c r="G18" i="3"/>
  <c r="U17" i="4" l="1"/>
  <c r="T19" i="4"/>
  <c r="O9" i="4"/>
  <c r="O10" i="4" s="1"/>
  <c r="O8" i="4"/>
  <c r="P6" i="4"/>
  <c r="Q3" i="4"/>
  <c r="P5" i="4"/>
  <c r="E68" i="3"/>
  <c r="E69" i="3" s="1"/>
  <c r="D70" i="3"/>
  <c r="D71" i="3"/>
  <c r="E51" i="3" s="1"/>
  <c r="K62" i="3"/>
  <c r="K65" i="3" s="1"/>
  <c r="K67" i="3" s="1"/>
  <c r="L15" i="3"/>
  <c r="M60" i="3"/>
  <c r="Q5" i="4" l="1"/>
  <c r="Q6" i="4"/>
  <c r="R3" i="4"/>
  <c r="S3" i="4" s="1"/>
  <c r="T3" i="4" s="1"/>
  <c r="U3" i="4" s="1"/>
  <c r="V3" i="4" s="1"/>
  <c r="W3" i="4" s="1"/>
  <c r="P8" i="4"/>
  <c r="P9" i="4"/>
  <c r="P10" i="4" s="1"/>
  <c r="V17" i="4"/>
  <c r="U19" i="4"/>
  <c r="N60" i="3"/>
  <c r="L62" i="3"/>
  <c r="L65" i="3" s="1"/>
  <c r="L67" i="3" s="1"/>
  <c r="M15" i="3"/>
  <c r="E70" i="3"/>
  <c r="F68" i="3"/>
  <c r="F69" i="3" s="1"/>
  <c r="E71" i="3"/>
  <c r="F51" i="3" s="1"/>
  <c r="V19" i="4" l="1"/>
  <c r="B29" i="4" s="1"/>
  <c r="W17" i="4"/>
  <c r="W19" i="4" s="1"/>
  <c r="B30" i="4" s="1"/>
  <c r="Q8" i="4"/>
  <c r="Q9" i="4"/>
  <c r="Q10" i="4" s="1"/>
  <c r="F70" i="3"/>
  <c r="G68" i="3"/>
  <c r="G69" i="3" s="1"/>
  <c r="F71" i="3"/>
  <c r="G51" i="3" s="1"/>
  <c r="N15" i="3"/>
  <c r="N62" i="3" s="1"/>
  <c r="N65" i="3" s="1"/>
  <c r="N67" i="3" s="1"/>
  <c r="M62" i="3"/>
  <c r="M65" i="3" s="1"/>
  <c r="M67" i="3" s="1"/>
  <c r="B31" i="4" l="1"/>
  <c r="B33" i="4" s="1"/>
  <c r="B34" i="4" s="1"/>
  <c r="G70" i="3"/>
  <c r="H68" i="3"/>
  <c r="H69" i="3" s="1"/>
  <c r="G71" i="3"/>
  <c r="H51" i="3" s="1"/>
  <c r="H70" i="3" l="1"/>
  <c r="I68" i="3"/>
  <c r="I69" i="3" s="1"/>
  <c r="H71" i="3"/>
  <c r="I51" i="3" s="1"/>
  <c r="I70" i="3" l="1"/>
  <c r="J68" i="3"/>
  <c r="J69" i="3" s="1"/>
  <c r="I71" i="3"/>
  <c r="J50" i="3" s="1"/>
  <c r="J10" i="3" s="1"/>
  <c r="J11" i="3" s="1"/>
  <c r="J12" i="3" l="1"/>
  <c r="J14" i="3"/>
  <c r="J21" i="3"/>
  <c r="J70" i="3"/>
  <c r="K68" i="3"/>
  <c r="K69" i="3" s="1"/>
  <c r="J71" i="3"/>
  <c r="K50" i="3" s="1"/>
  <c r="K10" i="3" s="1"/>
  <c r="K11" i="3" s="1"/>
  <c r="K12" i="3" l="1"/>
  <c r="K14" i="3" s="1"/>
  <c r="J41" i="3"/>
  <c r="J39" i="3" s="1"/>
  <c r="J43" i="3" s="1"/>
  <c r="J44" i="3" s="1"/>
  <c r="J16" i="3"/>
  <c r="L68" i="3"/>
  <c r="L69" i="3" s="1"/>
  <c r="K21" i="3"/>
  <c r="K70" i="3" s="1"/>
  <c r="K71" i="3"/>
  <c r="L50" i="3" s="1"/>
  <c r="L10" i="3" s="1"/>
  <c r="L11" i="3" s="1"/>
  <c r="K41" i="3" l="1"/>
  <c r="K39" i="3" s="1"/>
  <c r="K43" i="3" s="1"/>
  <c r="K44" i="3" s="1"/>
  <c r="K16" i="3"/>
  <c r="L12" i="3"/>
  <c r="L14" i="3" s="1"/>
  <c r="M68" i="3"/>
  <c r="M69" i="3" s="1"/>
  <c r="L21" i="3"/>
  <c r="L70" i="3"/>
  <c r="L71" i="3"/>
  <c r="M50" i="3" s="1"/>
  <c r="M10" i="3" s="1"/>
  <c r="M11" i="3" s="1"/>
  <c r="L16" i="3" l="1"/>
  <c r="L41" i="3"/>
  <c r="L39" i="3" s="1"/>
  <c r="L43" i="3" s="1"/>
  <c r="L44" i="3" s="1"/>
  <c r="M12" i="3"/>
  <c r="M14" i="3" s="1"/>
  <c r="M21" i="3"/>
  <c r="M70" i="3"/>
  <c r="N68" i="3"/>
  <c r="N69" i="3" s="1"/>
  <c r="M71" i="3"/>
  <c r="N50" i="3" s="1"/>
  <c r="N10" i="3" s="1"/>
  <c r="N11" i="3" s="1"/>
  <c r="M41" i="3" l="1"/>
  <c r="M39" i="3" s="1"/>
  <c r="M43" i="3" s="1"/>
  <c r="M44" i="3" s="1"/>
  <c r="M16" i="3"/>
  <c r="N12" i="3"/>
  <c r="N14" i="3"/>
  <c r="N21" i="3"/>
  <c r="N70" i="3"/>
  <c r="N71" i="3"/>
  <c r="N41" i="3" l="1"/>
  <c r="N39" i="3" s="1"/>
  <c r="N43" i="3" s="1"/>
  <c r="N44" i="3" s="1"/>
  <c r="N16" i="3"/>
</calcChain>
</file>

<file path=xl/sharedStrings.xml><?xml version="1.0" encoding="utf-8"?>
<sst xmlns="http://schemas.openxmlformats.org/spreadsheetml/2006/main" count="164" uniqueCount="141">
  <si>
    <t>EPS</t>
  </si>
  <si>
    <t>Revenue</t>
  </si>
  <si>
    <t>P/E</t>
  </si>
  <si>
    <t>EV/EBITDA</t>
  </si>
  <si>
    <t>ROE</t>
  </si>
  <si>
    <t>EBITDA</t>
  </si>
  <si>
    <t>Net debt</t>
  </si>
  <si>
    <t>FCFF</t>
  </si>
  <si>
    <t>Sales growth (%)</t>
  </si>
  <si>
    <t>EBIT growth (%)</t>
  </si>
  <si>
    <t>Net profit growth (%)</t>
  </si>
  <si>
    <t>EPS growth (%)</t>
  </si>
  <si>
    <t>EBITDA margin (%)</t>
  </si>
  <si>
    <t>EBIT margin (%)</t>
  </si>
  <si>
    <t>Net margin (%)</t>
  </si>
  <si>
    <t>Instructions</t>
  </si>
  <si>
    <t>Fill in the following tables using the numbers from the model</t>
  </si>
  <si>
    <t>Forward P/E is calculated using 2019 Share price and the corresponding period's EPS</t>
  </si>
  <si>
    <t>Same applies for EV/EBITDA calculations</t>
  </si>
  <si>
    <t>You can use Bloomberg, yahoo finance or Reuters for this</t>
  </si>
  <si>
    <t>Insert the price chart in the box left blank in your investment note followed by the tables one below the other</t>
  </si>
  <si>
    <t>Take a screenshot of Company's  one year share price performance chart along with S&amp;P 500 performance</t>
  </si>
  <si>
    <t>2023E</t>
  </si>
  <si>
    <t>2024E</t>
  </si>
  <si>
    <t>2025E</t>
  </si>
  <si>
    <r>
      <t xml:space="preserve">Nike, INC. </t>
    </r>
    <r>
      <rPr>
        <sz val="12"/>
        <color theme="0"/>
        <rFont val="Calibri"/>
        <family val="2"/>
        <scheme val="minor"/>
      </rPr>
      <t>(Dollars and Shares in Millions Except Per Share Amounts)</t>
    </r>
  </si>
  <si>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</si>
  <si>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Comments</t>
  </si>
  <si>
    <t>Income Statement</t>
  </si>
  <si>
    <t>Growth %</t>
  </si>
  <si>
    <t>EBTDA</t>
  </si>
  <si>
    <t>D&amp;A</t>
  </si>
  <si>
    <t>EBIT</t>
  </si>
  <si>
    <t>Margin %</t>
  </si>
  <si>
    <t>Interest expense (income), net</t>
  </si>
  <si>
    <t>PBT</t>
  </si>
  <si>
    <t>Income tax expense</t>
  </si>
  <si>
    <t>Tax rate %</t>
  </si>
  <si>
    <t>For 2023, it is reported in the annual report that the effective  tax rate was 18.2%, due to decreased benefits from stock-based compensation and a one time, non cash benefit in the prior year related to onshoring of Non-US intangible property. In other words, this was a rare event, and thus the historical downward trend should be expected for the following years (see graphs tab)</t>
  </si>
  <si>
    <t>Net Income</t>
  </si>
  <si>
    <t>Diluted number of shares</t>
  </si>
  <si>
    <t xml:space="preserve">Share count in 2022 + Shares bought back = 2023 share count.  Shares bought back = Share buy back value in cash flow/Closing share price. </t>
  </si>
  <si>
    <t>DPS</t>
  </si>
  <si>
    <t xml:space="preserve"> Dividend forecasts should be based on pay out ratio forecast %</t>
  </si>
  <si>
    <t>See graphs for forecast, DPS has consistently trended upwards</t>
  </si>
  <si>
    <t>Payout ratio%</t>
  </si>
  <si>
    <t>Forecast payout ratio based on historical trend</t>
  </si>
  <si>
    <t>Balance Sheet</t>
  </si>
  <si>
    <t>Cash and Cash Equivalents</t>
  </si>
  <si>
    <t>Other Items Included in Net Debt</t>
  </si>
  <si>
    <t>Net Working Capital</t>
  </si>
  <si>
    <t>As a % of revenue</t>
  </si>
  <si>
    <t>Overall trend (see graphs sheet) has been upwards, albeit with ocassional dips, which are followed by quick recoveries</t>
  </si>
  <si>
    <t>Other Current Assets</t>
  </si>
  <si>
    <t>Property Plant and Equipment</t>
  </si>
  <si>
    <t>Intangible Assets</t>
  </si>
  <si>
    <t>Goodwill</t>
  </si>
  <si>
    <t>Operating lease right-of-use assets, net</t>
  </si>
  <si>
    <t>Other Assets</t>
  </si>
  <si>
    <t>Total Assets</t>
  </si>
  <si>
    <t>Current Borrowings</t>
  </si>
  <si>
    <t>Current portion of long-term debt</t>
  </si>
  <si>
    <t>Notes payable</t>
  </si>
  <si>
    <t>Other Current Liabilities</t>
  </si>
  <si>
    <t>Long-term debt</t>
  </si>
  <si>
    <t>Operating lease liabilities</t>
  </si>
  <si>
    <t>Other non-current Liabilities</t>
  </si>
  <si>
    <t>Equity</t>
  </si>
  <si>
    <t>Common stock</t>
  </si>
  <si>
    <t>Retained Earnings</t>
  </si>
  <si>
    <t>Other Components of Equity</t>
  </si>
  <si>
    <t>Total Liabilities and Equity</t>
  </si>
  <si>
    <t>Check</t>
  </si>
  <si>
    <t>Cash flow</t>
  </si>
  <si>
    <t>Cash Tax</t>
  </si>
  <si>
    <t>NOPAT</t>
  </si>
  <si>
    <t>Cash Interest</t>
  </si>
  <si>
    <t>Forecast interest from  prior year's net debt * interest rate</t>
  </si>
  <si>
    <t xml:space="preserve">  As a % of Opening Net Debt</t>
  </si>
  <si>
    <t>Has generally hovered around the -1.6% mark, see graph</t>
  </si>
  <si>
    <t>(Increase)/Decrease in Working Capital</t>
  </si>
  <si>
    <t>Capex</t>
  </si>
  <si>
    <t>Other Operating Activities</t>
  </si>
  <si>
    <t>Keep this blank for forecasting period</t>
  </si>
  <si>
    <t>CFO</t>
  </si>
  <si>
    <t xml:space="preserve">Acquisitions </t>
  </si>
  <si>
    <t>Other Investing Activities</t>
  </si>
  <si>
    <t>CFI</t>
  </si>
  <si>
    <t>Share Issuance/Buybacks</t>
  </si>
  <si>
    <t>Should be cash out flows, so negative figures. Keep the buy back at less than 5% growth, nothing more than that.</t>
  </si>
  <si>
    <t>Forecast this based on historical growth, share buy back should be liked to number of shares in income statement, look for the comment near share count row in income statement</t>
  </si>
  <si>
    <t>in 2022, Nike announced a new $18 billion 4-year share buyback scheme starting in 2023, thus the sum of the share buybacks from 2023-2027 should total close to $18 billion. Looking at the historical trend in share buyback, the majority of the buyback was performed towards the later years of the original scheme, thus the same will be followed for the new scheme</t>
  </si>
  <si>
    <t>Dividends Paid to Shareholders</t>
  </si>
  <si>
    <t>Borrowings</t>
  </si>
  <si>
    <t>Opening Current portion of short term debt + Long term debt - Closing  (Current portion of short term debt + Long term debt )</t>
  </si>
  <si>
    <t>Other Financing Activities</t>
  </si>
  <si>
    <t>CFF</t>
  </si>
  <si>
    <t>Other Adjustments</t>
  </si>
  <si>
    <t>Net Change in Cash</t>
  </si>
  <si>
    <t>Opening Cash</t>
  </si>
  <si>
    <t>Closing Cash</t>
  </si>
  <si>
    <t>Net Debt (Cash)</t>
  </si>
  <si>
    <t>Current portion of short term debt + Long term debt - Closing cash</t>
  </si>
  <si>
    <t>NIKE, INC.
(Dollars and Shares in Millions Except Per Share Amounts)</t>
  </si>
  <si>
    <t>Feedback</t>
  </si>
  <si>
    <t>Feedback 2</t>
  </si>
  <si>
    <t>Terminal year</t>
  </si>
  <si>
    <t>Mulitples</t>
  </si>
  <si>
    <t>Average Share Price</t>
  </si>
  <si>
    <t xml:space="preserve">  Growth %</t>
  </si>
  <si>
    <t>EV</t>
  </si>
  <si>
    <t>P/BV</t>
  </si>
  <si>
    <t>EV/FCFF</t>
  </si>
  <si>
    <r>
      <t xml:space="preserve">  </t>
    </r>
    <r>
      <rPr>
        <i/>
        <sz val="10"/>
        <color theme="1"/>
        <rFont val="Calibri"/>
        <family val="2"/>
        <scheme val="minor"/>
      </rPr>
      <t>Growth %</t>
    </r>
  </si>
  <si>
    <t>Debt/Equity</t>
  </si>
  <si>
    <t>Debt/Capital</t>
  </si>
  <si>
    <t>Link from three statements sheet</t>
  </si>
  <si>
    <t xml:space="preserve">FCFF in high growth phase </t>
  </si>
  <si>
    <t>Calculate TV using Gordon's growth model in cell W16</t>
  </si>
  <si>
    <t>Change FCFF growth rates in R to V to 7%</t>
  </si>
  <si>
    <t>Change terminal growth rate in cell W17 to 5%</t>
  </si>
  <si>
    <t>PV of Cash Flow</t>
  </si>
  <si>
    <t>WACC</t>
  </si>
  <si>
    <t>Calculate the PV of cash flows for columns M to W each year in each column</t>
  </si>
  <si>
    <t>Beta</t>
  </si>
  <si>
    <t>PV Calculation formula corrected (n value in M18 now starts at 1, N18 has 2 etc)</t>
  </si>
  <si>
    <t>Cost of Equity</t>
  </si>
  <si>
    <t>Rf</t>
  </si>
  <si>
    <t>Rm</t>
  </si>
  <si>
    <t>Cost of Debt</t>
  </si>
  <si>
    <t>Debt Ratio</t>
  </si>
  <si>
    <t>Present Values</t>
  </si>
  <si>
    <t>Present Value of FCFF in high growth phase (is this meaning 2023?)</t>
  </si>
  <si>
    <t>Should be the sum of M18 to V18. Link these calculations in the table in column B</t>
  </si>
  <si>
    <t xml:space="preserve">Present Value of Terminal Value of Firm </t>
  </si>
  <si>
    <t>Link PV of TV in cell W18 here. Link these calculations in the table in column B</t>
  </si>
  <si>
    <t xml:space="preserve">Value of the firm </t>
  </si>
  <si>
    <t>Link these calculations in the table in column B</t>
  </si>
  <si>
    <t xml:space="preserve">Book Value of Debt </t>
  </si>
  <si>
    <t xml:space="preserve">Value of Equity </t>
  </si>
  <si>
    <t xml:space="preserve">Value of Equity per Share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</si>
</sst>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0.0%"/>
    <numFmt numFmtId="166" formatCode="_(* #,##0.00_);_(* \(#,##0.00\);_(* &quot;-&quot;??_);_(@_)"/>
    <numFmt numFmtId="167" formatCode="0.0000"/>
    <numFmt numFmtId="168" formatCode="0.0"/>
  </numFmts>
  <fonts count="20" x14ac:knownFonts="1">
    <font>
      <sz val="11"/>
      <color theme="1"/>
      <name val="Calibri"/>
      <family val="2"/>
      <scheme val="minor"/>
    </font>
    <font>
      <b/>
      <sz val="11"/>
      <color theme="0"/>
      <name val="Calibri"/>
      <family val="2"/>
      <scheme val="minor"/>
    </font>
    <font>
      <b/>
      <sz val="18"/>
      <color theme="0"/>
      <name val="Calibri"/>
      <family val="2"/>
      <scheme val="minor"/>
    </font>
    <font>
      <sz val="11"/>
      <color theme="1"/>
      <name val="Calibri"/>
      <family val="2"/>
      <scheme val="minor"/>
    </font>
    <font>
      <b/>
      <sz val="11"/>
      <color theme="1"/>
      <name val="Calibri"/>
      <family val="2"/>
      <scheme val="minor"/>
    </font>
    <font>
      <sz val="12"/>
      <color theme="0"/>
      <name val="Calibri"/>
      <family val="2"/>
      <scheme val="minor"/>
    </font>
    <font>
      <b/>
      <sz val="20"/>
      <color theme="0"/>
      <name val="Calibri"/>
      <family val="2"/>
    </font>
    <font>
      <b/>
      <sz val="16"/>
      <color theme="0"/>
      <name val="Calibri"/>
      <family val="2"/>
    </font>
    <font>
      <sz val="11"/>
      <color theme="0"/>
      <name val="Calibri"/>
      <family val="2"/>
    </font>
    <font>
      <b/>
      <sz val="11"/>
      <color theme="0"/>
      <name val="Calibri"/>
      <family val="2"/>
    </font>
    <font>
      <b/>
      <sz val="11"/>
      <color theme="1"/>
      <name val="Calibri"/>
      <family val="2"/>
    </font>
    <font>
      <i/>
      <sz val="9"/>
      <color theme="1"/>
      <name val="Calibri"/>
      <family val="2"/>
    </font>
    <font>
      <sz val="11"/>
      <color theme="1"/>
      <name val="Calibri"/>
      <family val="2"/>
    </font>
    <font>
      <i/>
      <sz val="9"/>
      <color rgb="FF0070C0"/>
      <name val="Calibri"/>
      <family val="2"/>
    </font>
    <font>
      <b/>
      <sz val="11"/>
      <color rgb="FFFF0000"/>
      <name val="Calibri"/>
      <family val="2"/>
    </font>
    <font>
      <i/>
      <sz val="10"/>
      <color theme="1"/>
      <name val="Calibri"/>
      <family val="2"/>
      <scheme val="minor"/>
    </font>
    <font>
      <i/>
      <sz val="10"/>
      <color theme="1"/>
      <name val="Calibri"/>
      <family val="2"/>
    </font>
    <font>
      <i/>
      <sz val="9"/>
      <color theme="1"/>
      <name val="Calibri"/>
      <family val="2"/>
      <scheme val="minor"/>
    </font>
    <font>
      <sz val="9"/>
      <color theme="1"/>
      <name val="Calibri"/>
      <family val="2"/>
      <scheme val="minor"/>
    </font>
    <font>
      <u/>
      <sz val="11"/>
      <color theme="10"/>
      <name val="Calibri"/>
      <family val="2"/>
      <scheme val="minor"/>
    </font>
  </fonts>
  <fills count="13">
    <fill>
      <patternFill patternType="none"/>
    </fill>
    <fill>
      <patternFill patternType="gray125"/>
    </fill>
    <fill>
      <patternFill patternType="solid">
        <fgColor rgb="FF002060"/>
        <bgColor indexed="64"/>
      </patternFill>
    </fill>
    <fill>
      <patternFill patternType="solid">
        <fgColor rgb="FF002060"/>
        <bgColor rgb="FF002060"/>
      </patternFill>
    </fill>
    <fill>
      <patternFill patternType="solid">
        <fgColor rgb="FF8496B0"/>
        <bgColor rgb="FF8496B0"/>
      </patternFill>
    </fill>
    <fill>
      <patternFill patternType="solid">
        <fgColor theme="4" tint="0.39997558519241921"/>
        <bgColor indexed="64"/>
      </patternFill>
    </fill>
    <fill>
      <patternFill patternType="solid">
        <fgColor theme="4"/>
        <bgColor theme="4"/>
      </patternFill>
    </fill>
    <fill>
      <patternFill patternType="solid">
        <fgColor rgb="FFD9E2F3"/>
        <bgColor rgb="FFD9E2F3"/>
      </patternFill>
    </fill>
    <fill>
      <patternFill patternType="solid">
        <fgColor theme="0" tint="-0.34998626667073579"/>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9" tint="0.39997558519241921"/>
        <bgColor indexed="64"/>
      </patternFill>
    </fill>
  </fills>
  <borders count="15">
    <border>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9"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0" fontId="19" fillId="0" borderId="0" applyNumberFormat="0" applyFill="0" applyBorder="0" applyAlignment="0" applyProtection="0"/>
  </cellStyleXfs>
  <cellXfs count="90">
    <xf numFmtId="0" fontId="0" fillId="0" borderId="0" xfId="0"/>
    <xf numFmtId="0" fontId="1" fillId="2" borderId="1" xfId="0" applyFont="1" applyFill="1" applyBorder="1" applyAlignment="1">
      <alignment horizontal="right"/>
    </xf>
    <xf numFmtId="0" fontId="0" fillId="0" borderId="2" xfId="0" applyBorder="1"/>
    <xf numFmtId="0" fontId="1" fillId="2" borderId="3" xfId="0" applyFont="1" applyFill="1" applyBorder="1" applyAlignment="1">
      <alignment horizontal="right"/>
    </xf>
    <xf numFmtId="0" fontId="0" fillId="0" borderId="4" xfId="0" applyBorder="1"/>
    <xf numFmtId="0" fontId="0" fillId="0" borderId="5" xfId="0" applyBorder="1"/>
    <xf numFmtId="0" fontId="2" fillId="2" borderId="0" xfId="0" applyFont="1" applyFill="1" applyAlignment="1">
      <alignment wrapText="1"/>
    </xf>
    <xf numFmtId="3" fontId="0" fillId="0" borderId="4" xfId="0" applyNumberFormat="1" applyBorder="1"/>
    <xf numFmtId="3" fontId="0" fillId="0" borderId="2" xfId="0" applyNumberFormat="1" applyBorder="1"/>
    <xf numFmtId="0" fontId="6" fillId="3" borderId="0" xfId="0" applyFont="1" applyFill="1" applyAlignment="1">
      <alignment vertical="center" wrapText="1"/>
    </xf>
    <xf numFmtId="0" fontId="9" fillId="3" borderId="0" xfId="0" applyFont="1" applyFill="1" applyAlignment="1">
      <alignment horizontal="right"/>
    </xf>
    <xf numFmtId="0" fontId="10" fillId="4" borderId="0" xfId="0" applyFont="1" applyFill="1"/>
    <xf numFmtId="0" fontId="0" fillId="5" borderId="0" xfId="0" applyFill="1"/>
    <xf numFmtId="164" fontId="9" fillId="6" borderId="0" xfId="0" applyNumberFormat="1" applyFont="1" applyFill="1" applyAlignment="1">
      <alignment horizontal="left"/>
    </xf>
    <xf numFmtId="0" fontId="10" fillId="0" borderId="0" xfId="0" applyFont="1"/>
    <xf numFmtId="164" fontId="10" fillId="0" borderId="0" xfId="0" applyNumberFormat="1" applyFont="1"/>
    <xf numFmtId="164" fontId="11" fillId="0" borderId="0" xfId="0" applyNumberFormat="1" applyFont="1" applyAlignment="1">
      <alignment horizontal="left"/>
    </xf>
    <xf numFmtId="165" fontId="11" fillId="0" borderId="0" xfId="0" applyNumberFormat="1" applyFont="1" applyAlignment="1">
      <alignment horizontal="right"/>
    </xf>
    <xf numFmtId="0" fontId="3" fillId="0" borderId="0" xfId="0" applyFont="1"/>
    <xf numFmtId="164" fontId="12" fillId="0" borderId="0" xfId="0" applyNumberFormat="1" applyFont="1" applyAlignment="1">
      <alignment horizontal="left"/>
    </xf>
    <xf numFmtId="164" fontId="12" fillId="0" borderId="0" xfId="0" applyNumberFormat="1" applyFont="1"/>
    <xf numFmtId="0" fontId="10" fillId="0" borderId="6" xfId="0" applyFont="1" applyBorder="1"/>
    <xf numFmtId="164" fontId="10" fillId="0" borderId="6" xfId="0" applyNumberFormat="1" applyFont="1" applyBorder="1"/>
    <xf numFmtId="0" fontId="12" fillId="0" borderId="0" xfId="0" applyFont="1" applyAlignment="1">
      <alignment horizontal="left"/>
    </xf>
    <xf numFmtId="165" fontId="13" fillId="7" borderId="0" xfId="0" applyNumberFormat="1" applyFont="1" applyFill="1"/>
    <xf numFmtId="0" fontId="10" fillId="0" borderId="7" xfId="0" applyFont="1" applyBorder="1"/>
    <xf numFmtId="164" fontId="10" fillId="0" borderId="7" xfId="0" applyNumberFormat="1" applyFont="1" applyBorder="1"/>
    <xf numFmtId="0" fontId="3" fillId="8" borderId="0" xfId="2" applyFill="1"/>
    <xf numFmtId="166" fontId="12" fillId="0" borderId="0" xfId="0" applyNumberFormat="1" applyFont="1"/>
    <xf numFmtId="0" fontId="3" fillId="0" borderId="0" xfId="2"/>
    <xf numFmtId="0" fontId="9" fillId="6" borderId="0" xfId="0" applyFont="1" applyFill="1"/>
    <xf numFmtId="166" fontId="14" fillId="0" borderId="0" xfId="0" applyNumberFormat="1" applyFont="1"/>
    <xf numFmtId="0" fontId="15" fillId="0" borderId="0" xfId="0" applyFont="1"/>
    <xf numFmtId="165" fontId="16" fillId="0" borderId="0" xfId="0" applyNumberFormat="1" applyFont="1"/>
    <xf numFmtId="0" fontId="10" fillId="0" borderId="8" xfId="0" applyFont="1" applyBorder="1"/>
    <xf numFmtId="164" fontId="10" fillId="0" borderId="8" xfId="0" applyNumberFormat="1" applyFont="1" applyBorder="1"/>
    <xf numFmtId="164" fontId="12" fillId="8" borderId="0" xfId="0" applyNumberFormat="1" applyFont="1" applyFill="1"/>
    <xf numFmtId="164" fontId="14" fillId="0" borderId="0" xfId="0" applyNumberFormat="1" applyFont="1"/>
    <xf numFmtId="0" fontId="1" fillId="2" borderId="0" xfId="3" applyFont="1" applyFill="1" applyAlignment="1">
      <alignment vertical="center" wrapText="1"/>
    </xf>
    <xf numFmtId="0" fontId="1" fillId="2" borderId="0" xfId="3" applyFont="1" applyFill="1" applyAlignment="1">
      <alignment horizontal="right"/>
    </xf>
    <xf numFmtId="0" fontId="1" fillId="2" borderId="0" xfId="3" applyFont="1" applyFill="1" applyAlignment="1">
      <alignment horizontal="center"/>
    </xf>
    <xf numFmtId="0" fontId="1" fillId="2" borderId="0" xfId="3" applyFont="1" applyFill="1" applyAlignment="1">
      <alignment wrapText="1"/>
    </xf>
    <xf numFmtId="0" fontId="1" fillId="9" borderId="0" xfId="3" applyFont="1" applyFill="1" applyAlignment="1">
      <alignment horizontal="right"/>
    </xf>
    <xf numFmtId="0" fontId="1" fillId="9" borderId="0" xfId="3" applyFont="1" applyFill="1" applyAlignment="1">
      <alignment horizontal="right" wrapText="1"/>
    </xf>
    <xf numFmtId="0" fontId="3" fillId="0" borderId="0" xfId="3"/>
    <xf numFmtId="0" fontId="4" fillId="10" borderId="0" xfId="3" applyFont="1" applyFill="1" applyAlignment="1">
      <alignment horizontal="center"/>
    </xf>
    <xf numFmtId="0" fontId="3" fillId="11" borderId="0" xfId="3" applyFill="1"/>
    <xf numFmtId="166" fontId="3" fillId="0" borderId="0" xfId="3" applyNumberFormat="1"/>
    <xf numFmtId="0" fontId="15" fillId="0" borderId="0" xfId="3" applyFont="1"/>
    <xf numFmtId="165" fontId="3" fillId="0" borderId="0" xfId="3" applyNumberFormat="1"/>
    <xf numFmtId="164" fontId="0" fillId="0" borderId="0" xfId="4" applyNumberFormat="1" applyFont="1"/>
    <xf numFmtId="41" fontId="3" fillId="0" borderId="0" xfId="3" applyNumberFormat="1"/>
    <xf numFmtId="166" fontId="0" fillId="0" borderId="0" xfId="4" applyFont="1"/>
    <xf numFmtId="43" fontId="3" fillId="0" borderId="0" xfId="3" applyNumberFormat="1"/>
    <xf numFmtId="2" fontId="3" fillId="0" borderId="0" xfId="3" applyNumberFormat="1"/>
    <xf numFmtId="165" fontId="15" fillId="0" borderId="0" xfId="4" applyNumberFormat="1" applyFont="1"/>
    <xf numFmtId="165" fontId="0" fillId="0" borderId="0" xfId="5" applyNumberFormat="1" applyFont="1"/>
    <xf numFmtId="0" fontId="3" fillId="8" borderId="0" xfId="3" applyFill="1"/>
    <xf numFmtId="10" fontId="17" fillId="0" borderId="0" xfId="5" applyNumberFormat="1" applyFont="1" applyBorder="1" applyAlignment="1">
      <alignment horizontal="left"/>
    </xf>
    <xf numFmtId="10" fontId="18" fillId="0" borderId="0" xfId="4" applyNumberFormat="1" applyFont="1" applyBorder="1" applyAlignment="1">
      <alignment horizontal="right"/>
    </xf>
    <xf numFmtId="10" fontId="18" fillId="8" borderId="0" xfId="4" applyNumberFormat="1" applyFont="1" applyFill="1" applyBorder="1" applyAlignment="1">
      <alignment horizontal="right"/>
    </xf>
    <xf numFmtId="10" fontId="18" fillId="12" borderId="0" xfId="3" applyNumberFormat="1" applyFont="1" applyFill="1"/>
    <xf numFmtId="0" fontId="18" fillId="8" borderId="0" xfId="3" applyFont="1" applyFill="1"/>
    <xf numFmtId="0" fontId="18" fillId="0" borderId="0" xfId="3" applyFont="1"/>
    <xf numFmtId="10" fontId="3" fillId="0" borderId="0" xfId="5" applyNumberFormat="1" applyFont="1" applyBorder="1" applyAlignment="1">
      <alignment horizontal="left"/>
    </xf>
    <xf numFmtId="1" fontId="3" fillId="0" borderId="0" xfId="4" applyNumberFormat="1" applyFont="1" applyBorder="1" applyAlignment="1">
      <alignment horizontal="right"/>
    </xf>
    <xf numFmtId="1" fontId="3" fillId="0" borderId="0" xfId="3" applyNumberFormat="1"/>
    <xf numFmtId="10" fontId="3" fillId="0" borderId="0" xfId="3" applyNumberFormat="1"/>
    <xf numFmtId="165" fontId="0" fillId="0" borderId="0" xfId="4" applyNumberFormat="1" applyFont="1"/>
    <xf numFmtId="0" fontId="3" fillId="0" borderId="0" xfId="3" applyAlignment="1">
      <alignment horizontal="left" indent="1"/>
    </xf>
    <xf numFmtId="0" fontId="3" fillId="8" borderId="0" xfId="3" applyFill="1" applyAlignment="1">
      <alignment horizontal="left" indent="1"/>
    </xf>
    <xf numFmtId="165" fontId="0" fillId="0" borderId="0" xfId="5" applyNumberFormat="1" applyFont="1" applyFill="1"/>
    <xf numFmtId="10" fontId="0" fillId="0" borderId="0" xfId="5" applyNumberFormat="1" applyFont="1" applyFill="1"/>
    <xf numFmtId="165" fontId="0" fillId="8" borderId="0" xfId="1" applyNumberFormat="1" applyFont="1" applyFill="1"/>
    <xf numFmtId="0" fontId="19" fillId="0" borderId="0" xfId="6" applyAlignment="1">
      <alignment horizontal="left" indent="1"/>
    </xf>
    <xf numFmtId="167" fontId="0" fillId="0" borderId="0" xfId="5" applyNumberFormat="1" applyFont="1" applyFill="1"/>
    <xf numFmtId="0" fontId="3" fillId="0" borderId="9" xfId="3" applyBorder="1"/>
    <xf numFmtId="1" fontId="3" fillId="0" borderId="10" xfId="3" applyNumberFormat="1" applyBorder="1"/>
    <xf numFmtId="0" fontId="3" fillId="0" borderId="11" xfId="3" applyBorder="1"/>
    <xf numFmtId="1" fontId="3" fillId="0" borderId="12" xfId="3" applyNumberFormat="1" applyBorder="1"/>
    <xf numFmtId="0" fontId="3" fillId="0" borderId="12" xfId="3" applyBorder="1"/>
    <xf numFmtId="164" fontId="3" fillId="0" borderId="0" xfId="3" applyNumberFormat="1"/>
    <xf numFmtId="0" fontId="3" fillId="0" borderId="13" xfId="3" applyBorder="1"/>
    <xf numFmtId="2" fontId="3" fillId="0" borderId="14" xfId="3" applyNumberFormat="1" applyBorder="1"/>
    <xf numFmtId="168" fontId="0" fillId="0" borderId="4" xfId="0" applyNumberFormat="1" applyBorder="1"/>
    <xf numFmtId="168" fontId="0" fillId="0" borderId="5" xfId="0" applyNumberFormat="1" applyBorder="1"/>
    <xf numFmtId="165" fontId="0" fillId="0" borderId="4" xfId="0" applyNumberFormat="1" applyBorder="1"/>
    <xf numFmtId="0" fontId="0" fillId="8" borderId="0" xfId="0" applyFill="1"/>
    <xf numFmtId="0" fontId="0" fillId="8" borderId="0" xfId="0" applyFill="1" applyAlignment="1">
      <alignment horizontal="left" indent="1"/>
    </xf>
    <xf numFmtId="165" fontId="0" fillId="0" borderId="5" xfId="0" applyNumberFormat="1" applyBorder="1"/>
  </cellXfs>
  <cellStyles count="7">
    <cellStyle name="Comma 4" xfId="4" xr:uid="{66974AB7-E263-431F-A2DF-7930100A94E7}"/>
    <cellStyle name="Hyperlink 2" xfId="6" xr:uid="{077E18DF-0F95-40FD-841C-271127004C67}"/>
    <cellStyle name="Normal" xfId="0" builtinId="0"/>
    <cellStyle name="Normal 2" xfId="2" xr:uid="{9E27DF86-9F9C-44AB-8CF8-084BAAE90DE4}"/>
    <cellStyle name="Normal 3" xfId="3" xr:uid="{C2EB763D-2C45-4157-A584-4C4A495CDAF5}"/>
    <cellStyle name="Percent" xfId="1" builtinId="5"/>
    <cellStyle name="Percent 3" xfId="5" xr:uid="{058E9228-00D2-4D23-8832-11899693A7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Downloads_D\Task%2015%20-%20CAPM%20formulas%20and%20PV.xlsx" TargetMode="External"/><Relationship Id="rId1" Type="http://schemas.openxmlformats.org/officeDocument/2006/relationships/externalLinkPath" Target="Task%2015%20-%20CAPM%20formulas%20and%20P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 val="Graphs"/>
      <sheetName val="Schedules"/>
      <sheetName val="Operating Expenses"/>
    </sheetNames>
    <sheetDataSet>
      <sheetData sheetId="0" refreshError="1"/>
      <sheetData sheetId="1">
        <row r="8">
          <cell r="B8">
            <v>28</v>
          </cell>
          <cell r="C8">
            <v>19</v>
          </cell>
          <cell r="D8">
            <v>59</v>
          </cell>
          <cell r="E8">
            <v>54</v>
          </cell>
          <cell r="F8">
            <v>49</v>
          </cell>
          <cell r="G8">
            <v>89</v>
          </cell>
          <cell r="H8">
            <v>262</v>
          </cell>
          <cell r="I8">
            <v>205</v>
          </cell>
        </row>
        <row r="11">
          <cell r="B11">
            <v>932</v>
          </cell>
          <cell r="C11">
            <v>863</v>
          </cell>
          <cell r="D11">
            <v>646</v>
          </cell>
          <cell r="E11">
            <v>2392</v>
          </cell>
          <cell r="F11">
            <v>772</v>
          </cell>
          <cell r="G11">
            <v>348</v>
          </cell>
          <cell r="H11">
            <v>934</v>
          </cell>
          <cell r="I11">
            <v>605</v>
          </cell>
        </row>
        <row r="18">
          <cell r="B18">
            <v>1768.8</v>
          </cell>
          <cell r="C18">
            <v>1742.5</v>
          </cell>
          <cell r="D18">
            <v>1692</v>
          </cell>
          <cell r="E18">
            <v>1659.1</v>
          </cell>
          <cell r="F18">
            <v>1618.4</v>
          </cell>
          <cell r="G18">
            <v>1591.6</v>
          </cell>
          <cell r="H18">
            <v>1609.4</v>
          </cell>
          <cell r="I18">
            <v>1610.8</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3011</v>
          </cell>
          <cell r="C31">
            <v>3520</v>
          </cell>
          <cell r="D31">
            <v>3989</v>
          </cell>
          <cell r="E31">
            <v>4454</v>
          </cell>
          <cell r="F31">
            <v>4744</v>
          </cell>
          <cell r="G31">
            <v>4866</v>
          </cell>
          <cell r="H31">
            <v>4904</v>
          </cell>
          <cell r="I31">
            <v>4791</v>
          </cell>
        </row>
        <row r="32">
          <cell r="B32">
            <v>0</v>
          </cell>
          <cell r="C32">
            <v>0</v>
          </cell>
          <cell r="D32">
            <v>0</v>
          </cell>
          <cell r="E32">
            <v>0</v>
          </cell>
          <cell r="F32">
            <v>0</v>
          </cell>
          <cell r="G32">
            <v>3097</v>
          </cell>
          <cell r="H32">
            <v>3113</v>
          </cell>
          <cell r="I32">
            <v>2926</v>
          </cell>
        </row>
        <row r="33">
          <cell r="B33">
            <v>281</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C35">
            <v>2439</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1">
          <cell r="B41">
            <v>2131</v>
          </cell>
          <cell r="C41">
            <v>2191</v>
          </cell>
          <cell r="D41">
            <v>2048</v>
          </cell>
          <cell r="E41">
            <v>2279</v>
          </cell>
          <cell r="F41">
            <v>2612</v>
          </cell>
          <cell r="G41">
            <v>2248</v>
          </cell>
          <cell r="H41">
            <v>2836</v>
          </cell>
          <cell r="I41">
            <v>3358</v>
          </cell>
        </row>
        <row r="42">
          <cell r="B42">
            <v>0</v>
          </cell>
          <cell r="C42">
            <v>0</v>
          </cell>
          <cell r="D42">
            <v>0</v>
          </cell>
          <cell r="E42">
            <v>0</v>
          </cell>
          <cell r="F42">
            <v>0</v>
          </cell>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v>306</v>
          </cell>
          <cell r="I44">
            <v>222</v>
          </cell>
        </row>
        <row r="46">
          <cell r="B46">
            <v>1079</v>
          </cell>
          <cell r="C46">
            <v>2010</v>
          </cell>
          <cell r="D46">
            <v>3471</v>
          </cell>
          <cell r="E46">
            <v>3468</v>
          </cell>
          <cell r="F46">
            <v>3464</v>
          </cell>
          <cell r="G46">
            <v>9406</v>
          </cell>
          <cell r="H46">
            <v>9413</v>
          </cell>
          <cell r="I46">
            <v>8920</v>
          </cell>
        </row>
        <row r="47">
          <cell r="B47">
            <v>0</v>
          </cell>
          <cell r="C47">
            <v>0</v>
          </cell>
          <cell r="D47">
            <v>0</v>
          </cell>
          <cell r="E47">
            <v>0</v>
          </cell>
          <cell r="F47">
            <v>0</v>
          </cell>
          <cell r="G47">
            <v>2913</v>
          </cell>
          <cell r="H47">
            <v>2931</v>
          </cell>
          <cell r="I47">
            <v>2777</v>
          </cell>
        </row>
        <row r="48">
          <cell r="B48">
            <v>1479</v>
          </cell>
          <cell r="C48">
            <v>1770</v>
          </cell>
          <cell r="D48">
            <v>1907</v>
          </cell>
          <cell r="E48">
            <v>3216</v>
          </cell>
          <cell r="F48">
            <v>3347</v>
          </cell>
          <cell r="G48">
            <v>2684</v>
          </cell>
          <cell r="H48">
            <v>2955</v>
          </cell>
          <cell r="I48">
            <v>2613</v>
          </cell>
        </row>
        <row r="54">
          <cell r="B54">
            <v>3</v>
          </cell>
          <cell r="C54">
            <v>3</v>
          </cell>
          <cell r="D54">
            <v>3</v>
          </cell>
          <cell r="E54">
            <v>3</v>
          </cell>
          <cell r="F54">
            <v>3</v>
          </cell>
          <cell r="G54">
            <v>3</v>
          </cell>
          <cell r="H54">
            <v>3</v>
          </cell>
          <cell r="I54">
            <v>3</v>
          </cell>
        </row>
        <row r="55">
          <cell r="B55">
            <v>6773</v>
          </cell>
          <cell r="C55">
            <v>7786</v>
          </cell>
          <cell r="D55">
            <v>8638</v>
          </cell>
          <cell r="E55">
            <v>6384</v>
          </cell>
          <cell r="F55">
            <v>7163</v>
          </cell>
          <cell r="G55">
            <v>8299</v>
          </cell>
          <cell r="H55">
            <v>9965</v>
          </cell>
          <cell r="I55">
            <v>11484</v>
          </cell>
        </row>
        <row r="56">
          <cell r="B56">
            <v>1246</v>
          </cell>
          <cell r="C56">
            <v>318</v>
          </cell>
          <cell r="D56">
            <v>-213</v>
          </cell>
          <cell r="E56">
            <v>-92</v>
          </cell>
          <cell r="F56">
            <v>231</v>
          </cell>
          <cell r="G56">
            <v>-56</v>
          </cell>
          <cell r="H56">
            <v>-380</v>
          </cell>
          <cell r="I56">
            <v>318</v>
          </cell>
        </row>
        <row r="57">
          <cell r="B57">
            <v>4685</v>
          </cell>
          <cell r="C57">
            <v>4151</v>
          </cell>
          <cell r="D57">
            <v>3979</v>
          </cell>
          <cell r="E57">
            <v>3517</v>
          </cell>
          <cell r="F57">
            <v>1643</v>
          </cell>
          <cell r="G57">
            <v>-191</v>
          </cell>
          <cell r="H57">
            <v>3179</v>
          </cell>
          <cell r="I57">
            <v>3476</v>
          </cell>
        </row>
        <row r="76">
          <cell r="B76">
            <v>4680</v>
          </cell>
          <cell r="C76">
            <v>3096</v>
          </cell>
          <cell r="D76">
            <v>3846</v>
          </cell>
          <cell r="E76">
            <v>4955</v>
          </cell>
          <cell r="F76">
            <v>5903</v>
          </cell>
          <cell r="G76">
            <v>2485</v>
          </cell>
          <cell r="H76">
            <v>6657</v>
          </cell>
          <cell r="I76">
            <v>5188</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2386</v>
          </cell>
          <cell r="D80">
            <v>2423</v>
          </cell>
          <cell r="E80">
            <v>2496</v>
          </cell>
          <cell r="F80">
            <v>2072</v>
          </cell>
          <cell r="G80">
            <v>2379</v>
          </cell>
          <cell r="H80">
            <v>2449</v>
          </cell>
          <cell r="I80">
            <v>3967</v>
          </cell>
        </row>
        <row r="81">
          <cell r="B81">
            <v>-150</v>
          </cell>
          <cell r="C81">
            <v>150</v>
          </cell>
          <cell r="D81">
            <v>0</v>
          </cell>
          <cell r="E81">
            <v>0</v>
          </cell>
          <cell r="F81">
            <v>0</v>
          </cell>
          <cell r="G81">
            <v>0</v>
          </cell>
          <cell r="H81">
            <v>0</v>
          </cell>
          <cell r="I81">
            <v>0</v>
          </cell>
        </row>
        <row r="83">
          <cell r="B83">
            <v>3</v>
          </cell>
          <cell r="C83">
            <v>10</v>
          </cell>
          <cell r="D83">
            <v>13</v>
          </cell>
          <cell r="E83">
            <v>3</v>
          </cell>
          <cell r="F83">
            <v>0</v>
          </cell>
          <cell r="G83">
            <v>0</v>
          </cell>
          <cell r="H83">
            <v>0</v>
          </cell>
          <cell r="I83">
            <v>0</v>
          </cell>
        </row>
        <row r="84">
          <cell r="B84">
            <v>0</v>
          </cell>
          <cell r="C84">
            <v>6</v>
          </cell>
          <cell r="D84">
            <v>-34</v>
          </cell>
          <cell r="E84">
            <v>-25</v>
          </cell>
          <cell r="F84">
            <v>5</v>
          </cell>
          <cell r="G84">
            <v>31</v>
          </cell>
          <cell r="H84">
            <v>171</v>
          </cell>
          <cell r="I84">
            <v>-19</v>
          </cell>
        </row>
        <row r="87">
          <cell r="B87">
            <v>0</v>
          </cell>
          <cell r="C87">
            <v>981</v>
          </cell>
          <cell r="D87">
            <v>1482</v>
          </cell>
          <cell r="E87">
            <v>0</v>
          </cell>
          <cell r="F87">
            <v>0</v>
          </cell>
          <cell r="G87">
            <v>6134</v>
          </cell>
          <cell r="H87">
            <v>0</v>
          </cell>
          <cell r="I87">
            <v>0</v>
          </cell>
        </row>
        <row r="88">
          <cell r="B88">
            <v>-63</v>
          </cell>
          <cell r="C88">
            <v>-67</v>
          </cell>
          <cell r="D88">
            <v>327</v>
          </cell>
          <cell r="E88">
            <v>13</v>
          </cell>
          <cell r="F88">
            <v>-325</v>
          </cell>
          <cell r="G88">
            <v>49</v>
          </cell>
          <cell r="H88">
            <v>-52</v>
          </cell>
          <cell r="I88">
            <v>15</v>
          </cell>
        </row>
        <row r="89">
          <cell r="B89">
            <v>-7</v>
          </cell>
          <cell r="C89">
            <v>-106</v>
          </cell>
          <cell r="D89">
            <v>-44</v>
          </cell>
          <cell r="E89">
            <v>-6</v>
          </cell>
          <cell r="F89">
            <v>-6</v>
          </cell>
          <cell r="G89">
            <v>-6</v>
          </cell>
          <cell r="H89">
            <v>-197</v>
          </cell>
          <cell r="I89">
            <v>0</v>
          </cell>
        </row>
        <row r="90">
          <cell r="B90">
            <v>514</v>
          </cell>
          <cell r="C90">
            <v>507</v>
          </cell>
          <cell r="D90">
            <v>489</v>
          </cell>
          <cell r="E90">
            <v>733</v>
          </cell>
          <cell r="F90">
            <v>700</v>
          </cell>
          <cell r="G90">
            <v>885</v>
          </cell>
          <cell r="H90">
            <v>1172</v>
          </cell>
          <cell r="I90">
            <v>1151</v>
          </cell>
        </row>
        <row r="91">
          <cell r="B91">
            <v>-2534</v>
          </cell>
          <cell r="C91">
            <v>-3238</v>
          </cell>
          <cell r="D91">
            <v>-3223</v>
          </cell>
          <cell r="E91">
            <v>-4254</v>
          </cell>
          <cell r="F91">
            <v>-4286</v>
          </cell>
          <cell r="G91">
            <v>-3067</v>
          </cell>
          <cell r="H91">
            <v>-608</v>
          </cell>
          <cell r="I91">
            <v>-4014</v>
          </cell>
        </row>
        <row r="92">
          <cell r="B92">
            <v>-899</v>
          </cell>
          <cell r="C92">
            <v>-1022</v>
          </cell>
          <cell r="D92">
            <v>-1133</v>
          </cell>
          <cell r="E92">
            <v>-1243</v>
          </cell>
          <cell r="F92">
            <v>-1332</v>
          </cell>
          <cell r="G92">
            <v>-1452</v>
          </cell>
          <cell r="H92">
            <v>-1638</v>
          </cell>
          <cell r="I92">
            <v>-1837</v>
          </cell>
        </row>
        <row r="93">
          <cell r="B93">
            <v>199</v>
          </cell>
          <cell r="C93">
            <v>274</v>
          </cell>
          <cell r="D93">
            <v>-46</v>
          </cell>
          <cell r="E93">
            <v>-78</v>
          </cell>
          <cell r="F93">
            <v>-44</v>
          </cell>
          <cell r="G93">
            <v>-52</v>
          </cell>
          <cell r="H93">
            <v>-136</v>
          </cell>
          <cell r="I93">
            <v>-151</v>
          </cell>
        </row>
        <row r="95">
          <cell r="B95">
            <v>-83</v>
          </cell>
          <cell r="C95">
            <v>-105</v>
          </cell>
          <cell r="D95">
            <v>-20</v>
          </cell>
          <cell r="E95">
            <v>45</v>
          </cell>
          <cell r="F95">
            <v>-129</v>
          </cell>
          <cell r="G95">
            <v>-66</v>
          </cell>
          <cell r="H95">
            <v>143</v>
          </cell>
          <cell r="I95">
            <v>-143</v>
          </cell>
        </row>
        <row r="97">
          <cell r="B97">
            <v>2220</v>
          </cell>
        </row>
        <row r="102">
          <cell r="B102">
            <v>53</v>
          </cell>
          <cell r="C102">
            <v>70</v>
          </cell>
          <cell r="D102">
            <v>98</v>
          </cell>
          <cell r="E102">
            <v>125</v>
          </cell>
          <cell r="F102">
            <v>153</v>
          </cell>
          <cell r="G102">
            <v>140</v>
          </cell>
          <cell r="H102">
            <v>293</v>
          </cell>
          <cell r="I102">
            <v>290</v>
          </cell>
        </row>
        <row r="103">
          <cell r="B103">
            <v>1262</v>
          </cell>
          <cell r="C103">
            <v>748</v>
          </cell>
          <cell r="D103">
            <v>703</v>
          </cell>
          <cell r="E103">
            <v>529</v>
          </cell>
          <cell r="F103">
            <v>757</v>
          </cell>
          <cell r="G103">
            <v>1028</v>
          </cell>
          <cell r="H103">
            <v>1177</v>
          </cell>
          <cell r="I103">
            <v>1231</v>
          </cell>
        </row>
      </sheetData>
      <sheetData sheetId="2">
        <row r="3">
          <cell r="B3">
            <v>30601</v>
          </cell>
          <cell r="C3">
            <v>32376</v>
          </cell>
          <cell r="D3">
            <v>34350</v>
          </cell>
          <cell r="E3">
            <v>36397</v>
          </cell>
          <cell r="F3">
            <v>39117</v>
          </cell>
          <cell r="G3">
            <v>37403</v>
          </cell>
          <cell r="H3">
            <v>44538</v>
          </cell>
          <cell r="I3">
            <v>46710</v>
          </cell>
          <cell r="J3">
            <v>49988.319809474007</v>
          </cell>
          <cell r="K3">
            <v>52216.214311000003</v>
          </cell>
          <cell r="L3">
            <v>55721.778762632995</v>
          </cell>
          <cell r="M3">
            <v>59656.692256471688</v>
          </cell>
          <cell r="N3">
            <v>64079.816985326739</v>
          </cell>
        </row>
        <row r="4">
          <cell r="B4" t="str">
            <v>nm</v>
          </cell>
          <cell r="C4">
            <v>5.8004640371229765E-2</v>
          </cell>
          <cell r="D4">
            <v>6.0971089696071123E-2</v>
          </cell>
          <cell r="E4">
            <v>5.95924308588065E-2</v>
          </cell>
          <cell r="F4">
            <v>7.4731433909388079E-2</v>
          </cell>
          <cell r="G4">
            <v>-4.3817266150267153E-2</v>
          </cell>
          <cell r="H4">
            <v>0.19076009945726269</v>
          </cell>
          <cell r="I4">
            <v>4.8767344739323759E-2</v>
          </cell>
        </row>
        <row r="5">
          <cell r="B5">
            <v>4839</v>
          </cell>
          <cell r="C5">
            <v>5291</v>
          </cell>
          <cell r="D5">
            <v>5651</v>
          </cell>
          <cell r="E5">
            <v>5126</v>
          </cell>
          <cell r="F5">
            <v>5555</v>
          </cell>
          <cell r="G5">
            <v>3697</v>
          </cell>
          <cell r="H5">
            <v>7667</v>
          </cell>
          <cell r="I5">
            <v>7573</v>
          </cell>
          <cell r="J5">
            <v>7835.4637790525148</v>
          </cell>
          <cell r="K5">
            <v>8156.1460429719991</v>
          </cell>
          <cell r="L5">
            <v>9950.0624791792743</v>
          </cell>
          <cell r="M5">
            <v>11205.67963039481</v>
          </cell>
          <cell r="N5">
            <v>11358.765785575451</v>
          </cell>
        </row>
        <row r="8">
          <cell r="B8">
            <v>606</v>
          </cell>
          <cell r="C8">
            <v>649</v>
          </cell>
          <cell r="D8">
            <v>706</v>
          </cell>
          <cell r="E8">
            <v>747</v>
          </cell>
          <cell r="F8">
            <v>705</v>
          </cell>
          <cell r="G8">
            <v>721</v>
          </cell>
          <cell r="H8">
            <v>744</v>
          </cell>
          <cell r="I8">
            <v>717</v>
          </cell>
          <cell r="J8">
            <v>728.26305281179623</v>
          </cell>
          <cell r="K8">
            <v>745.91784856494326</v>
          </cell>
          <cell r="L8">
            <v>748.9891952587069</v>
          </cell>
          <cell r="M8">
            <v>776.65492546116491</v>
          </cell>
          <cell r="N8">
            <v>820.91300185183536</v>
          </cell>
        </row>
        <row r="11">
          <cell r="B11">
            <v>4233</v>
          </cell>
          <cell r="C11">
            <v>4642</v>
          </cell>
          <cell r="D11">
            <v>4945</v>
          </cell>
          <cell r="E11">
            <v>4379</v>
          </cell>
          <cell r="F11">
            <v>4850</v>
          </cell>
          <cell r="G11">
            <v>2976</v>
          </cell>
          <cell r="H11">
            <v>6923</v>
          </cell>
          <cell r="I11">
            <v>6856</v>
          </cell>
          <cell r="J11">
            <v>7107.2007262407169</v>
          </cell>
          <cell r="K11">
            <v>7410.2281944070555</v>
          </cell>
          <cell r="L11">
            <v>9201.0732839205666</v>
          </cell>
          <cell r="M11">
            <v>10429.024704933645</v>
          </cell>
          <cell r="N11">
            <v>10537.852783723616</v>
          </cell>
        </row>
        <row r="12">
          <cell r="B12" t="str">
            <v>nm</v>
          </cell>
          <cell r="C12">
            <v>9.6621781242617555E-2</v>
          </cell>
          <cell r="D12">
            <v>6.5273588970271357E-2</v>
          </cell>
          <cell r="E12">
            <v>-0.11445904954499497</v>
          </cell>
          <cell r="F12">
            <v>0.10755880337976698</v>
          </cell>
          <cell r="G12">
            <v>-0.38639175257731961</v>
          </cell>
          <cell r="H12">
            <v>1.32627688172043</v>
          </cell>
          <cell r="I12">
            <v>-9.67788530983682E-3</v>
          </cell>
        </row>
        <row r="13">
          <cell r="B13">
            <v>0.13832881278389594</v>
          </cell>
          <cell r="C13">
            <v>0.14337781072399308</v>
          </cell>
          <cell r="D13">
            <v>0.14395924308588065</v>
          </cell>
          <cell r="E13">
            <v>0.12031211363573921</v>
          </cell>
          <cell r="F13">
            <v>0.12398701331901731</v>
          </cell>
          <cell r="G13">
            <v>7.9565810229126011E-2</v>
          </cell>
          <cell r="H13">
            <v>0.1554402981723472</v>
          </cell>
          <cell r="I13">
            <v>0.14677799186469706</v>
          </cell>
          <cell r="J13">
            <v>0.1421772276669665</v>
          </cell>
          <cell r="K13">
            <v>0.14191431324897863</v>
          </cell>
          <cell r="L13">
            <v>0.16512526140121719</v>
          </cell>
          <cell r="M13">
            <v>0.17481734756761144</v>
          </cell>
          <cell r="N13">
            <v>0.16444885893067729</v>
          </cell>
        </row>
        <row r="14">
          <cell r="B14">
            <v>963</v>
          </cell>
          <cell r="C14">
            <v>1143</v>
          </cell>
          <cell r="D14">
            <v>1105</v>
          </cell>
          <cell r="E14">
            <v>1028</v>
          </cell>
          <cell r="F14">
            <v>1119</v>
          </cell>
          <cell r="G14">
            <v>1086</v>
          </cell>
          <cell r="H14">
            <v>695</v>
          </cell>
          <cell r="I14">
            <v>758</v>
          </cell>
          <cell r="J14">
            <v>886.92114347579206</v>
          </cell>
          <cell r="K14">
            <v>935.40314277899995</v>
          </cell>
          <cell r="L14">
            <v>819.006244450542</v>
          </cell>
          <cell r="M14">
            <v>852.20568550943881</v>
          </cell>
          <cell r="N14">
            <v>890.76000319542857</v>
          </cell>
        </row>
      </sheetData>
      <sheetData sheetId="3">
        <row r="5">
          <cell r="B5">
            <v>4839</v>
          </cell>
          <cell r="C5">
            <v>5291</v>
          </cell>
          <cell r="D5">
            <v>5651</v>
          </cell>
          <cell r="E5">
            <v>5126</v>
          </cell>
          <cell r="F5">
            <v>5555</v>
          </cell>
          <cell r="G5">
            <v>3697</v>
          </cell>
          <cell r="H5">
            <v>7667</v>
          </cell>
          <cell r="I5">
            <v>7573</v>
          </cell>
          <cell r="J5">
            <v>7835.4637790525148</v>
          </cell>
          <cell r="K5">
            <v>8156.1460429719991</v>
          </cell>
          <cell r="L5">
            <v>9950.0624791792743</v>
          </cell>
          <cell r="M5">
            <v>11205.67963039481</v>
          </cell>
          <cell r="N5">
            <v>11358.765785575451</v>
          </cell>
        </row>
        <row r="10">
          <cell r="B10">
            <v>28</v>
          </cell>
          <cell r="C10">
            <v>19</v>
          </cell>
          <cell r="D10">
            <v>59</v>
          </cell>
          <cell r="E10">
            <v>54</v>
          </cell>
          <cell r="F10">
            <v>49</v>
          </cell>
          <cell r="G10">
            <v>89</v>
          </cell>
          <cell r="H10">
            <v>262</v>
          </cell>
          <cell r="I10">
            <v>205</v>
          </cell>
        </row>
        <row r="13">
          <cell r="B13">
            <v>0.22164090368608799</v>
          </cell>
          <cell r="C13">
            <v>0.18667531905688947</v>
          </cell>
          <cell r="D13">
            <v>0.13221449038067951</v>
          </cell>
          <cell r="E13">
            <v>0.55306358381502885</v>
          </cell>
          <cell r="F13">
            <v>0.16079983336804832</v>
          </cell>
          <cell r="G13">
            <v>0.12054035330793211</v>
          </cell>
          <cell r="H13">
            <v>0.14021918630836211</v>
          </cell>
          <cell r="I13">
            <v>9.0963764847391368E-2</v>
          </cell>
        </row>
        <row r="14">
          <cell r="B14">
            <v>3273</v>
          </cell>
          <cell r="C14">
            <v>3760</v>
          </cell>
          <cell r="D14">
            <v>4240</v>
          </cell>
          <cell r="E14">
            <v>1933</v>
          </cell>
          <cell r="F14">
            <v>4029</v>
          </cell>
          <cell r="G14">
            <v>2539</v>
          </cell>
          <cell r="H14">
            <v>5727</v>
          </cell>
          <cell r="I14">
            <v>6046</v>
          </cell>
          <cell r="J14">
            <v>5602.4236980649066</v>
          </cell>
          <cell r="K14">
            <v>6556.4519931184341</v>
          </cell>
          <cell r="L14">
            <v>8180.7488952036256</v>
          </cell>
          <cell r="M14">
            <v>9314.2124986151048</v>
          </cell>
          <cell r="N14">
            <v>9417.927817586964</v>
          </cell>
        </row>
        <row r="15">
          <cell r="B15">
            <v>1768.8</v>
          </cell>
          <cell r="C15">
            <v>1742.5</v>
          </cell>
          <cell r="D15">
            <v>1692</v>
          </cell>
          <cell r="E15">
            <v>1659.1</v>
          </cell>
          <cell r="F15">
            <v>1618.4</v>
          </cell>
          <cell r="G15">
            <v>1591.6</v>
          </cell>
          <cell r="H15">
            <v>1609.4</v>
          </cell>
          <cell r="I15">
            <v>1610.8</v>
          </cell>
          <cell r="J15">
            <v>1584.6163051998954</v>
          </cell>
          <cell r="K15">
            <v>1557.3328952181864</v>
          </cell>
          <cell r="L15">
            <v>1528.7398815573554</v>
          </cell>
          <cell r="M15">
            <v>1498.860182281787</v>
          </cell>
          <cell r="N15">
            <v>1467.4864980424402</v>
          </cell>
        </row>
        <row r="16">
          <cell r="B16">
            <v>1.8504070556309362</v>
          </cell>
          <cell r="C16">
            <v>2.1578192252510759</v>
          </cell>
          <cell r="D16">
            <v>2.5059101654846336</v>
          </cell>
          <cell r="E16">
            <v>1.1650895063588693</v>
          </cell>
          <cell r="F16">
            <v>2.4894957983193278</v>
          </cell>
          <cell r="G16">
            <v>1.5952500628298569</v>
          </cell>
          <cell r="H16">
            <v>3.5584689946563937</v>
          </cell>
          <cell r="I16">
            <v>3.7534144524459898</v>
          </cell>
          <cell r="J16">
            <v>3.5355080467622573</v>
          </cell>
          <cell r="K16">
            <v>4.2100516936681398</v>
          </cell>
          <cell r="L16">
            <v>5.3513020716577016</v>
          </cell>
          <cell r="M16">
            <v>6.2141970336656955</v>
          </cell>
          <cell r="N16">
            <v>6.4177270660752574</v>
          </cell>
        </row>
        <row r="21">
          <cell r="B21">
            <v>3852</v>
          </cell>
          <cell r="C21">
            <v>3138</v>
          </cell>
          <cell r="D21">
            <v>3808</v>
          </cell>
          <cell r="E21">
            <v>4249</v>
          </cell>
          <cell r="F21">
            <v>4466</v>
          </cell>
          <cell r="G21">
            <v>8348</v>
          </cell>
          <cell r="H21">
            <v>9889</v>
          </cell>
          <cell r="I21">
            <v>8574</v>
          </cell>
          <cell r="J21">
            <v>7221.0687905313735</v>
          </cell>
          <cell r="K21">
            <v>6453.0695508979861</v>
          </cell>
          <cell r="L21">
            <v>7051.4556878889416</v>
          </cell>
          <cell r="M21">
            <v>8533.4915576560343</v>
          </cell>
          <cell r="N21">
            <v>9572.2043727742039</v>
          </cell>
        </row>
        <row r="33">
          <cell r="B33">
            <v>107</v>
          </cell>
          <cell r="C33">
            <v>44</v>
          </cell>
          <cell r="D33">
            <v>6</v>
          </cell>
          <cell r="E33">
            <v>6</v>
          </cell>
          <cell r="F33">
            <v>6</v>
          </cell>
          <cell r="G33">
            <v>3</v>
          </cell>
          <cell r="H33">
            <v>0</v>
          </cell>
          <cell r="I33">
            <v>500</v>
          </cell>
          <cell r="J33">
            <v>500</v>
          </cell>
          <cell r="K33">
            <v>500</v>
          </cell>
          <cell r="L33">
            <v>500</v>
          </cell>
          <cell r="M33">
            <v>500</v>
          </cell>
          <cell r="N33">
            <v>500</v>
          </cell>
        </row>
        <row r="34">
          <cell r="B34">
            <v>74</v>
          </cell>
          <cell r="C34">
            <v>1</v>
          </cell>
          <cell r="D34">
            <v>325</v>
          </cell>
          <cell r="E34">
            <v>336</v>
          </cell>
          <cell r="F34">
            <v>9</v>
          </cell>
          <cell r="G34">
            <v>248</v>
          </cell>
          <cell r="H34">
            <v>2</v>
          </cell>
          <cell r="I34">
            <v>10</v>
          </cell>
          <cell r="J34">
            <v>10</v>
          </cell>
          <cell r="K34">
            <v>10</v>
          </cell>
          <cell r="L34">
            <v>10</v>
          </cell>
          <cell r="M34">
            <v>10</v>
          </cell>
          <cell r="N34">
            <v>10</v>
          </cell>
        </row>
        <row r="36">
          <cell r="B36">
            <v>1079</v>
          </cell>
          <cell r="C36">
            <v>2010</v>
          </cell>
          <cell r="D36">
            <v>3471</v>
          </cell>
          <cell r="E36">
            <v>3468</v>
          </cell>
          <cell r="F36">
            <v>3464</v>
          </cell>
          <cell r="G36">
            <v>9406</v>
          </cell>
          <cell r="H36">
            <v>9413</v>
          </cell>
          <cell r="I36">
            <v>8920</v>
          </cell>
          <cell r="J36">
            <v>8920</v>
          </cell>
          <cell r="K36">
            <v>8920</v>
          </cell>
          <cell r="L36">
            <v>8920</v>
          </cell>
          <cell r="M36">
            <v>8920</v>
          </cell>
          <cell r="N36">
            <v>8920</v>
          </cell>
        </row>
        <row r="37">
          <cell r="B37">
            <v>0</v>
          </cell>
          <cell r="C37">
            <v>0</v>
          </cell>
          <cell r="D37">
            <v>0</v>
          </cell>
          <cell r="E37">
            <v>0</v>
          </cell>
          <cell r="F37">
            <v>0</v>
          </cell>
          <cell r="G37">
            <v>3358</v>
          </cell>
          <cell r="H37">
            <v>3398</v>
          </cell>
          <cell r="I37">
            <v>3197</v>
          </cell>
          <cell r="J37">
            <v>3197</v>
          </cell>
          <cell r="K37">
            <v>3197</v>
          </cell>
          <cell r="L37">
            <v>3197</v>
          </cell>
          <cell r="M37">
            <v>3197</v>
          </cell>
          <cell r="N37">
            <v>3197</v>
          </cell>
        </row>
        <row r="39">
          <cell r="B39">
            <v>12707</v>
          </cell>
          <cell r="C39">
            <v>12258</v>
          </cell>
          <cell r="D39">
            <v>12407</v>
          </cell>
          <cell r="E39">
            <v>9812</v>
          </cell>
          <cell r="F39">
            <v>9040</v>
          </cell>
          <cell r="G39">
            <v>8055</v>
          </cell>
          <cell r="H39">
            <v>12767</v>
          </cell>
          <cell r="I39">
            <v>15281</v>
          </cell>
          <cell r="J39">
            <v>16431.167185025974</v>
          </cell>
          <cell r="K39">
            <v>17389.375885365102</v>
          </cell>
          <cell r="L39">
            <v>19059.201201450345</v>
          </cell>
          <cell r="M39">
            <v>20183.726884213367</v>
          </cell>
          <cell r="N39">
            <v>20254.906645403942</v>
          </cell>
        </row>
        <row r="40">
          <cell r="B40">
            <v>3</v>
          </cell>
          <cell r="C40">
            <v>3</v>
          </cell>
          <cell r="D40">
            <v>3</v>
          </cell>
          <cell r="E40">
            <v>3</v>
          </cell>
          <cell r="F40">
            <v>3</v>
          </cell>
          <cell r="G40">
            <v>3</v>
          </cell>
          <cell r="H40">
            <v>3</v>
          </cell>
          <cell r="I40">
            <v>3</v>
          </cell>
          <cell r="J40">
            <v>3</v>
          </cell>
          <cell r="K40">
            <v>3</v>
          </cell>
          <cell r="L40">
            <v>3</v>
          </cell>
          <cell r="M40">
            <v>3</v>
          </cell>
          <cell r="N40">
            <v>3</v>
          </cell>
        </row>
        <row r="41">
          <cell r="B41">
            <v>4685</v>
          </cell>
          <cell r="C41">
            <v>4151</v>
          </cell>
          <cell r="D41">
            <v>3979</v>
          </cell>
          <cell r="E41">
            <v>3517</v>
          </cell>
          <cell r="F41">
            <v>1643</v>
          </cell>
          <cell r="G41">
            <v>-191</v>
          </cell>
          <cell r="H41">
            <v>3179</v>
          </cell>
          <cell r="I41">
            <v>3476</v>
          </cell>
          <cell r="J41">
            <v>4626.1671850259718</v>
          </cell>
          <cell r="K41">
            <v>5584.3758853651025</v>
          </cell>
          <cell r="L41">
            <v>7254.2012014503453</v>
          </cell>
          <cell r="M41">
            <v>8378.7268842133672</v>
          </cell>
          <cell r="N41">
            <v>8449.9066454039403</v>
          </cell>
        </row>
        <row r="42">
          <cell r="B42">
            <v>8019</v>
          </cell>
          <cell r="C42">
            <v>8104</v>
          </cell>
          <cell r="D42">
            <v>8425</v>
          </cell>
          <cell r="E42">
            <v>6292</v>
          </cell>
          <cell r="F42">
            <v>7394</v>
          </cell>
          <cell r="G42">
            <v>8243</v>
          </cell>
          <cell r="H42">
            <v>9585</v>
          </cell>
          <cell r="I42">
            <v>11802</v>
          </cell>
          <cell r="J42">
            <v>11802</v>
          </cell>
          <cell r="K42">
            <v>11802</v>
          </cell>
          <cell r="L42">
            <v>11802</v>
          </cell>
          <cell r="M42">
            <v>11802</v>
          </cell>
          <cell r="N42">
            <v>11802</v>
          </cell>
        </row>
        <row r="54">
          <cell r="B54">
            <v>5004</v>
          </cell>
          <cell r="C54">
            <v>3006</v>
          </cell>
          <cell r="D54">
            <v>2949</v>
          </cell>
          <cell r="E54">
            <v>3648</v>
          </cell>
          <cell r="F54">
            <v>2724</v>
          </cell>
          <cell r="G54">
            <v>857</v>
          </cell>
          <cell r="H54">
            <v>4889</v>
          </cell>
          <cell r="I54">
            <v>4046</v>
          </cell>
          <cell r="J54">
            <v>8759.8152806125872</v>
          </cell>
          <cell r="K54">
            <v>8559.5508333307171</v>
          </cell>
          <cell r="L54">
            <v>10434.758718320873</v>
          </cell>
          <cell r="M54">
            <v>11775.832457768265</v>
          </cell>
          <cell r="N54">
            <v>12214.814553176957</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
  <sheetViews>
    <sheetView tabSelected="1" workbookViewId="0">
      <selection activeCell="D30" sqref="D30"/>
    </sheetView>
  </sheetViews>
  <sheetFormatPr defaultRowHeight="15" x14ac:dyDescent="0.25"/>
  <cols>
    <col min="1" max="1" width="109.28515625" customWidth="1"/>
    <col min="4" max="4" width="52.5703125" bestFit="1" customWidth="1"/>
  </cols>
  <sheetData>
    <row r="1" spans="1:8" ht="46.9" customHeight="1" x14ac:dyDescent="0.35">
      <c r="A1" s="6" t="s">
        <v>15</v>
      </c>
      <c r="B1" s="6"/>
      <c r="C1" s="6"/>
      <c r="D1" s="6" t="s">
        <v>25</v>
      </c>
      <c r="E1" s="6"/>
      <c r="F1" s="6"/>
      <c r="G1" s="6"/>
      <c r="H1" s="6"/>
    </row>
    <row r="2" spans="1:8" x14ac:dyDescent="0.25">
      <c r="A2" s="87" t="s">
        <v>16</v>
      </c>
    </row>
    <row r="3" spans="1:8" x14ac:dyDescent="0.25">
      <c r="A3" s="88" t="s">
        <v>17</v>
      </c>
      <c r="D3" s="3"/>
      <c r="E3" s="3">
        <v>2022</v>
      </c>
      <c r="F3" s="3" t="s">
        <v>22</v>
      </c>
      <c r="G3" s="3" t="s">
        <v>23</v>
      </c>
      <c r="H3" s="1" t="s">
        <v>24</v>
      </c>
    </row>
    <row r="4" spans="1:8" x14ac:dyDescent="0.25">
      <c r="A4" s="88" t="s">
        <v>18</v>
      </c>
      <c r="D4" s="4" t="s">
        <v>1</v>
      </c>
      <c r="E4" s="7">
        <f>'Three Statements'!I3</f>
        <v>46710</v>
      </c>
      <c r="F4" s="7">
        <f>'Three Statements'!J3</f>
        <v>49988.319809474007</v>
      </c>
      <c r="G4" s="7">
        <f>'Three Statements'!K3</f>
        <v>52216.214311000003</v>
      </c>
      <c r="H4" s="7">
        <f>'Three Statements'!L3</f>
        <v>55721.778762632995</v>
      </c>
    </row>
    <row r="5" spans="1:8" x14ac:dyDescent="0.25">
      <c r="A5" s="87" t="s">
        <v>21</v>
      </c>
      <c r="D5" s="4" t="s">
        <v>5</v>
      </c>
      <c r="E5" s="7">
        <f>'Three Statements'!I5</f>
        <v>7573</v>
      </c>
      <c r="F5" s="7">
        <f>'Three Statements'!J5</f>
        <v>7835.4637790525148</v>
      </c>
      <c r="G5" s="7">
        <f>'Three Statements'!K5</f>
        <v>8156.1460429719991</v>
      </c>
      <c r="H5" s="7">
        <f>'Three Statements'!L5</f>
        <v>9950.0624791792743</v>
      </c>
    </row>
    <row r="6" spans="1:8" x14ac:dyDescent="0.25">
      <c r="A6" s="88" t="s">
        <v>19</v>
      </c>
      <c r="D6" s="4" t="s">
        <v>0</v>
      </c>
      <c r="E6" s="4">
        <v>3.75</v>
      </c>
      <c r="F6" s="4">
        <v>3.54</v>
      </c>
      <c r="G6" s="4">
        <v>4.21</v>
      </c>
      <c r="H6" s="2">
        <v>5.35</v>
      </c>
    </row>
    <row r="7" spans="1:8" x14ac:dyDescent="0.25">
      <c r="A7" t="s">
        <v>20</v>
      </c>
      <c r="D7" s="4" t="s">
        <v>6</v>
      </c>
      <c r="E7" s="7">
        <v>-18448</v>
      </c>
      <c r="F7" s="7">
        <v>-15795</v>
      </c>
      <c r="G7" s="7">
        <v>-13674</v>
      </c>
      <c r="H7" s="8">
        <v>-13505</v>
      </c>
    </row>
    <row r="8" spans="1:8" x14ac:dyDescent="0.25">
      <c r="D8" s="4" t="s">
        <v>7</v>
      </c>
      <c r="E8" s="4">
        <v>4046</v>
      </c>
      <c r="F8" s="4">
        <v>8760</v>
      </c>
      <c r="G8" s="4">
        <v>8560</v>
      </c>
      <c r="H8" s="2">
        <v>10435</v>
      </c>
    </row>
    <row r="9" spans="1:8" x14ac:dyDescent="0.25">
      <c r="D9" s="4" t="s">
        <v>4</v>
      </c>
      <c r="E9" s="86">
        <f>Schedules!I13</f>
        <v>0.3956547346377855</v>
      </c>
      <c r="F9" s="86">
        <f>Schedules!M13</f>
        <v>0.34096322160062364</v>
      </c>
      <c r="G9" s="86">
        <f>Schedules!N13</f>
        <v>0.37703779804060383</v>
      </c>
      <c r="H9" s="86">
        <f>Schedules!O13</f>
        <v>0.42922831910610693</v>
      </c>
    </row>
    <row r="10" spans="1:8" x14ac:dyDescent="0.25">
      <c r="D10" s="4" t="s">
        <v>2</v>
      </c>
      <c r="E10" s="84">
        <f>Schedules!$F$3/E6</f>
        <v>22.269777777777779</v>
      </c>
      <c r="F10" s="84">
        <f>Schedules!$F$3/F6</f>
        <v>23.590866290018834</v>
      </c>
      <c r="G10" s="84">
        <f>Schedules!$F$3/G6</f>
        <v>19.836500395882819</v>
      </c>
      <c r="H10" s="84">
        <f>Schedules!$F$3/H6</f>
        <v>15.609657320872277</v>
      </c>
    </row>
    <row r="11" spans="1:8" x14ac:dyDescent="0.25">
      <c r="D11" s="5" t="s">
        <v>3</v>
      </c>
      <c r="E11" s="85">
        <f>Schedules!$F$5/E5</f>
        <v>17.716662000968356</v>
      </c>
      <c r="F11" s="85">
        <f>Schedules!$F$5/F5</f>
        <v>17.123208672347069</v>
      </c>
      <c r="G11" s="85">
        <f>Schedules!$F$5/G5</f>
        <v>16.44996063415805</v>
      </c>
      <c r="H11" s="85">
        <f>Schedules!$F$5/H5</f>
        <v>13.484164708923531</v>
      </c>
    </row>
    <row r="15" spans="1:8" x14ac:dyDescent="0.25">
      <c r="D15" s="3"/>
      <c r="E15" s="3">
        <v>2022</v>
      </c>
      <c r="F15" s="3" t="s">
        <v>22</v>
      </c>
      <c r="G15" s="3" t="s">
        <v>23</v>
      </c>
      <c r="H15" s="1" t="s">
        <v>24</v>
      </c>
    </row>
    <row r="16" spans="1:8" x14ac:dyDescent="0.25">
      <c r="D16" s="4" t="s">
        <v>8</v>
      </c>
      <c r="E16" s="86">
        <f>'Three Statements'!I4</f>
        <v>4.8767344739323759E-2</v>
      </c>
      <c r="F16" s="86">
        <f>'Three Statements'!J4</f>
        <v>7.0184538845515038E-2</v>
      </c>
      <c r="G16" s="86">
        <f>'Three Statements'!K4</f>
        <v>4.4568301355544973E-2</v>
      </c>
      <c r="H16" s="86">
        <f>'Three Statements'!L4</f>
        <v>6.7135553541929238E-2</v>
      </c>
    </row>
    <row r="17" spans="4:8" x14ac:dyDescent="0.25">
      <c r="D17" s="4" t="s">
        <v>9</v>
      </c>
      <c r="E17" s="86">
        <f>'Three Statements'!I8</f>
        <v>-9.67788530983682E-3</v>
      </c>
      <c r="F17" s="86">
        <f>'Three Statements'!J8</f>
        <v>3.6639545834410203E-2</v>
      </c>
      <c r="G17" s="86">
        <f>'Three Statements'!K8</f>
        <v>4.2636683532452091E-2</v>
      </c>
      <c r="H17" s="86">
        <f>'Three Statements'!L8</f>
        <v>0.24167205685584281</v>
      </c>
    </row>
    <row r="18" spans="4:8" x14ac:dyDescent="0.25">
      <c r="D18" s="4" t="s">
        <v>10</v>
      </c>
      <c r="E18" s="86">
        <f>('Three Statements'!I14-'Three Statements'!H14)/('Three Statements'!H14)</f>
        <v>5.5701065130085561E-2</v>
      </c>
      <c r="F18" s="86">
        <f>('Three Statements'!J14-'Three Statements'!I14)/('Three Statements'!I14)</f>
        <v>-7.3366904058070365E-2</v>
      </c>
      <c r="G18" s="86">
        <f>('Three Statements'!K14-'Three Statements'!J14)/('Three Statements'!J14)</f>
        <v>0.17028849413568126</v>
      </c>
      <c r="H18" s="86">
        <f>('Three Statements'!L14-'Three Statements'!K14)/('Three Statements'!K14)</f>
        <v>0.24774022654173816</v>
      </c>
    </row>
    <row r="19" spans="4:8" x14ac:dyDescent="0.25">
      <c r="D19" s="4" t="s">
        <v>11</v>
      </c>
      <c r="E19" s="86">
        <f>IFERROR((E6-'Three Statements'!H16)/('Three Statements'!H16),"nm")</f>
        <v>5.3823991618648516E-2</v>
      </c>
      <c r="F19" s="86">
        <f t="shared" ref="F19:H19" si="0">IFERROR((F6-E6)/(E6),"nm")</f>
        <v>-5.5999999999999987E-2</v>
      </c>
      <c r="G19" s="86">
        <f t="shared" si="0"/>
        <v>0.18926553672316382</v>
      </c>
      <c r="H19" s="86">
        <f t="shared" si="0"/>
        <v>0.27078384798099753</v>
      </c>
    </row>
    <row r="20" spans="4:8" x14ac:dyDescent="0.25">
      <c r="D20" s="4" t="s">
        <v>12</v>
      </c>
      <c r="E20" s="86">
        <f>Sheet2!E5/Sheet2!E4</f>
        <v>0.16212802397773496</v>
      </c>
      <c r="F20" s="86">
        <f>Sheet2!F5/Sheet2!F4</f>
        <v>0.1567458920187092</v>
      </c>
      <c r="G20" s="86">
        <f>Sheet2!G5/Sheet2!G4</f>
        <v>0.15619948995907587</v>
      </c>
      <c r="H20" s="86">
        <f>Sheet2!H5/Sheet2!H4</f>
        <v>0.17856684944615914</v>
      </c>
    </row>
    <row r="21" spans="4:8" x14ac:dyDescent="0.25">
      <c r="D21" s="4" t="s">
        <v>13</v>
      </c>
      <c r="E21" s="86">
        <f>'Three Statements'!I9</f>
        <v>0.14677799186469706</v>
      </c>
      <c r="F21" s="86">
        <f>'Three Statements'!J9</f>
        <v>0.1421772276669665</v>
      </c>
      <c r="G21" s="86">
        <f>'Three Statements'!K9</f>
        <v>0.14191431324897863</v>
      </c>
      <c r="H21" s="86">
        <f>'Three Statements'!L9</f>
        <v>0.16512526140121719</v>
      </c>
    </row>
    <row r="22" spans="4:8" x14ac:dyDescent="0.25">
      <c r="D22" s="5" t="s">
        <v>14</v>
      </c>
      <c r="E22" s="89">
        <f>'Three Statements'!I14/'Three Statements'!I3</f>
        <v>0.12943695140226932</v>
      </c>
      <c r="F22" s="89">
        <f>'Three Statements'!J14/'Three Statements'!J3</f>
        <v>0.11207465502777532</v>
      </c>
      <c r="G22" s="89">
        <f>'Three Statements'!K14/'Three Statements'!K3</f>
        <v>0.12556352618878452</v>
      </c>
      <c r="H22" s="89">
        <f>'Three Statements'!L14/'Three Statements'!L3</f>
        <v>0.14681420939651757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E2853-73CD-4F49-B834-EC41FD1CAA37}">
  <dimension ref="A1:AB1001"/>
  <sheetViews>
    <sheetView zoomScaleNormal="100" workbookViewId="0">
      <selection activeCell="I54" sqref="I54"/>
    </sheetView>
  </sheetViews>
  <sheetFormatPr defaultColWidth="14.42578125" defaultRowHeight="15" customHeight="1" x14ac:dyDescent="0.25"/>
  <cols>
    <col min="1" max="1" width="48.7109375" customWidth="1"/>
    <col min="2" max="14" width="11.7109375" customWidth="1"/>
    <col min="15" max="15" width="26.42578125" customWidth="1"/>
    <col min="16" max="17" width="39.85546875" customWidth="1"/>
    <col min="18" max="18" width="17.42578125" customWidth="1"/>
    <col min="19" max="28" width="8.85546875" customWidth="1"/>
  </cols>
  <sheetData>
    <row r="1" spans="1:17" ht="60" customHeight="1" x14ac:dyDescent="0.25">
      <c r="A1" s="9" t="s">
        <v>26</v>
      </c>
      <c r="B1" s="10">
        <f t="shared" ref="B1:H1" si="0">+C1-1</f>
        <v>2015</v>
      </c>
      <c r="C1" s="10">
        <f t="shared" si="0"/>
        <v>2016</v>
      </c>
      <c r="D1" s="10">
        <f t="shared" si="0"/>
        <v>2017</v>
      </c>
      <c r="E1" s="10">
        <f t="shared" si="0"/>
        <v>2018</v>
      </c>
      <c r="F1" s="10">
        <f t="shared" si="0"/>
        <v>2019</v>
      </c>
      <c r="G1" s="10">
        <f t="shared" si="0"/>
        <v>2020</v>
      </c>
      <c r="H1" s="10">
        <f t="shared" si="0"/>
        <v>2021</v>
      </c>
      <c r="I1" s="10">
        <v>2022</v>
      </c>
      <c r="J1" s="11">
        <f t="shared" ref="J1:N1" si="1">+I1+1</f>
        <v>2023</v>
      </c>
      <c r="K1" s="11">
        <f t="shared" si="1"/>
        <v>2024</v>
      </c>
      <c r="L1" s="11">
        <f t="shared" si="1"/>
        <v>2025</v>
      </c>
      <c r="M1" s="11">
        <f t="shared" si="1"/>
        <v>2026</v>
      </c>
      <c r="N1" s="11">
        <f t="shared" si="1"/>
        <v>2027</v>
      </c>
      <c r="O1" s="11"/>
      <c r="P1" s="12"/>
      <c r="Q1" s="12" t="s">
        <v>27</v>
      </c>
    </row>
    <row r="2" spans="1:17" x14ac:dyDescent="0.25">
      <c r="A2" s="13" t="s">
        <v>28</v>
      </c>
      <c r="B2" s="13"/>
      <c r="C2" s="13"/>
      <c r="D2" s="13"/>
      <c r="E2" s="13"/>
      <c r="F2" s="13"/>
      <c r="G2" s="13"/>
      <c r="H2" s="13"/>
      <c r="I2" s="13"/>
      <c r="J2" s="11"/>
      <c r="K2" s="11"/>
      <c r="L2" s="11"/>
      <c r="M2" s="11"/>
      <c r="N2" s="11"/>
      <c r="O2" s="11"/>
    </row>
    <row r="3" spans="1:17" x14ac:dyDescent="0.25">
      <c r="A3" s="14" t="s">
        <v>1</v>
      </c>
      <c r="B3" s="15">
        <f>'[1]Segmental forecast'!B3</f>
        <v>30601</v>
      </c>
      <c r="C3" s="15">
        <f>'[1]Segmental forecast'!C3</f>
        <v>32376</v>
      </c>
      <c r="D3" s="15">
        <f>'[1]Segmental forecast'!D3</f>
        <v>34350</v>
      </c>
      <c r="E3" s="15">
        <f>'[1]Segmental forecast'!E3</f>
        <v>36397</v>
      </c>
      <c r="F3" s="15">
        <f>'[1]Segmental forecast'!F3</f>
        <v>39117</v>
      </c>
      <c r="G3" s="15">
        <f>'[1]Segmental forecast'!G3</f>
        <v>37403</v>
      </c>
      <c r="H3" s="15">
        <f>'[1]Segmental forecast'!H3</f>
        <v>44538</v>
      </c>
      <c r="I3" s="15">
        <f>'[1]Segmental forecast'!I3</f>
        <v>46710</v>
      </c>
      <c r="J3" s="15">
        <f>'[1]Segmental forecast'!J3</f>
        <v>49988.319809474007</v>
      </c>
      <c r="K3" s="15">
        <f>'[1]Segmental forecast'!K3</f>
        <v>52216.214311000003</v>
      </c>
      <c r="L3" s="15">
        <f>'[1]Segmental forecast'!L3</f>
        <v>55721.778762632995</v>
      </c>
      <c r="M3" s="15">
        <f>'[1]Segmental forecast'!M3</f>
        <v>59656.692256471688</v>
      </c>
      <c r="N3" s="15">
        <f>'[1]Segmental forecast'!N3</f>
        <v>64079.816985326739</v>
      </c>
      <c r="O3" s="15"/>
    </row>
    <row r="4" spans="1:17" x14ac:dyDescent="0.25">
      <c r="A4" s="16" t="s">
        <v>29</v>
      </c>
      <c r="B4" s="17" t="str">
        <f>'[1]Segmental forecast'!B4</f>
        <v>nm</v>
      </c>
      <c r="C4" s="17">
        <f>'[1]Segmental forecast'!C4</f>
        <v>5.8004640371229765E-2</v>
      </c>
      <c r="D4" s="17">
        <f>'[1]Segmental forecast'!D4</f>
        <v>6.0971089696071123E-2</v>
      </c>
      <c r="E4" s="17">
        <f>'[1]Segmental forecast'!E4</f>
        <v>5.95924308588065E-2</v>
      </c>
      <c r="F4" s="17">
        <f>'[1]Segmental forecast'!F4</f>
        <v>7.4731433909388079E-2</v>
      </c>
      <c r="G4" s="17">
        <f>'[1]Segmental forecast'!G4</f>
        <v>-4.3817266150267153E-2</v>
      </c>
      <c r="H4" s="17">
        <f>'[1]Segmental forecast'!H4</f>
        <v>0.19076009945726269</v>
      </c>
      <c r="I4" s="17">
        <f>'[1]Segmental forecast'!I4</f>
        <v>4.8767344739323759E-2</v>
      </c>
      <c r="J4" s="17">
        <f>(J3-I3)/I3</f>
        <v>7.0184538845515038E-2</v>
      </c>
      <c r="K4" s="17">
        <f t="shared" ref="K4:N4" si="2">(K3-J3)/J3</f>
        <v>4.4568301355544973E-2</v>
      </c>
      <c r="L4" s="17">
        <f t="shared" si="2"/>
        <v>6.7135553541929238E-2</v>
      </c>
      <c r="M4" s="17">
        <f t="shared" si="2"/>
        <v>7.0617155109151758E-2</v>
      </c>
      <c r="N4" s="17">
        <f t="shared" si="2"/>
        <v>7.4142976446623571E-2</v>
      </c>
      <c r="O4" s="17"/>
      <c r="P4" s="18"/>
      <c r="Q4" s="18"/>
    </row>
    <row r="5" spans="1:17" x14ac:dyDescent="0.25">
      <c r="A5" s="14" t="s">
        <v>30</v>
      </c>
      <c r="B5" s="15">
        <f>'[1]Segmental forecast'!B5</f>
        <v>4839</v>
      </c>
      <c r="C5" s="15">
        <f>'[1]Segmental forecast'!C5</f>
        <v>5291</v>
      </c>
      <c r="D5" s="15">
        <f>'[1]Segmental forecast'!D5</f>
        <v>5651</v>
      </c>
      <c r="E5" s="15">
        <f>'[1]Segmental forecast'!E5</f>
        <v>5126</v>
      </c>
      <c r="F5" s="15">
        <f>'[1]Segmental forecast'!F5</f>
        <v>5555</v>
      </c>
      <c r="G5" s="15">
        <f>'[1]Segmental forecast'!G5</f>
        <v>3697</v>
      </c>
      <c r="H5" s="15">
        <f>'[1]Segmental forecast'!H5</f>
        <v>7667</v>
      </c>
      <c r="I5" s="15">
        <f>'[1]Segmental forecast'!I5</f>
        <v>7573</v>
      </c>
      <c r="J5" s="15">
        <f>'[1]Segmental forecast'!J5</f>
        <v>7835.4637790525148</v>
      </c>
      <c r="K5" s="15">
        <f>'[1]Segmental forecast'!K5</f>
        <v>8156.1460429719991</v>
      </c>
      <c r="L5" s="15">
        <f>'[1]Segmental forecast'!L5</f>
        <v>9950.0624791792743</v>
      </c>
      <c r="M5" s="15">
        <f>'[1]Segmental forecast'!M5</f>
        <v>11205.67963039481</v>
      </c>
      <c r="N5" s="15">
        <f>'[1]Segmental forecast'!N5</f>
        <v>11358.765785575451</v>
      </c>
      <c r="O5" s="15"/>
    </row>
    <row r="6" spans="1:17" x14ac:dyDescent="0.25">
      <c r="A6" s="19" t="s">
        <v>31</v>
      </c>
      <c r="B6" s="20">
        <f>'[1]Segmental forecast'!B8</f>
        <v>606</v>
      </c>
      <c r="C6" s="20">
        <f>'[1]Segmental forecast'!C8</f>
        <v>649</v>
      </c>
      <c r="D6" s="20">
        <f>'[1]Segmental forecast'!D8</f>
        <v>706</v>
      </c>
      <c r="E6" s="20">
        <f>'[1]Segmental forecast'!E8</f>
        <v>747</v>
      </c>
      <c r="F6" s="20">
        <f>'[1]Segmental forecast'!F8</f>
        <v>705</v>
      </c>
      <c r="G6" s="20">
        <f>'[1]Segmental forecast'!G8</f>
        <v>721</v>
      </c>
      <c r="H6" s="20">
        <f>'[1]Segmental forecast'!H8</f>
        <v>744</v>
      </c>
      <c r="I6" s="20">
        <f>'[1]Segmental forecast'!I8</f>
        <v>717</v>
      </c>
      <c r="J6" s="20">
        <f>'[1]Segmental forecast'!J8</f>
        <v>728.26305281179623</v>
      </c>
      <c r="K6" s="20">
        <f>'[1]Segmental forecast'!K8</f>
        <v>745.91784856494326</v>
      </c>
      <c r="L6" s="20">
        <f>'[1]Segmental forecast'!L8</f>
        <v>748.9891952587069</v>
      </c>
      <c r="M6" s="20">
        <f>'[1]Segmental forecast'!M8</f>
        <v>776.65492546116491</v>
      </c>
      <c r="N6" s="20">
        <f>'[1]Segmental forecast'!N8</f>
        <v>820.91300185183536</v>
      </c>
      <c r="O6" s="20"/>
    </row>
    <row r="7" spans="1:17" x14ac:dyDescent="0.25">
      <c r="A7" s="21" t="s">
        <v>32</v>
      </c>
      <c r="B7" s="22">
        <f>'[1]Segmental forecast'!B11</f>
        <v>4233</v>
      </c>
      <c r="C7" s="22">
        <f>'[1]Segmental forecast'!C11</f>
        <v>4642</v>
      </c>
      <c r="D7" s="22">
        <f>'[1]Segmental forecast'!D11</f>
        <v>4945</v>
      </c>
      <c r="E7" s="22">
        <f>'[1]Segmental forecast'!E11</f>
        <v>4379</v>
      </c>
      <c r="F7" s="22">
        <f>'[1]Segmental forecast'!F11</f>
        <v>4850</v>
      </c>
      <c r="G7" s="22">
        <f>'[1]Segmental forecast'!G11</f>
        <v>2976</v>
      </c>
      <c r="H7" s="22">
        <f>'[1]Segmental forecast'!H11</f>
        <v>6923</v>
      </c>
      <c r="I7" s="22">
        <f>'[1]Segmental forecast'!I11</f>
        <v>6856</v>
      </c>
      <c r="J7" s="22">
        <f>'[1]Segmental forecast'!J11</f>
        <v>7107.2007262407169</v>
      </c>
      <c r="K7" s="22">
        <f>'[1]Segmental forecast'!K11</f>
        <v>7410.2281944070555</v>
      </c>
      <c r="L7" s="22">
        <f>'[1]Segmental forecast'!L11</f>
        <v>9201.0732839205666</v>
      </c>
      <c r="M7" s="22">
        <f>'[1]Segmental forecast'!M11</f>
        <v>10429.024704933645</v>
      </c>
      <c r="N7" s="22">
        <f>'[1]Segmental forecast'!N11</f>
        <v>10537.852783723616</v>
      </c>
      <c r="O7" s="15"/>
    </row>
    <row r="8" spans="1:17" x14ac:dyDescent="0.25">
      <c r="A8" s="16" t="s">
        <v>29</v>
      </c>
      <c r="B8" s="17" t="str">
        <f>'[1]Segmental forecast'!B12</f>
        <v>nm</v>
      </c>
      <c r="C8" s="17">
        <f>'[1]Segmental forecast'!C12</f>
        <v>9.6621781242617555E-2</v>
      </c>
      <c r="D8" s="17">
        <f>'[1]Segmental forecast'!D12</f>
        <v>6.5273588970271357E-2</v>
      </c>
      <c r="E8" s="17">
        <f>'[1]Segmental forecast'!E12</f>
        <v>-0.11445904954499497</v>
      </c>
      <c r="F8" s="17">
        <f>'[1]Segmental forecast'!F12</f>
        <v>0.10755880337976698</v>
      </c>
      <c r="G8" s="17">
        <f>'[1]Segmental forecast'!G12</f>
        <v>-0.38639175257731961</v>
      </c>
      <c r="H8" s="17">
        <f>'[1]Segmental forecast'!H12</f>
        <v>1.32627688172043</v>
      </c>
      <c r="I8" s="17">
        <f>'[1]Segmental forecast'!I12</f>
        <v>-9.67788530983682E-3</v>
      </c>
      <c r="J8" s="17">
        <f t="shared" ref="J8:N8" si="3">+IFERROR(J7/I7-1,"nm")</f>
        <v>3.6639545834410203E-2</v>
      </c>
      <c r="K8" s="17">
        <f t="shared" si="3"/>
        <v>4.2636683532452091E-2</v>
      </c>
      <c r="L8" s="17">
        <f t="shared" si="3"/>
        <v>0.24167205685584281</v>
      </c>
      <c r="M8" s="17">
        <f t="shared" si="3"/>
        <v>0.13345741123038302</v>
      </c>
      <c r="N8" s="17">
        <f t="shared" si="3"/>
        <v>1.0435115638232961E-2</v>
      </c>
      <c r="O8" s="17"/>
    </row>
    <row r="9" spans="1:17" x14ac:dyDescent="0.25">
      <c r="A9" s="16" t="s">
        <v>33</v>
      </c>
      <c r="B9" s="17">
        <f>'[1]Segmental forecast'!B13</f>
        <v>0.13832881278389594</v>
      </c>
      <c r="C9" s="17">
        <f>'[1]Segmental forecast'!C13</f>
        <v>0.14337781072399308</v>
      </c>
      <c r="D9" s="17">
        <f>'[1]Segmental forecast'!D13</f>
        <v>0.14395924308588065</v>
      </c>
      <c r="E9" s="17">
        <f>'[1]Segmental forecast'!E13</f>
        <v>0.12031211363573921</v>
      </c>
      <c r="F9" s="17">
        <f>'[1]Segmental forecast'!F13</f>
        <v>0.12398701331901731</v>
      </c>
      <c r="G9" s="17">
        <f>'[1]Segmental forecast'!G13</f>
        <v>7.9565810229126011E-2</v>
      </c>
      <c r="H9" s="17">
        <f>'[1]Segmental forecast'!H13</f>
        <v>0.1554402981723472</v>
      </c>
      <c r="I9" s="17">
        <f>'[1]Segmental forecast'!I13</f>
        <v>0.14677799186469706</v>
      </c>
      <c r="J9" s="17">
        <f>'[1]Segmental forecast'!J13</f>
        <v>0.1421772276669665</v>
      </c>
      <c r="K9" s="17">
        <f>'[1]Segmental forecast'!K13</f>
        <v>0.14191431324897863</v>
      </c>
      <c r="L9" s="17">
        <f>'[1]Segmental forecast'!L13</f>
        <v>0.16512526140121719</v>
      </c>
      <c r="M9" s="17">
        <f>'[1]Segmental forecast'!M13</f>
        <v>0.17481734756761144</v>
      </c>
      <c r="N9" s="17">
        <f>'[1]Segmental forecast'!N13</f>
        <v>0.16444885893067729</v>
      </c>
      <c r="O9" s="17"/>
    </row>
    <row r="10" spans="1:17" x14ac:dyDescent="0.25">
      <c r="A10" s="23" t="s">
        <v>34</v>
      </c>
      <c r="B10" s="20">
        <f>[1]Historicals!B8</f>
        <v>28</v>
      </c>
      <c r="C10" s="20">
        <f>[1]Historicals!C8</f>
        <v>19</v>
      </c>
      <c r="D10" s="20">
        <f>[1]Historicals!D8</f>
        <v>59</v>
      </c>
      <c r="E10" s="20">
        <f>[1]Historicals!E8</f>
        <v>54</v>
      </c>
      <c r="F10" s="20">
        <f>[1]Historicals!F8</f>
        <v>49</v>
      </c>
      <c r="G10" s="20">
        <f>[1]Historicals!G8</f>
        <v>89</v>
      </c>
      <c r="H10" s="20">
        <f>[1]Historicals!H8</f>
        <v>262</v>
      </c>
      <c r="I10" s="20">
        <f>[1]Historicals!I8</f>
        <v>205</v>
      </c>
      <c r="J10" s="20">
        <f>J50</f>
        <v>258.27199999999999</v>
      </c>
      <c r="K10" s="20">
        <f t="shared" ref="K10:N10" si="4">K50</f>
        <v>205.33589427690785</v>
      </c>
      <c r="L10" s="20">
        <f t="shared" si="4"/>
        <v>191.43793678001103</v>
      </c>
      <c r="M10" s="20">
        <f t="shared" si="4"/>
        <v>216.07240382059084</v>
      </c>
      <c r="N10" s="20">
        <f t="shared" si="4"/>
        <v>233.77420868317463</v>
      </c>
      <c r="O10" s="20"/>
    </row>
    <row r="11" spans="1:17" x14ac:dyDescent="0.25">
      <c r="A11" s="21" t="s">
        <v>35</v>
      </c>
      <c r="B11" s="22">
        <f t="shared" ref="B11:N11" si="5">B7-B10</f>
        <v>4205</v>
      </c>
      <c r="C11" s="22">
        <f t="shared" si="5"/>
        <v>4623</v>
      </c>
      <c r="D11" s="22">
        <f t="shared" si="5"/>
        <v>4886</v>
      </c>
      <c r="E11" s="22">
        <f t="shared" si="5"/>
        <v>4325</v>
      </c>
      <c r="F11" s="22">
        <f t="shared" si="5"/>
        <v>4801</v>
      </c>
      <c r="G11" s="22">
        <f t="shared" si="5"/>
        <v>2887</v>
      </c>
      <c r="H11" s="22">
        <f t="shared" si="5"/>
        <v>6661</v>
      </c>
      <c r="I11" s="22">
        <f t="shared" si="5"/>
        <v>6651</v>
      </c>
      <c r="J11" s="22">
        <f t="shared" si="5"/>
        <v>6848.928726240717</v>
      </c>
      <c r="K11" s="22">
        <f t="shared" si="5"/>
        <v>7204.8923001301473</v>
      </c>
      <c r="L11" s="22">
        <f t="shared" si="5"/>
        <v>9009.6353471405564</v>
      </c>
      <c r="M11" s="22">
        <f t="shared" si="5"/>
        <v>10212.952301113053</v>
      </c>
      <c r="N11" s="22">
        <f t="shared" si="5"/>
        <v>10304.078575040441</v>
      </c>
      <c r="O11" s="15"/>
    </row>
    <row r="12" spans="1:17" x14ac:dyDescent="0.25">
      <c r="A12" s="18" t="s">
        <v>36</v>
      </c>
      <c r="B12" s="20">
        <f>[1]Historicals!B11</f>
        <v>932</v>
      </c>
      <c r="C12" s="20">
        <f>[1]Historicals!C11</f>
        <v>863</v>
      </c>
      <c r="D12" s="20">
        <f>[1]Historicals!D11</f>
        <v>646</v>
      </c>
      <c r="E12" s="20">
        <f>[1]Historicals!E11</f>
        <v>2392</v>
      </c>
      <c r="F12" s="20">
        <f>[1]Historicals!F11</f>
        <v>772</v>
      </c>
      <c r="G12" s="20">
        <f>[1]Historicals!G11</f>
        <v>348</v>
      </c>
      <c r="H12" s="20">
        <f>[1]Historicals!H11</f>
        <v>934</v>
      </c>
      <c r="I12" s="20">
        <f>[1]Historicals!I11</f>
        <v>605</v>
      </c>
      <c r="J12" s="20">
        <f>J11*J13</f>
        <v>1246.5050281758104</v>
      </c>
      <c r="K12" s="20">
        <f t="shared" ref="K12:N12" si="6">K11*K13</f>
        <v>648.44030701171323</v>
      </c>
      <c r="L12" s="20">
        <f t="shared" si="6"/>
        <v>828.88645193693117</v>
      </c>
      <c r="M12" s="20">
        <f t="shared" si="6"/>
        <v>898.73980249794863</v>
      </c>
      <c r="N12" s="20">
        <f t="shared" si="6"/>
        <v>886.15075745347792</v>
      </c>
      <c r="O12" s="20"/>
    </row>
    <row r="13" spans="1:17" x14ac:dyDescent="0.25">
      <c r="A13" s="16" t="s">
        <v>37</v>
      </c>
      <c r="B13" s="17">
        <f t="shared" ref="B13:H13" si="7">B12/B11</f>
        <v>0.22164090368608799</v>
      </c>
      <c r="C13" s="17">
        <f t="shared" si="7"/>
        <v>0.18667531905688947</v>
      </c>
      <c r="D13" s="17">
        <f t="shared" si="7"/>
        <v>0.13221449038067951</v>
      </c>
      <c r="E13" s="17">
        <f t="shared" si="7"/>
        <v>0.55306358381502885</v>
      </c>
      <c r="F13" s="17">
        <f t="shared" si="7"/>
        <v>0.16079983336804832</v>
      </c>
      <c r="G13" s="17">
        <f t="shared" si="7"/>
        <v>0.12054035330793211</v>
      </c>
      <c r="H13" s="17">
        <f t="shared" si="7"/>
        <v>0.14021918630836211</v>
      </c>
      <c r="I13" s="17">
        <f>I12/I11</f>
        <v>9.0963764847391368E-2</v>
      </c>
      <c r="J13" s="24">
        <v>0.182</v>
      </c>
      <c r="K13" s="24">
        <v>0.09</v>
      </c>
      <c r="L13" s="24">
        <v>9.1999999999999998E-2</v>
      </c>
      <c r="M13" s="24">
        <v>8.7999999999999995E-2</v>
      </c>
      <c r="N13" s="24">
        <v>8.5999999999999993E-2</v>
      </c>
      <c r="O13" s="24"/>
      <c r="Q13" t="s">
        <v>38</v>
      </c>
    </row>
    <row r="14" spans="1:17" ht="15.75" thickBot="1" x14ac:dyDescent="0.3">
      <c r="A14" s="25" t="s">
        <v>39</v>
      </c>
      <c r="B14" s="26">
        <f t="shared" ref="B14:N14" si="8">B11-B12</f>
        <v>3273</v>
      </c>
      <c r="C14" s="26">
        <f t="shared" si="8"/>
        <v>3760</v>
      </c>
      <c r="D14" s="26">
        <f t="shared" si="8"/>
        <v>4240</v>
      </c>
      <c r="E14" s="26">
        <f t="shared" si="8"/>
        <v>1933</v>
      </c>
      <c r="F14" s="26">
        <f t="shared" si="8"/>
        <v>4029</v>
      </c>
      <c r="G14" s="26">
        <f t="shared" si="8"/>
        <v>2539</v>
      </c>
      <c r="H14" s="26">
        <f t="shared" si="8"/>
        <v>5727</v>
      </c>
      <c r="I14" s="26">
        <f t="shared" si="8"/>
        <v>6046</v>
      </c>
      <c r="J14" s="26">
        <f t="shared" si="8"/>
        <v>5602.4236980649066</v>
      </c>
      <c r="K14" s="26">
        <f t="shared" si="8"/>
        <v>6556.4519931184341</v>
      </c>
      <c r="L14" s="26">
        <f t="shared" si="8"/>
        <v>8180.7488952036256</v>
      </c>
      <c r="M14" s="26">
        <f t="shared" si="8"/>
        <v>9314.2124986151048</v>
      </c>
      <c r="N14" s="26">
        <f t="shared" si="8"/>
        <v>9417.927817586964</v>
      </c>
      <c r="O14" s="15"/>
    </row>
    <row r="15" spans="1:17" ht="15.75" thickTop="1" x14ac:dyDescent="0.25">
      <c r="A15" s="18" t="s">
        <v>40</v>
      </c>
      <c r="B15" s="20">
        <f>[1]Historicals!B18</f>
        <v>1768.8</v>
      </c>
      <c r="C15" s="20">
        <f>[1]Historicals!C18</f>
        <v>1742.5</v>
      </c>
      <c r="D15" s="20">
        <f>[1]Historicals!D18</f>
        <v>1692</v>
      </c>
      <c r="E15" s="20">
        <f>[1]Historicals!E18</f>
        <v>1659.1</v>
      </c>
      <c r="F15" s="20">
        <f>[1]Historicals!F18</f>
        <v>1618.4</v>
      </c>
      <c r="G15" s="20">
        <f>[1]Historicals!G18</f>
        <v>1591.6</v>
      </c>
      <c r="H15" s="20">
        <f>[1]Historicals!H18</f>
        <v>1609.4</v>
      </c>
      <c r="I15" s="20">
        <f>[1]Historicals!I18</f>
        <v>1610.8</v>
      </c>
      <c r="J15" s="20">
        <f>I15+(J60/114.81)</f>
        <v>1584.6163051998954</v>
      </c>
      <c r="K15" s="20">
        <f t="shared" ref="K15:N15" si="9">J15+(K60/114.81)</f>
        <v>1557.3328952181864</v>
      </c>
      <c r="L15" s="20">
        <f t="shared" si="9"/>
        <v>1528.7398815573554</v>
      </c>
      <c r="M15" s="20">
        <f t="shared" si="9"/>
        <v>1498.860182281787</v>
      </c>
      <c r="N15" s="20">
        <f t="shared" si="9"/>
        <v>1467.4864980424402</v>
      </c>
      <c r="O15" s="20"/>
      <c r="P15" s="27" t="s">
        <v>41</v>
      </c>
    </row>
    <row r="16" spans="1:17" x14ac:dyDescent="0.25">
      <c r="A16" s="18" t="s">
        <v>0</v>
      </c>
      <c r="B16" s="28">
        <f t="shared" ref="B16:N16" si="10">B14/B15</f>
        <v>1.8504070556309362</v>
      </c>
      <c r="C16" s="28">
        <f t="shared" si="10"/>
        <v>2.1578192252510759</v>
      </c>
      <c r="D16" s="28">
        <f t="shared" si="10"/>
        <v>2.5059101654846336</v>
      </c>
      <c r="E16" s="28">
        <f t="shared" si="10"/>
        <v>1.1650895063588693</v>
      </c>
      <c r="F16" s="28">
        <f t="shared" si="10"/>
        <v>2.4894957983193278</v>
      </c>
      <c r="G16" s="28">
        <f t="shared" si="10"/>
        <v>1.5952500628298569</v>
      </c>
      <c r="H16" s="28">
        <f t="shared" si="10"/>
        <v>3.5584689946563937</v>
      </c>
      <c r="I16" s="28">
        <f t="shared" si="10"/>
        <v>3.7534144524459898</v>
      </c>
      <c r="J16" s="28">
        <f>J14/J15</f>
        <v>3.5355080467622573</v>
      </c>
      <c r="K16" s="28">
        <f t="shared" si="10"/>
        <v>4.2100516936681398</v>
      </c>
      <c r="L16" s="28">
        <f t="shared" si="10"/>
        <v>5.3513020716577016</v>
      </c>
      <c r="M16" s="28">
        <f t="shared" si="10"/>
        <v>6.2141970336656955</v>
      </c>
      <c r="N16" s="28">
        <f t="shared" si="10"/>
        <v>6.4177270660752574</v>
      </c>
      <c r="O16" s="28"/>
      <c r="P16" s="29"/>
    </row>
    <row r="17" spans="1:17" x14ac:dyDescent="0.25">
      <c r="A17" s="18" t="s">
        <v>42</v>
      </c>
      <c r="B17" s="28">
        <f>B19*B16</f>
        <v>0.50825418362731789</v>
      </c>
      <c r="C17" s="28">
        <f t="shared" ref="C17:I17" si="11">C19*C16</f>
        <v>0.58651362984218069</v>
      </c>
      <c r="D17" s="28">
        <f t="shared" si="11"/>
        <v>0.66962174940898345</v>
      </c>
      <c r="E17" s="28">
        <f t="shared" si="11"/>
        <v>0.74920137423904531</v>
      </c>
      <c r="F17" s="28">
        <f t="shared" si="11"/>
        <v>0.82303509639149786</v>
      </c>
      <c r="G17" s="28">
        <f t="shared" si="11"/>
        <v>0.9122895199798946</v>
      </c>
      <c r="H17" s="28">
        <f t="shared" si="11"/>
        <v>1.0177705977382876</v>
      </c>
      <c r="I17" s="28">
        <f t="shared" si="11"/>
        <v>1.1404271169605165</v>
      </c>
      <c r="J17" s="28">
        <f>3.5*J19</f>
        <v>1.2809999999999999</v>
      </c>
      <c r="K17" s="28">
        <f>4.08*K19</f>
        <v>1.3872000000000002</v>
      </c>
      <c r="L17" s="28">
        <f>5.07*L19</f>
        <v>1.54128</v>
      </c>
      <c r="M17" s="28">
        <f>5.74*M19</f>
        <v>1.6645999999999999</v>
      </c>
      <c r="N17" s="28">
        <f>5.79*N19</f>
        <v>1.7948999999999999</v>
      </c>
      <c r="O17" s="28"/>
      <c r="P17" s="27" t="s">
        <v>43</v>
      </c>
      <c r="Q17" s="18" t="s">
        <v>44</v>
      </c>
    </row>
    <row r="18" spans="1:17" x14ac:dyDescent="0.25">
      <c r="A18" s="16" t="s">
        <v>29</v>
      </c>
      <c r="B18" s="17" t="str">
        <f t="shared" ref="B18:N18" si="12">+IFERROR(B17/A17-1,"nm")</f>
        <v>nm</v>
      </c>
      <c r="C18" s="17">
        <f t="shared" si="12"/>
        <v>0.15397698383186809</v>
      </c>
      <c r="D18" s="17">
        <f t="shared" si="12"/>
        <v>0.14169853067040483</v>
      </c>
      <c r="E18" s="17">
        <f t="shared" si="12"/>
        <v>0.11884265243818604</v>
      </c>
      <c r="F18" s="17">
        <f t="shared" si="12"/>
        <v>9.854990219077564E-2</v>
      </c>
      <c r="G18" s="17">
        <f t="shared" si="12"/>
        <v>0.10844546481641237</v>
      </c>
      <c r="H18" s="17">
        <f t="shared" si="12"/>
        <v>0.11562237146023291</v>
      </c>
      <c r="I18" s="17">
        <f t="shared" si="12"/>
        <v>0.12051489745803123</v>
      </c>
      <c r="J18" s="17">
        <f t="shared" si="12"/>
        <v>0.12326336418072947</v>
      </c>
      <c r="K18" s="17">
        <f t="shared" si="12"/>
        <v>8.2903981264637272E-2</v>
      </c>
      <c r="L18" s="17">
        <f t="shared" si="12"/>
        <v>0.11107266435986141</v>
      </c>
      <c r="M18" s="17">
        <f t="shared" si="12"/>
        <v>8.0011419080245005E-2</v>
      </c>
      <c r="N18" s="17">
        <f t="shared" si="12"/>
        <v>7.8277063558813031E-2</v>
      </c>
      <c r="O18" s="17"/>
      <c r="P18" s="29"/>
    </row>
    <row r="19" spans="1:17" x14ac:dyDescent="0.25">
      <c r="A19" s="16" t="s">
        <v>45</v>
      </c>
      <c r="B19" s="17">
        <f>ABS(B62/B14)</f>
        <v>0.27467155514818209</v>
      </c>
      <c r="C19" s="17">
        <f t="shared" ref="C19:I19" si="13">ABS(C62/C14)</f>
        <v>0.27180851063829786</v>
      </c>
      <c r="D19" s="17">
        <f t="shared" si="13"/>
        <v>0.26721698113207548</v>
      </c>
      <c r="E19" s="17">
        <f t="shared" si="13"/>
        <v>0.64304190377651316</v>
      </c>
      <c r="F19" s="17">
        <f t="shared" si="13"/>
        <v>0.33060312732688013</v>
      </c>
      <c r="G19" s="17">
        <f t="shared" si="13"/>
        <v>0.57187869239858213</v>
      </c>
      <c r="H19" s="17">
        <f t="shared" si="13"/>
        <v>0.286013619696176</v>
      </c>
      <c r="I19" s="17">
        <f t="shared" si="13"/>
        <v>0.30383724776711873</v>
      </c>
      <c r="J19" s="17">
        <v>0.36599999999999999</v>
      </c>
      <c r="K19" s="17">
        <v>0.34</v>
      </c>
      <c r="L19" s="17">
        <v>0.30399999999999999</v>
      </c>
      <c r="M19" s="17">
        <v>0.28999999999999998</v>
      </c>
      <c r="N19" s="17">
        <v>0.31</v>
      </c>
      <c r="O19" s="17"/>
      <c r="P19" s="27" t="s">
        <v>46</v>
      </c>
    </row>
    <row r="20" spans="1:17" x14ac:dyDescent="0.25">
      <c r="A20" s="30" t="s">
        <v>47</v>
      </c>
      <c r="B20" s="13"/>
      <c r="C20" s="13"/>
      <c r="D20" s="13"/>
      <c r="E20" s="13"/>
      <c r="F20" s="13"/>
      <c r="G20" s="13"/>
      <c r="H20" s="13"/>
      <c r="I20" s="13"/>
      <c r="J20" s="11"/>
      <c r="K20" s="11"/>
      <c r="L20" s="11"/>
      <c r="M20" s="11"/>
      <c r="N20" s="11"/>
      <c r="O20" s="11"/>
    </row>
    <row r="21" spans="1:17" ht="15.75" customHeight="1" x14ac:dyDescent="0.25">
      <c r="A21" s="18" t="s">
        <v>48</v>
      </c>
      <c r="B21" s="20">
        <f>[1]Historicals!B25</f>
        <v>3852</v>
      </c>
      <c r="C21" s="20">
        <f>[1]Historicals!C25</f>
        <v>3138</v>
      </c>
      <c r="D21" s="20">
        <f>[1]Historicals!D25</f>
        <v>3808</v>
      </c>
      <c r="E21" s="20">
        <f>[1]Historicals!E25</f>
        <v>4249</v>
      </c>
      <c r="F21" s="20">
        <f>[1]Historicals!F25</f>
        <v>4466</v>
      </c>
      <c r="G21" s="20">
        <f>[1]Historicals!G25</f>
        <v>8348</v>
      </c>
      <c r="H21" s="20">
        <f>[1]Historicals!H25</f>
        <v>9889</v>
      </c>
      <c r="I21" s="20">
        <f>[1]Historicals!I25</f>
        <v>8574</v>
      </c>
      <c r="J21" s="20">
        <f>J69</f>
        <v>7221.0687905313735</v>
      </c>
      <c r="K21" s="20">
        <f t="shared" ref="K21:N21" si="14">K69</f>
        <v>6453.0695508979861</v>
      </c>
      <c r="L21" s="20">
        <f t="shared" si="14"/>
        <v>7051.4556878889416</v>
      </c>
      <c r="M21" s="20">
        <f t="shared" si="14"/>
        <v>8533.4915576560343</v>
      </c>
      <c r="N21" s="20">
        <f t="shared" si="14"/>
        <v>9572.2043727742039</v>
      </c>
      <c r="O21" s="20"/>
    </row>
    <row r="22" spans="1:17" ht="15.75" customHeight="1" x14ac:dyDescent="0.25">
      <c r="A22" s="18" t="s">
        <v>49</v>
      </c>
      <c r="B22" s="20">
        <f>[1]Historicals!B26</f>
        <v>2072</v>
      </c>
      <c r="C22" s="20">
        <f>[1]Historicals!C26</f>
        <v>2319</v>
      </c>
      <c r="D22" s="20">
        <f>[1]Historicals!D26</f>
        <v>2371</v>
      </c>
      <c r="E22" s="20">
        <f>[1]Historicals!E26</f>
        <v>996</v>
      </c>
      <c r="F22" s="20">
        <f>[1]Historicals!F26</f>
        <v>197</v>
      </c>
      <c r="G22" s="20">
        <f>[1]Historicals!G26</f>
        <v>439</v>
      </c>
      <c r="H22" s="20">
        <f>[1]Historicals!H26</f>
        <v>3587</v>
      </c>
      <c r="I22" s="20">
        <f>[1]Historicals!I26</f>
        <v>4423</v>
      </c>
      <c r="J22" s="20">
        <v>4423</v>
      </c>
      <c r="K22" s="20">
        <v>4423</v>
      </c>
      <c r="L22" s="20">
        <v>4423</v>
      </c>
      <c r="M22" s="20">
        <v>4423</v>
      </c>
      <c r="N22" s="20">
        <v>4423</v>
      </c>
      <c r="O22" s="20"/>
    </row>
    <row r="23" spans="1:17" ht="15.75" customHeight="1" x14ac:dyDescent="0.25">
      <c r="A23" s="18" t="s">
        <v>50</v>
      </c>
      <c r="B23" s="20">
        <f>[1]Historicals!B28+[1]Historicals!B27-[1]Historicals!B41</f>
        <v>5564</v>
      </c>
      <c r="C23" s="20">
        <f>[1]Historicals!C28+[1]Historicals!C27-[1]Historicals!C41</f>
        <v>5888</v>
      </c>
      <c r="D23" s="20">
        <f>[1]Historicals!D28+[1]Historicals!D27-[1]Historicals!D41</f>
        <v>6684</v>
      </c>
      <c r="E23" s="20">
        <f>[1]Historicals!E28+[1]Historicals!E27-[1]Historicals!E41</f>
        <v>6480</v>
      </c>
      <c r="F23" s="20">
        <f>[1]Historicals!F28+[1]Historicals!F27-[1]Historicals!F41</f>
        <v>7282</v>
      </c>
      <c r="G23" s="20">
        <f>[1]Historicals!G28+[1]Historicals!G27-[1]Historicals!G41</f>
        <v>7868</v>
      </c>
      <c r="H23" s="20">
        <f>[1]Historicals!H28+[1]Historicals!H27-[1]Historicals!H41</f>
        <v>8481</v>
      </c>
      <c r="I23" s="20">
        <f>[1]Historicals!I28+[1]Historicals!I27-[1]Historicals!I41</f>
        <v>9729</v>
      </c>
      <c r="J23" s="20">
        <f>J24*J3</f>
        <v>10997.430358084282</v>
      </c>
      <c r="K23" s="20">
        <f t="shared" ref="K23:N23" si="15">K24*K3</f>
        <v>11696.432005664001</v>
      </c>
      <c r="L23" s="20">
        <f t="shared" si="15"/>
        <v>12593.122000355057</v>
      </c>
      <c r="M23" s="20">
        <f t="shared" si="15"/>
        <v>13542.069142219074</v>
      </c>
      <c r="N23" s="20">
        <f t="shared" si="15"/>
        <v>14738.357906625151</v>
      </c>
      <c r="O23" s="20"/>
    </row>
    <row r="24" spans="1:17" ht="15.75" customHeight="1" x14ac:dyDescent="0.25">
      <c r="A24" s="16" t="s">
        <v>51</v>
      </c>
      <c r="B24" s="17">
        <f t="shared" ref="B24:I24" si="16">+IFERROR(B23/B$3,"nm")</f>
        <v>0.18182412339466031</v>
      </c>
      <c r="C24" s="17">
        <f t="shared" si="16"/>
        <v>0.1818631084754139</v>
      </c>
      <c r="D24" s="17">
        <f t="shared" si="16"/>
        <v>0.19458515283842795</v>
      </c>
      <c r="E24" s="17">
        <f t="shared" si="16"/>
        <v>0.17803665137236585</v>
      </c>
      <c r="F24" s="17">
        <f t="shared" si="16"/>
        <v>0.18615947030702765</v>
      </c>
      <c r="G24" s="17">
        <f t="shared" si="16"/>
        <v>0.21035745795791783</v>
      </c>
      <c r="H24" s="17">
        <f t="shared" si="16"/>
        <v>0.19042166240064665</v>
      </c>
      <c r="I24" s="17">
        <f t="shared" si="16"/>
        <v>0.20828516377649325</v>
      </c>
      <c r="J24" s="24">
        <v>0.22</v>
      </c>
      <c r="K24" s="24">
        <v>0.224</v>
      </c>
      <c r="L24" s="24">
        <v>0.22600000000000001</v>
      </c>
      <c r="M24" s="24">
        <v>0.22700000000000001</v>
      </c>
      <c r="N24" s="24">
        <v>0.23</v>
      </c>
      <c r="O24" s="24"/>
      <c r="Q24" t="s">
        <v>52</v>
      </c>
    </row>
    <row r="25" spans="1:17" ht="15.75" customHeight="1" x14ac:dyDescent="0.25">
      <c r="A25" s="18" t="s">
        <v>53</v>
      </c>
      <c r="B25" s="20">
        <f>[1]Historicals!B29</f>
        <v>1968</v>
      </c>
      <c r="C25" s="20">
        <f>[1]Historicals!C29</f>
        <v>1489</v>
      </c>
      <c r="D25" s="20">
        <f>[1]Historicals!D29</f>
        <v>1150</v>
      </c>
      <c r="E25" s="20">
        <f>[1]Historicals!E29</f>
        <v>1130</v>
      </c>
      <c r="F25" s="20">
        <f>[1]Historicals!F29</f>
        <v>1968</v>
      </c>
      <c r="G25" s="20">
        <f>[1]Historicals!G29</f>
        <v>1653</v>
      </c>
      <c r="H25" s="20">
        <f>[1]Historicals!H29</f>
        <v>1498</v>
      </c>
      <c r="I25" s="20">
        <f>[1]Historicals!I29</f>
        <v>2129</v>
      </c>
      <c r="J25" s="20">
        <v>2129</v>
      </c>
      <c r="K25" s="20">
        <v>2129</v>
      </c>
      <c r="L25" s="20">
        <v>2129</v>
      </c>
      <c r="M25" s="20">
        <v>2129</v>
      </c>
      <c r="N25" s="20">
        <v>2129</v>
      </c>
      <c r="O25" s="20"/>
    </row>
    <row r="26" spans="1:17" ht="15.75" customHeight="1" x14ac:dyDescent="0.25">
      <c r="A26" s="18" t="s">
        <v>54</v>
      </c>
      <c r="B26" s="20">
        <f>[1]Historicals!B31</f>
        <v>3011</v>
      </c>
      <c r="C26" s="20">
        <f>[1]Historicals!C31</f>
        <v>3520</v>
      </c>
      <c r="D26" s="20">
        <f>[1]Historicals!D31</f>
        <v>3989</v>
      </c>
      <c r="E26" s="20">
        <f>[1]Historicals!E31</f>
        <v>4454</v>
      </c>
      <c r="F26" s="20">
        <f>[1]Historicals!F31</f>
        <v>4744</v>
      </c>
      <c r="G26" s="20">
        <f>[1]Historicals!G31</f>
        <v>4866</v>
      </c>
      <c r="H26" s="20">
        <f>[1]Historicals!H31</f>
        <v>4904</v>
      </c>
      <c r="I26" s="20">
        <f>[1]Historicals!I31</f>
        <v>4791</v>
      </c>
      <c r="J26" s="20">
        <v>4791</v>
      </c>
      <c r="K26" s="20">
        <v>4791</v>
      </c>
      <c r="L26" s="20">
        <v>4791</v>
      </c>
      <c r="M26" s="20">
        <v>4791</v>
      </c>
      <c r="N26" s="20">
        <v>4791</v>
      </c>
      <c r="O26" s="20"/>
    </row>
    <row r="27" spans="1:17" ht="15.75" customHeight="1" x14ac:dyDescent="0.25">
      <c r="A27" s="18" t="s">
        <v>55</v>
      </c>
      <c r="B27" s="20">
        <f>[1]Historicals!B33</f>
        <v>281</v>
      </c>
      <c r="C27" s="20">
        <f>[1]Historicals!C33</f>
        <v>281</v>
      </c>
      <c r="D27" s="20">
        <f>[1]Historicals!D33</f>
        <v>283</v>
      </c>
      <c r="E27" s="20">
        <f>[1]Historicals!E33</f>
        <v>285</v>
      </c>
      <c r="F27" s="20">
        <f>[1]Historicals!F33</f>
        <v>283</v>
      </c>
      <c r="G27" s="20">
        <f>[1]Historicals!G33</f>
        <v>274</v>
      </c>
      <c r="H27" s="20">
        <f>[1]Historicals!H33</f>
        <v>269</v>
      </c>
      <c r="I27" s="20">
        <f>[1]Historicals!I33</f>
        <v>286</v>
      </c>
      <c r="J27" s="20">
        <v>286</v>
      </c>
      <c r="K27" s="20">
        <v>286</v>
      </c>
      <c r="L27" s="20">
        <v>286</v>
      </c>
      <c r="M27" s="20">
        <v>286</v>
      </c>
      <c r="N27" s="20">
        <v>286</v>
      </c>
      <c r="O27" s="20"/>
    </row>
    <row r="28" spans="1:17" ht="15.75" customHeight="1" x14ac:dyDescent="0.25">
      <c r="A28" s="18" t="s">
        <v>56</v>
      </c>
      <c r="B28" s="20">
        <f>[1]Historicals!B34</f>
        <v>131</v>
      </c>
      <c r="C28" s="20">
        <f>[1]Historicals!C34</f>
        <v>131</v>
      </c>
      <c r="D28" s="20">
        <f>[1]Historicals!D34</f>
        <v>139</v>
      </c>
      <c r="E28" s="20">
        <f>[1]Historicals!E34</f>
        <v>154</v>
      </c>
      <c r="F28" s="20">
        <f>[1]Historicals!F34</f>
        <v>154</v>
      </c>
      <c r="G28" s="20">
        <f>[1]Historicals!G34</f>
        <v>223</v>
      </c>
      <c r="H28" s="20">
        <f>[1]Historicals!H34</f>
        <v>242</v>
      </c>
      <c r="I28" s="20">
        <f>[1]Historicals!I34</f>
        <v>284</v>
      </c>
      <c r="J28" s="20">
        <v>284</v>
      </c>
      <c r="K28" s="20">
        <v>284</v>
      </c>
      <c r="L28" s="20">
        <v>284</v>
      </c>
      <c r="M28" s="20">
        <v>284</v>
      </c>
      <c r="N28" s="20">
        <v>284</v>
      </c>
      <c r="O28" s="20"/>
    </row>
    <row r="29" spans="1:17" ht="15.75" customHeight="1" x14ac:dyDescent="0.25">
      <c r="A29" s="23" t="s">
        <v>57</v>
      </c>
      <c r="B29" s="20">
        <f>[1]Historicals!B32</f>
        <v>0</v>
      </c>
      <c r="C29" s="20">
        <f>[1]Historicals!C32</f>
        <v>0</v>
      </c>
      <c r="D29" s="20">
        <f>[1]Historicals!D32</f>
        <v>0</v>
      </c>
      <c r="E29" s="20">
        <f>[1]Historicals!E32</f>
        <v>0</v>
      </c>
      <c r="F29" s="20">
        <f>[1]Historicals!F32</f>
        <v>0</v>
      </c>
      <c r="G29" s="20">
        <f>[1]Historicals!G32</f>
        <v>3097</v>
      </c>
      <c r="H29" s="20">
        <f>[1]Historicals!H32</f>
        <v>3113</v>
      </c>
      <c r="I29" s="20">
        <f>[1]Historicals!I32</f>
        <v>2926</v>
      </c>
      <c r="J29" s="20">
        <v>2926</v>
      </c>
      <c r="K29" s="20">
        <v>2926</v>
      </c>
      <c r="L29" s="20">
        <v>2926</v>
      </c>
      <c r="M29" s="20">
        <v>2926</v>
      </c>
      <c r="N29" s="20">
        <v>2926</v>
      </c>
      <c r="O29" s="20"/>
    </row>
    <row r="30" spans="1:17" ht="15.75" customHeight="1" x14ac:dyDescent="0.25">
      <c r="A30" s="18" t="s">
        <v>58</v>
      </c>
      <c r="B30" s="20">
        <f>[1]Historicals!B35</f>
        <v>2587</v>
      </c>
      <c r="C30" s="20">
        <f>[1]Historicals!C35</f>
        <v>2439</v>
      </c>
      <c r="D30" s="20">
        <f>[1]Historicals!D35</f>
        <v>2787</v>
      </c>
      <c r="E30" s="20">
        <f>[1]Historicals!E35</f>
        <v>2509</v>
      </c>
      <c r="F30" s="20">
        <f>[1]Historicals!F35</f>
        <v>2011</v>
      </c>
      <c r="G30" s="20">
        <f>[1]Historicals!G35</f>
        <v>2326</v>
      </c>
      <c r="H30" s="20">
        <f>[1]Historicals!H35</f>
        <v>2921</v>
      </c>
      <c r="I30" s="20">
        <f>[1]Historicals!I35</f>
        <v>3821</v>
      </c>
      <c r="J30" s="20">
        <v>3821</v>
      </c>
      <c r="K30" s="20">
        <v>3821</v>
      </c>
      <c r="L30" s="20">
        <v>3821</v>
      </c>
      <c r="M30" s="20">
        <v>3821</v>
      </c>
      <c r="N30" s="20">
        <v>3821</v>
      </c>
      <c r="O30" s="20"/>
    </row>
    <row r="31" spans="1:17" ht="15.75" customHeight="1" thickBot="1" x14ac:dyDescent="0.3">
      <c r="A31" s="25" t="s">
        <v>59</v>
      </c>
      <c r="B31" s="26">
        <f t="shared" ref="B31:I31" si="17">B21+B22+B23+B25+B26+B27+B28+B29+B30</f>
        <v>19466</v>
      </c>
      <c r="C31" s="26">
        <f t="shared" si="17"/>
        <v>19205</v>
      </c>
      <c r="D31" s="26">
        <f t="shared" si="17"/>
        <v>21211</v>
      </c>
      <c r="E31" s="26">
        <f t="shared" si="17"/>
        <v>20257</v>
      </c>
      <c r="F31" s="26">
        <f t="shared" si="17"/>
        <v>21105</v>
      </c>
      <c r="G31" s="26">
        <f t="shared" si="17"/>
        <v>29094</v>
      </c>
      <c r="H31" s="26">
        <f t="shared" si="17"/>
        <v>34904</v>
      </c>
      <c r="I31" s="26">
        <f t="shared" si="17"/>
        <v>36963</v>
      </c>
      <c r="J31" s="26">
        <f>I31+(-J53)-J6</f>
        <v>37121.658090663994</v>
      </c>
      <c r="K31" s="26">
        <f t="shared" ref="K31:N31" si="18">J31+(-K53)-K6</f>
        <v>37311.143384878051</v>
      </c>
      <c r="L31" s="26">
        <f>K31+(-L53)-L6</f>
        <v>37381.160434069883</v>
      </c>
      <c r="M31" s="26">
        <f t="shared" si="18"/>
        <v>37456.711194118157</v>
      </c>
      <c r="N31" s="26">
        <f t="shared" si="18"/>
        <v>37526.558195461752</v>
      </c>
      <c r="O31" s="15"/>
    </row>
    <row r="32" spans="1:17" ht="15.75" customHeight="1" thickTop="1" x14ac:dyDescent="0.25">
      <c r="A32" s="18" t="s">
        <v>60</v>
      </c>
      <c r="B32" s="20">
        <f t="shared" ref="B32:N32" si="19">B34+B33</f>
        <v>181</v>
      </c>
      <c r="C32" s="20">
        <f t="shared" si="19"/>
        <v>45</v>
      </c>
      <c r="D32" s="20">
        <f t="shared" si="19"/>
        <v>331</v>
      </c>
      <c r="E32" s="20">
        <f t="shared" si="19"/>
        <v>342</v>
      </c>
      <c r="F32" s="20">
        <f t="shared" si="19"/>
        <v>15</v>
      </c>
      <c r="G32" s="20">
        <f t="shared" si="19"/>
        <v>251</v>
      </c>
      <c r="H32" s="20">
        <f t="shared" si="19"/>
        <v>2</v>
      </c>
      <c r="I32" s="20">
        <f t="shared" si="19"/>
        <v>510</v>
      </c>
      <c r="J32" s="20">
        <f t="shared" si="19"/>
        <v>510</v>
      </c>
      <c r="K32" s="20">
        <f t="shared" si="19"/>
        <v>510</v>
      </c>
      <c r="L32" s="20">
        <f t="shared" si="19"/>
        <v>510</v>
      </c>
      <c r="M32" s="20">
        <f t="shared" si="19"/>
        <v>510</v>
      </c>
      <c r="N32" s="20">
        <f t="shared" si="19"/>
        <v>510</v>
      </c>
      <c r="O32" s="20"/>
    </row>
    <row r="33" spans="1:28" ht="15.75" customHeight="1" x14ac:dyDescent="0.25">
      <c r="A33" s="23" t="s">
        <v>61</v>
      </c>
      <c r="B33" s="20">
        <f>[1]Historicals!B39</f>
        <v>107</v>
      </c>
      <c r="C33" s="20">
        <f>[1]Historicals!C39</f>
        <v>44</v>
      </c>
      <c r="D33" s="20">
        <f>[1]Historicals!D39</f>
        <v>6</v>
      </c>
      <c r="E33" s="20">
        <f>[1]Historicals!E39</f>
        <v>6</v>
      </c>
      <c r="F33" s="20">
        <f>[1]Historicals!F39</f>
        <v>6</v>
      </c>
      <c r="G33" s="20">
        <f>[1]Historicals!G39</f>
        <v>3</v>
      </c>
      <c r="H33" s="20">
        <f>[1]Historicals!H39</f>
        <v>0</v>
      </c>
      <c r="I33" s="20">
        <f>[1]Historicals!I39</f>
        <v>500</v>
      </c>
      <c r="J33" s="20">
        <v>500</v>
      </c>
      <c r="K33" s="20">
        <v>500</v>
      </c>
      <c r="L33" s="20">
        <v>500</v>
      </c>
      <c r="M33" s="20">
        <v>500</v>
      </c>
      <c r="N33" s="20">
        <v>500</v>
      </c>
      <c r="O33" s="20"/>
    </row>
    <row r="34" spans="1:28" ht="15.75" customHeight="1" x14ac:dyDescent="0.25">
      <c r="A34" s="23" t="s">
        <v>62</v>
      </c>
      <c r="B34" s="20">
        <f>[1]Historicals!B40</f>
        <v>74</v>
      </c>
      <c r="C34" s="20">
        <f>[1]Historicals!C40</f>
        <v>1</v>
      </c>
      <c r="D34" s="20">
        <f>[1]Historicals!D40</f>
        <v>325</v>
      </c>
      <c r="E34" s="20">
        <f>[1]Historicals!E40</f>
        <v>336</v>
      </c>
      <c r="F34" s="20">
        <f>[1]Historicals!F40</f>
        <v>9</v>
      </c>
      <c r="G34" s="20">
        <f>[1]Historicals!G40</f>
        <v>248</v>
      </c>
      <c r="H34" s="20">
        <f>[1]Historicals!H40</f>
        <v>2</v>
      </c>
      <c r="I34" s="20">
        <f>[1]Historicals!I40</f>
        <v>10</v>
      </c>
      <c r="J34" s="20">
        <v>10</v>
      </c>
      <c r="K34" s="20">
        <v>10</v>
      </c>
      <c r="L34" s="20">
        <v>10</v>
      </c>
      <c r="M34" s="20">
        <v>10</v>
      </c>
      <c r="N34" s="20">
        <v>10</v>
      </c>
      <c r="O34" s="20"/>
    </row>
    <row r="35" spans="1:28" ht="15.75" customHeight="1" x14ac:dyDescent="0.25">
      <c r="A35" s="18" t="s">
        <v>63</v>
      </c>
      <c r="B35" s="20">
        <f>[1]Historicals!B43+[1]Historicals!B44</f>
        <v>4020</v>
      </c>
      <c r="C35" s="20">
        <f>[1]Historicals!C43+[1]Historicals!C44</f>
        <v>3122</v>
      </c>
      <c r="D35" s="20">
        <f>[1]Historicals!D43+[1]Historicals!D44</f>
        <v>3095</v>
      </c>
      <c r="E35" s="20">
        <f>[1]Historicals!E43+[1]Historicals!E44</f>
        <v>3419</v>
      </c>
      <c r="F35" s="20">
        <f>[1]Historicals!F43+[1]Historicals!F44</f>
        <v>5239</v>
      </c>
      <c r="G35" s="20">
        <f>[1]Historicals!G43+[1]Historicals!G44</f>
        <v>5340</v>
      </c>
      <c r="H35" s="20">
        <f>[1]Historicals!H43+[1]Historicals!H44</f>
        <v>6369</v>
      </c>
      <c r="I35" s="20">
        <f>[1]Historicals!I43+[1]Historicals!I44</f>
        <v>6442</v>
      </c>
      <c r="J35" s="20">
        <v>6442</v>
      </c>
      <c r="K35" s="20">
        <v>6442</v>
      </c>
      <c r="L35" s="20">
        <v>6442</v>
      </c>
      <c r="M35" s="20">
        <v>6442</v>
      </c>
      <c r="N35" s="20">
        <v>6442</v>
      </c>
      <c r="O35" s="20"/>
    </row>
    <row r="36" spans="1:28" ht="15.75" customHeight="1" x14ac:dyDescent="0.25">
      <c r="A36" s="18" t="s">
        <v>64</v>
      </c>
      <c r="B36" s="20">
        <f>[1]Historicals!B46</f>
        <v>1079</v>
      </c>
      <c r="C36" s="20">
        <f>[1]Historicals!C46</f>
        <v>2010</v>
      </c>
      <c r="D36" s="20">
        <f>[1]Historicals!D46</f>
        <v>3471</v>
      </c>
      <c r="E36" s="20">
        <f>[1]Historicals!E46</f>
        <v>3468</v>
      </c>
      <c r="F36" s="20">
        <f>[1]Historicals!F46</f>
        <v>3464</v>
      </c>
      <c r="G36" s="20">
        <f>[1]Historicals!G46</f>
        <v>9406</v>
      </c>
      <c r="H36" s="20">
        <f>[1]Historicals!H46</f>
        <v>9413</v>
      </c>
      <c r="I36" s="20">
        <f>[1]Historicals!I46</f>
        <v>8920</v>
      </c>
      <c r="J36" s="20">
        <v>8920</v>
      </c>
      <c r="K36" s="20">
        <v>8920</v>
      </c>
      <c r="L36" s="20">
        <v>8920</v>
      </c>
      <c r="M36" s="20">
        <v>8920</v>
      </c>
      <c r="N36" s="20">
        <v>8920</v>
      </c>
      <c r="O36" s="20"/>
    </row>
    <row r="37" spans="1:28" ht="15.75" customHeight="1" x14ac:dyDescent="0.25">
      <c r="A37" s="23" t="s">
        <v>65</v>
      </c>
      <c r="B37" s="20">
        <f>[1]Historicals!B42+[1]Historicals!B47</f>
        <v>0</v>
      </c>
      <c r="C37" s="20">
        <f>[1]Historicals!C42+[1]Historicals!C47</f>
        <v>0</v>
      </c>
      <c r="D37" s="20">
        <f>[1]Historicals!D42+[1]Historicals!D47</f>
        <v>0</v>
      </c>
      <c r="E37" s="20">
        <f>[1]Historicals!E42+[1]Historicals!E47</f>
        <v>0</v>
      </c>
      <c r="F37" s="20">
        <f>[1]Historicals!F42+[1]Historicals!F47</f>
        <v>0</v>
      </c>
      <c r="G37" s="20">
        <f>[1]Historicals!G42+[1]Historicals!G47</f>
        <v>3358</v>
      </c>
      <c r="H37" s="20">
        <f>[1]Historicals!H42+[1]Historicals!H47</f>
        <v>3398</v>
      </c>
      <c r="I37" s="20">
        <f>[1]Historicals!I42+[1]Historicals!I47</f>
        <v>3197</v>
      </c>
      <c r="J37" s="20">
        <v>3197</v>
      </c>
      <c r="K37" s="20">
        <v>3197</v>
      </c>
      <c r="L37" s="20">
        <v>3197</v>
      </c>
      <c r="M37" s="20">
        <v>3197</v>
      </c>
      <c r="N37" s="20">
        <v>3197</v>
      </c>
      <c r="O37" s="20"/>
    </row>
    <row r="38" spans="1:28" ht="15.75" customHeight="1" x14ac:dyDescent="0.25">
      <c r="A38" s="18" t="s">
        <v>66</v>
      </c>
      <c r="B38" s="20">
        <f>[1]Historicals!B48</f>
        <v>1479</v>
      </c>
      <c r="C38" s="20">
        <f>[1]Historicals!C48</f>
        <v>1770</v>
      </c>
      <c r="D38" s="20">
        <f>[1]Historicals!D48</f>
        <v>1907</v>
      </c>
      <c r="E38" s="20">
        <f>[1]Historicals!E48</f>
        <v>3216</v>
      </c>
      <c r="F38" s="20">
        <f>[1]Historicals!F48</f>
        <v>3347</v>
      </c>
      <c r="G38" s="20">
        <f>[1]Historicals!G48</f>
        <v>2684</v>
      </c>
      <c r="H38" s="20">
        <f>[1]Historicals!H48</f>
        <v>2955</v>
      </c>
      <c r="I38" s="20">
        <f>[1]Historicals!I48</f>
        <v>2613</v>
      </c>
      <c r="J38" s="20">
        <v>2613</v>
      </c>
      <c r="K38" s="20">
        <v>2613</v>
      </c>
      <c r="L38" s="20">
        <v>2613</v>
      </c>
      <c r="M38" s="20">
        <v>2613</v>
      </c>
      <c r="N38" s="20">
        <v>2613</v>
      </c>
      <c r="O38" s="20"/>
    </row>
    <row r="39" spans="1:28" ht="15.75" customHeight="1" x14ac:dyDescent="0.25">
      <c r="A39" s="18" t="s">
        <v>67</v>
      </c>
      <c r="B39" s="20">
        <f t="shared" ref="B39:N39" si="20">SUM(B40:B42)</f>
        <v>12707</v>
      </c>
      <c r="C39" s="20">
        <f t="shared" si="20"/>
        <v>12258</v>
      </c>
      <c r="D39" s="20">
        <f t="shared" si="20"/>
        <v>12407</v>
      </c>
      <c r="E39" s="20">
        <f t="shared" si="20"/>
        <v>9812</v>
      </c>
      <c r="F39" s="20">
        <f t="shared" si="20"/>
        <v>9040</v>
      </c>
      <c r="G39" s="20">
        <f t="shared" si="20"/>
        <v>8055</v>
      </c>
      <c r="H39" s="20">
        <f t="shared" si="20"/>
        <v>12767</v>
      </c>
      <c r="I39" s="20">
        <f t="shared" si="20"/>
        <v>15281</v>
      </c>
      <c r="J39" s="20">
        <f t="shared" si="20"/>
        <v>16431.167185025974</v>
      </c>
      <c r="K39" s="20">
        <f t="shared" si="20"/>
        <v>17389.375885365102</v>
      </c>
      <c r="L39" s="20">
        <f t="shared" si="20"/>
        <v>19059.201201450345</v>
      </c>
      <c r="M39" s="20">
        <f t="shared" si="20"/>
        <v>20183.726884213367</v>
      </c>
      <c r="N39" s="20">
        <f t="shared" si="20"/>
        <v>20254.906645403942</v>
      </c>
      <c r="O39" s="20"/>
    </row>
    <row r="40" spans="1:28" ht="15.75" customHeight="1" x14ac:dyDescent="0.25">
      <c r="A40" s="23" t="s">
        <v>68</v>
      </c>
      <c r="B40" s="20">
        <f>[1]Historicals!B54</f>
        <v>3</v>
      </c>
      <c r="C40" s="20">
        <f>[1]Historicals!C54</f>
        <v>3</v>
      </c>
      <c r="D40" s="20">
        <f>[1]Historicals!D54</f>
        <v>3</v>
      </c>
      <c r="E40" s="20">
        <f>[1]Historicals!E54</f>
        <v>3</v>
      </c>
      <c r="F40" s="20">
        <f>[1]Historicals!F54</f>
        <v>3</v>
      </c>
      <c r="G40" s="20">
        <f>[1]Historicals!G54</f>
        <v>3</v>
      </c>
      <c r="H40" s="20">
        <f>[1]Historicals!H54</f>
        <v>3</v>
      </c>
      <c r="I40" s="20">
        <f>[1]Historicals!I54</f>
        <v>3</v>
      </c>
      <c r="J40" s="20">
        <v>3</v>
      </c>
      <c r="K40" s="20">
        <v>3</v>
      </c>
      <c r="L40" s="20">
        <v>3</v>
      </c>
      <c r="M40" s="20">
        <v>3</v>
      </c>
      <c r="N40" s="20">
        <v>3</v>
      </c>
      <c r="O40" s="20"/>
    </row>
    <row r="41" spans="1:28" ht="15.75" customHeight="1" x14ac:dyDescent="0.25">
      <c r="A41" s="23" t="s">
        <v>69</v>
      </c>
      <c r="B41" s="20">
        <f>[1]Historicals!B57</f>
        <v>4685</v>
      </c>
      <c r="C41" s="20">
        <f>[1]Historicals!C57</f>
        <v>4151</v>
      </c>
      <c r="D41" s="20">
        <f>[1]Historicals!D57</f>
        <v>3979</v>
      </c>
      <c r="E41" s="20">
        <f>[1]Historicals!E57</f>
        <v>3517</v>
      </c>
      <c r="F41" s="20">
        <f>[1]Historicals!F57</f>
        <v>1643</v>
      </c>
      <c r="G41" s="20">
        <f>[1]Historicals!G57</f>
        <v>-191</v>
      </c>
      <c r="H41" s="20">
        <f>[1]Historicals!H57</f>
        <v>3179</v>
      </c>
      <c r="I41" s="20">
        <f>[1]Historicals!I57</f>
        <v>3476</v>
      </c>
      <c r="J41" s="20">
        <f>J14-J62+J60</f>
        <v>4626.1671850259718</v>
      </c>
      <c r="K41" s="20">
        <f t="shared" ref="K41:N41" si="21">K14-K62+K60</f>
        <v>5584.3758853651025</v>
      </c>
      <c r="L41" s="20">
        <f t="shared" si="21"/>
        <v>7254.2012014503453</v>
      </c>
      <c r="M41" s="20">
        <f t="shared" si="21"/>
        <v>8378.7268842133672</v>
      </c>
      <c r="N41" s="20">
        <f t="shared" si="21"/>
        <v>8449.9066454039403</v>
      </c>
      <c r="O41" s="20"/>
    </row>
    <row r="42" spans="1:28" ht="15.75" customHeight="1" x14ac:dyDescent="0.25">
      <c r="A42" s="23" t="s">
        <v>70</v>
      </c>
      <c r="B42" s="20">
        <f>[1]Historicals!B55+[1]Historicals!B56</f>
        <v>8019</v>
      </c>
      <c r="C42" s="20">
        <f>[1]Historicals!C55+[1]Historicals!C56</f>
        <v>8104</v>
      </c>
      <c r="D42" s="20">
        <f>[1]Historicals!D55+[1]Historicals!D56</f>
        <v>8425</v>
      </c>
      <c r="E42" s="20">
        <f>[1]Historicals!E55+[1]Historicals!E56</f>
        <v>6292</v>
      </c>
      <c r="F42" s="20">
        <f>[1]Historicals!F55+[1]Historicals!F56</f>
        <v>7394</v>
      </c>
      <c r="G42" s="20">
        <f>[1]Historicals!G55+[1]Historicals!G56</f>
        <v>8243</v>
      </c>
      <c r="H42" s="20">
        <f>[1]Historicals!H55+[1]Historicals!H56</f>
        <v>9585</v>
      </c>
      <c r="I42" s="20">
        <f>[1]Historicals!I55+[1]Historicals!I56</f>
        <v>11802</v>
      </c>
      <c r="J42" s="20">
        <v>11802</v>
      </c>
      <c r="K42" s="20">
        <v>11802</v>
      </c>
      <c r="L42" s="20">
        <v>11802</v>
      </c>
      <c r="M42" s="20">
        <v>11802</v>
      </c>
      <c r="N42" s="20">
        <v>11802</v>
      </c>
      <c r="O42" s="20"/>
    </row>
    <row r="43" spans="1:28" ht="15.75" customHeight="1" thickBot="1" x14ac:dyDescent="0.3">
      <c r="A43" s="25" t="s">
        <v>71</v>
      </c>
      <c r="B43" s="26">
        <f t="shared" ref="B43:N43" si="22">B32+B35+B36+B37+B38+B39</f>
        <v>19466</v>
      </c>
      <c r="C43" s="26">
        <f t="shared" si="22"/>
        <v>19205</v>
      </c>
      <c r="D43" s="26">
        <f t="shared" si="22"/>
        <v>21211</v>
      </c>
      <c r="E43" s="26">
        <f t="shared" si="22"/>
        <v>20257</v>
      </c>
      <c r="F43" s="26">
        <f t="shared" si="22"/>
        <v>21105</v>
      </c>
      <c r="G43" s="26">
        <f t="shared" si="22"/>
        <v>29094</v>
      </c>
      <c r="H43" s="26">
        <f t="shared" si="22"/>
        <v>34904</v>
      </c>
      <c r="I43" s="26">
        <f t="shared" si="22"/>
        <v>36963</v>
      </c>
      <c r="J43" s="26">
        <f t="shared" si="22"/>
        <v>38113.167185025974</v>
      </c>
      <c r="K43" s="26">
        <f t="shared" si="22"/>
        <v>39071.375885365102</v>
      </c>
      <c r="L43" s="26">
        <f t="shared" si="22"/>
        <v>40741.201201450342</v>
      </c>
      <c r="M43" s="26">
        <f t="shared" si="22"/>
        <v>41865.726884213364</v>
      </c>
      <c r="N43" s="26">
        <f t="shared" si="22"/>
        <v>41936.906645403942</v>
      </c>
      <c r="O43" s="15"/>
    </row>
    <row r="44" spans="1:28" ht="15.75" customHeight="1" thickTop="1" x14ac:dyDescent="0.25">
      <c r="A44" s="31" t="s">
        <v>72</v>
      </c>
      <c r="B44" s="31">
        <f>B43-B31</f>
        <v>0</v>
      </c>
      <c r="C44" s="31">
        <f t="shared" ref="C44:N44" si="23">C43-C31</f>
        <v>0</v>
      </c>
      <c r="D44" s="31">
        <f t="shared" si="23"/>
        <v>0</v>
      </c>
      <c r="E44" s="31">
        <f t="shared" si="23"/>
        <v>0</v>
      </c>
      <c r="F44" s="31">
        <f t="shared" si="23"/>
        <v>0</v>
      </c>
      <c r="G44" s="31">
        <f t="shared" si="23"/>
        <v>0</v>
      </c>
      <c r="H44" s="31">
        <f t="shared" si="23"/>
        <v>0</v>
      </c>
      <c r="I44" s="31">
        <f t="shared" si="23"/>
        <v>0</v>
      </c>
      <c r="J44" s="31">
        <f t="shared" si="23"/>
        <v>991.50909436197981</v>
      </c>
      <c r="K44" s="31">
        <f t="shared" si="23"/>
        <v>1760.2325004870509</v>
      </c>
      <c r="L44" s="31">
        <f t="shared" si="23"/>
        <v>3360.0407673804584</v>
      </c>
      <c r="M44" s="31">
        <f t="shared" si="23"/>
        <v>4409.0156900952061</v>
      </c>
      <c r="N44" s="31">
        <f t="shared" si="23"/>
        <v>4410.3484499421902</v>
      </c>
      <c r="O44" s="31"/>
      <c r="P44" s="14"/>
      <c r="Q44" s="14"/>
      <c r="R44" s="14"/>
      <c r="S44" s="14"/>
      <c r="T44" s="14"/>
      <c r="U44" s="14"/>
      <c r="V44" s="14"/>
      <c r="W44" s="14"/>
      <c r="X44" s="14"/>
      <c r="Y44" s="14"/>
      <c r="Z44" s="14"/>
      <c r="AA44" s="14"/>
      <c r="AB44" s="14"/>
    </row>
    <row r="45" spans="1:28" ht="15.75" customHeight="1" x14ac:dyDescent="0.25">
      <c r="A45" s="30" t="s">
        <v>73</v>
      </c>
      <c r="B45" s="13"/>
      <c r="C45" s="13"/>
      <c r="D45" s="13"/>
      <c r="E45" s="13"/>
      <c r="F45" s="13"/>
      <c r="G45" s="13"/>
      <c r="H45" s="13"/>
      <c r="I45" s="13"/>
      <c r="J45" s="11"/>
      <c r="K45" s="11"/>
      <c r="L45" s="11"/>
      <c r="M45" s="11"/>
      <c r="N45" s="11"/>
      <c r="O45" s="11"/>
    </row>
    <row r="46" spans="1:28" ht="15.75" customHeight="1" x14ac:dyDescent="0.25">
      <c r="A46" s="14" t="s">
        <v>32</v>
      </c>
      <c r="B46" s="15">
        <f>'[1]Segmental forecast'!B11</f>
        <v>4233</v>
      </c>
      <c r="C46" s="15">
        <f>'[1]Segmental forecast'!C11</f>
        <v>4642</v>
      </c>
      <c r="D46" s="15">
        <f>'[1]Segmental forecast'!D11</f>
        <v>4945</v>
      </c>
      <c r="E46" s="15">
        <f>'[1]Segmental forecast'!E11</f>
        <v>4379</v>
      </c>
      <c r="F46" s="15">
        <f>'[1]Segmental forecast'!F11</f>
        <v>4850</v>
      </c>
      <c r="G46" s="15">
        <f>'[1]Segmental forecast'!G11</f>
        <v>2976</v>
      </c>
      <c r="H46" s="15">
        <f>'[1]Segmental forecast'!H11</f>
        <v>6923</v>
      </c>
      <c r="I46" s="15">
        <f>'[1]Segmental forecast'!I11</f>
        <v>6856</v>
      </c>
      <c r="J46" s="15">
        <f>'[1]Segmental forecast'!J11</f>
        <v>7107.2007262407169</v>
      </c>
      <c r="K46" s="15">
        <f>'[1]Segmental forecast'!K11</f>
        <v>7410.2281944070555</v>
      </c>
      <c r="L46" s="15">
        <f>'[1]Segmental forecast'!L11</f>
        <v>9201.0732839205666</v>
      </c>
      <c r="M46" s="15">
        <f>'[1]Segmental forecast'!M11</f>
        <v>10429.024704933645</v>
      </c>
      <c r="N46" s="15">
        <f>'[1]Segmental forecast'!N11</f>
        <v>10537.852783723616</v>
      </c>
      <c r="O46" s="15"/>
    </row>
    <row r="47" spans="1:28" ht="15.75" customHeight="1" x14ac:dyDescent="0.25">
      <c r="A47" s="18" t="s">
        <v>31</v>
      </c>
      <c r="B47" s="20">
        <f>'[1]Segmental forecast'!B8</f>
        <v>606</v>
      </c>
      <c r="C47" s="20">
        <f>'[1]Segmental forecast'!C8</f>
        <v>649</v>
      </c>
      <c r="D47" s="20">
        <f>'[1]Segmental forecast'!D8</f>
        <v>706</v>
      </c>
      <c r="E47" s="20">
        <f>'[1]Segmental forecast'!E8</f>
        <v>747</v>
      </c>
      <c r="F47" s="20">
        <f>'[1]Segmental forecast'!F8</f>
        <v>705</v>
      </c>
      <c r="G47" s="20">
        <f>'[1]Segmental forecast'!G8</f>
        <v>721</v>
      </c>
      <c r="H47" s="20">
        <f>'[1]Segmental forecast'!H8</f>
        <v>744</v>
      </c>
      <c r="I47" s="20">
        <f>'[1]Segmental forecast'!I8</f>
        <v>717</v>
      </c>
      <c r="J47" s="20">
        <f>'[1]Segmental forecast'!J8</f>
        <v>728.26305281179623</v>
      </c>
      <c r="K47" s="20">
        <f>'[1]Segmental forecast'!K8</f>
        <v>745.91784856494326</v>
      </c>
      <c r="L47" s="20">
        <f>'[1]Segmental forecast'!L8</f>
        <v>748.9891952587069</v>
      </c>
      <c r="M47" s="20">
        <f>'[1]Segmental forecast'!M8</f>
        <v>776.65492546116491</v>
      </c>
      <c r="N47" s="20">
        <f>'[1]Segmental forecast'!N8</f>
        <v>820.91300185183536</v>
      </c>
      <c r="O47" s="20"/>
    </row>
    <row r="48" spans="1:28" ht="15.75" customHeight="1" x14ac:dyDescent="0.25">
      <c r="A48" s="18" t="s">
        <v>74</v>
      </c>
      <c r="B48" s="20">
        <f>[1]Historicals!B103</f>
        <v>1262</v>
      </c>
      <c r="C48" s="20">
        <f>[1]Historicals!C103</f>
        <v>748</v>
      </c>
      <c r="D48" s="20">
        <f>[1]Historicals!D103</f>
        <v>703</v>
      </c>
      <c r="E48" s="20">
        <f>[1]Historicals!E103</f>
        <v>529</v>
      </c>
      <c r="F48" s="20">
        <f>[1]Historicals!F103</f>
        <v>757</v>
      </c>
      <c r="G48" s="20">
        <f>[1]Historicals!G103</f>
        <v>1028</v>
      </c>
      <c r="H48" s="20">
        <f>[1]Historicals!H103</f>
        <v>1177</v>
      </c>
      <c r="I48" s="20">
        <f>[1]Historicals!I103</f>
        <v>1231</v>
      </c>
      <c r="J48" s="20">
        <v>1231</v>
      </c>
      <c r="K48" s="20">
        <v>1231</v>
      </c>
      <c r="L48" s="20">
        <v>1231</v>
      </c>
      <c r="M48" s="20">
        <v>1231</v>
      </c>
      <c r="N48" s="20">
        <v>1231</v>
      </c>
      <c r="O48" s="20"/>
    </row>
    <row r="49" spans="1:18" ht="15.75" customHeight="1" x14ac:dyDescent="0.25">
      <c r="A49" s="14" t="s">
        <v>75</v>
      </c>
      <c r="B49" s="15">
        <f t="shared" ref="B49:N49" si="24">B46-B48</f>
        <v>2971</v>
      </c>
      <c r="C49" s="15">
        <f t="shared" si="24"/>
        <v>3894</v>
      </c>
      <c r="D49" s="15">
        <f t="shared" si="24"/>
        <v>4242</v>
      </c>
      <c r="E49" s="15">
        <f t="shared" si="24"/>
        <v>3850</v>
      </c>
      <c r="F49" s="15">
        <f t="shared" si="24"/>
        <v>4093</v>
      </c>
      <c r="G49" s="15">
        <f t="shared" si="24"/>
        <v>1948</v>
      </c>
      <c r="H49" s="15">
        <f t="shared" si="24"/>
        <v>5746</v>
      </c>
      <c r="I49" s="15">
        <f t="shared" si="24"/>
        <v>5625</v>
      </c>
      <c r="J49" s="15">
        <f t="shared" si="24"/>
        <v>5876.2007262407169</v>
      </c>
      <c r="K49" s="15">
        <f t="shared" si="24"/>
        <v>6179.2281944070555</v>
      </c>
      <c r="L49" s="15">
        <f t="shared" si="24"/>
        <v>7970.0732839205666</v>
      </c>
      <c r="M49" s="15">
        <f t="shared" si="24"/>
        <v>9198.0247049336449</v>
      </c>
      <c r="N49" s="15">
        <f t="shared" si="24"/>
        <v>9306.8527837236161</v>
      </c>
      <c r="O49" s="15"/>
    </row>
    <row r="50" spans="1:18" ht="15.75" customHeight="1" x14ac:dyDescent="0.25">
      <c r="A50" s="18" t="s">
        <v>76</v>
      </c>
      <c r="B50" s="20">
        <f>[1]Historicals!B102</f>
        <v>53</v>
      </c>
      <c r="C50" s="20">
        <f>[1]Historicals!C102</f>
        <v>70</v>
      </c>
      <c r="D50" s="20">
        <f>[1]Historicals!D102</f>
        <v>98</v>
      </c>
      <c r="E50" s="20">
        <f>[1]Historicals!E102</f>
        <v>125</v>
      </c>
      <c r="F50" s="20">
        <f>[1]Historicals!F102</f>
        <v>153</v>
      </c>
      <c r="G50" s="20">
        <f>[1]Historicals!G102</f>
        <v>140</v>
      </c>
      <c r="H50" s="20">
        <f>[1]Historicals!H102</f>
        <v>293</v>
      </c>
      <c r="I50" s="20">
        <f>[1]Historicals!I102</f>
        <v>290</v>
      </c>
      <c r="J50" s="20">
        <f>J51*I71</f>
        <v>258.27199999999999</v>
      </c>
      <c r="K50" s="20">
        <f>K51*J71</f>
        <v>205.33589427690785</v>
      </c>
      <c r="L50" s="20">
        <f t="shared" ref="L50:N50" si="25">L51*K71</f>
        <v>191.43793678001103</v>
      </c>
      <c r="M50" s="20">
        <f t="shared" si="25"/>
        <v>216.07240382059084</v>
      </c>
      <c r="N50" s="20">
        <f t="shared" si="25"/>
        <v>233.77420868317463</v>
      </c>
      <c r="O50" s="20"/>
      <c r="P50" s="27" t="s">
        <v>77</v>
      </c>
    </row>
    <row r="51" spans="1:18" ht="15.75" customHeight="1" x14ac:dyDescent="0.25">
      <c r="A51" s="32" t="s">
        <v>78</v>
      </c>
      <c r="B51" s="33" t="e">
        <f t="shared" ref="B51:H51" si="26">B50/A71</f>
        <v>#VALUE!</v>
      </c>
      <c r="C51" s="33">
        <f t="shared" si="26"/>
        <v>-1.1396939107782481E-2</v>
      </c>
      <c r="D51" s="33">
        <f t="shared" si="26"/>
        <v>-1.5852474927208024E-2</v>
      </c>
      <c r="E51" s="33">
        <f t="shared" si="26"/>
        <v>-2.4126616483304383E-2</v>
      </c>
      <c r="F51" s="33">
        <f t="shared" si="26"/>
        <v>-1.9006211180124223E-2</v>
      </c>
      <c r="G51" s="33">
        <f t="shared" si="26"/>
        <v>-1.5476453681185054E-2</v>
      </c>
      <c r="H51" s="33">
        <f t="shared" si="26"/>
        <v>-4.4146451710109988E-2</v>
      </c>
      <c r="I51" s="33">
        <f>I50/H71</f>
        <v>-1.5687547333116954E-2</v>
      </c>
      <c r="J51" s="33">
        <v>-1.4E-2</v>
      </c>
      <c r="K51" s="33">
        <v>-1.2999999999999999E-2</v>
      </c>
      <c r="L51" s="33">
        <v>-1.4E-2</v>
      </c>
      <c r="M51" s="33">
        <v>-1.6E-2</v>
      </c>
      <c r="N51" s="33">
        <v>-1.4999999999999999E-2</v>
      </c>
      <c r="O51" s="33"/>
      <c r="P51" s="29"/>
      <c r="Q51" s="18" t="s">
        <v>79</v>
      </c>
    </row>
    <row r="52" spans="1:18" ht="15.75" customHeight="1" x14ac:dyDescent="0.25">
      <c r="A52" s="18" t="s">
        <v>80</v>
      </c>
      <c r="B52" s="20">
        <v>2443</v>
      </c>
      <c r="C52" s="20">
        <f t="shared" ref="C52:N52" si="27">B23-C23</f>
        <v>-324</v>
      </c>
      <c r="D52" s="20">
        <f t="shared" si="27"/>
        <v>-796</v>
      </c>
      <c r="E52" s="20">
        <f t="shared" si="27"/>
        <v>204</v>
      </c>
      <c r="F52" s="20">
        <f t="shared" si="27"/>
        <v>-802</v>
      </c>
      <c r="G52" s="20">
        <f t="shared" si="27"/>
        <v>-586</v>
      </c>
      <c r="H52" s="20">
        <f t="shared" si="27"/>
        <v>-613</v>
      </c>
      <c r="I52" s="20">
        <f t="shared" si="27"/>
        <v>-1248</v>
      </c>
      <c r="J52" s="20">
        <f>I23-J23</f>
        <v>-1268.4303580842825</v>
      </c>
      <c r="K52" s="20">
        <f t="shared" si="27"/>
        <v>-699.00164757971834</v>
      </c>
      <c r="L52" s="20">
        <f t="shared" si="27"/>
        <v>-896.6899946910562</v>
      </c>
      <c r="M52" s="20">
        <f t="shared" si="27"/>
        <v>-948.94714186401688</v>
      </c>
      <c r="N52" s="20">
        <f t="shared" si="27"/>
        <v>-1196.2887644060775</v>
      </c>
      <c r="O52" s="20"/>
      <c r="P52" s="29"/>
    </row>
    <row r="53" spans="1:18" ht="15.75" customHeight="1" x14ac:dyDescent="0.25">
      <c r="A53" s="18" t="s">
        <v>81</v>
      </c>
      <c r="B53" s="20">
        <f>-'[1]Segmental forecast'!B14</f>
        <v>-963</v>
      </c>
      <c r="C53" s="20">
        <f>-'[1]Segmental forecast'!C14</f>
        <v>-1143</v>
      </c>
      <c r="D53" s="20">
        <f>-'[1]Segmental forecast'!D14</f>
        <v>-1105</v>
      </c>
      <c r="E53" s="20">
        <f>-'[1]Segmental forecast'!E14</f>
        <v>-1028</v>
      </c>
      <c r="F53" s="20">
        <f>-'[1]Segmental forecast'!F14</f>
        <v>-1119</v>
      </c>
      <c r="G53" s="20">
        <f>-'[1]Segmental forecast'!G14</f>
        <v>-1086</v>
      </c>
      <c r="H53" s="20">
        <f>-'[1]Segmental forecast'!H14</f>
        <v>-695</v>
      </c>
      <c r="I53" s="20">
        <f>-'[1]Segmental forecast'!I14</f>
        <v>-758</v>
      </c>
      <c r="J53" s="20">
        <f>-'[1]Segmental forecast'!J14</f>
        <v>-886.92114347579206</v>
      </c>
      <c r="K53" s="20">
        <f>-'[1]Segmental forecast'!K14</f>
        <v>-935.40314277899995</v>
      </c>
      <c r="L53" s="20">
        <f>-'[1]Segmental forecast'!L14</f>
        <v>-819.006244450542</v>
      </c>
      <c r="M53" s="20">
        <f>-'[1]Segmental forecast'!M14</f>
        <v>-852.20568550943881</v>
      </c>
      <c r="N53" s="20">
        <f>-'[1]Segmental forecast'!N14</f>
        <v>-890.76000319542857</v>
      </c>
      <c r="O53" s="20"/>
      <c r="P53" s="29"/>
    </row>
    <row r="54" spans="1:18" ht="15.75" customHeight="1" x14ac:dyDescent="0.25">
      <c r="A54" s="14" t="s">
        <v>7</v>
      </c>
      <c r="B54" s="15">
        <f t="shared" ref="B54:I54" si="28">+B49+B47-B50+B52+B53</f>
        <v>5004</v>
      </c>
      <c r="C54" s="15">
        <f t="shared" si="28"/>
        <v>3006</v>
      </c>
      <c r="D54" s="15">
        <f t="shared" si="28"/>
        <v>2949</v>
      </c>
      <c r="E54" s="15">
        <f t="shared" si="28"/>
        <v>3648</v>
      </c>
      <c r="F54" s="15">
        <f t="shared" si="28"/>
        <v>2724</v>
      </c>
      <c r="G54" s="15">
        <f t="shared" si="28"/>
        <v>857</v>
      </c>
      <c r="H54" s="15">
        <f t="shared" si="28"/>
        <v>4889</v>
      </c>
      <c r="I54" s="15">
        <f t="shared" si="28"/>
        <v>4046</v>
      </c>
      <c r="J54" s="15">
        <f>J49+J47-J53-J52</f>
        <v>8759.8152806125872</v>
      </c>
      <c r="K54" s="15">
        <f>K49+K47-K53-K52</f>
        <v>8559.5508333307171</v>
      </c>
      <c r="L54" s="15">
        <f>L49+L47-L53-L52</f>
        <v>10434.758718320873</v>
      </c>
      <c r="M54" s="15">
        <f>M49+M47-M53-M52</f>
        <v>11775.832457768265</v>
      </c>
      <c r="N54" s="15">
        <f>N49+N47-N53-N52</f>
        <v>12214.814553176957</v>
      </c>
      <c r="O54" s="15"/>
    </row>
    <row r="55" spans="1:18" ht="15.75" customHeight="1" x14ac:dyDescent="0.25">
      <c r="A55" s="18" t="s">
        <v>82</v>
      </c>
      <c r="B55" s="20">
        <f>+[1]Historicals!B76-(+B47+B52+B49)</f>
        <v>-1340</v>
      </c>
      <c r="C55" s="20">
        <f>+[1]Historicals!C76-(+C47+C52+C49)</f>
        <v>-1123</v>
      </c>
      <c r="D55" s="20">
        <f>+[1]Historicals!D76-(+D47+D52+D49)</f>
        <v>-306</v>
      </c>
      <c r="E55" s="20">
        <f>+[1]Historicals!E76-(+E47+E52+E49)</f>
        <v>154</v>
      </c>
      <c r="F55" s="20">
        <f>+[1]Historicals!F76-(+F47+F52+F49)</f>
        <v>1907</v>
      </c>
      <c r="G55" s="20">
        <f>+[1]Historicals!G76-(+G47+G52+G49)</f>
        <v>402</v>
      </c>
      <c r="H55" s="20">
        <f>+[1]Historicals!H76-(+H47+H52+H49)</f>
        <v>780</v>
      </c>
      <c r="I55" s="20">
        <f>+[1]Historicals!I76-(+I47+I52+I49)</f>
        <v>94</v>
      </c>
      <c r="J55" s="20"/>
      <c r="K55" s="20"/>
      <c r="L55" s="20"/>
      <c r="M55" s="20"/>
      <c r="N55" s="20"/>
      <c r="O55" s="20"/>
      <c r="P55" s="27" t="s">
        <v>83</v>
      </c>
      <c r="R55" s="20"/>
    </row>
    <row r="56" spans="1:18" ht="15.75" customHeight="1" x14ac:dyDescent="0.25">
      <c r="A56" s="34" t="s">
        <v>84</v>
      </c>
      <c r="B56" s="35">
        <f t="shared" ref="B56:N56" si="29">+B49+B47+B52+B55</f>
        <v>4680</v>
      </c>
      <c r="C56" s="35">
        <f t="shared" si="29"/>
        <v>3096</v>
      </c>
      <c r="D56" s="35">
        <f t="shared" si="29"/>
        <v>3846</v>
      </c>
      <c r="E56" s="35">
        <f t="shared" si="29"/>
        <v>4955</v>
      </c>
      <c r="F56" s="35">
        <f t="shared" si="29"/>
        <v>5903</v>
      </c>
      <c r="G56" s="35">
        <f t="shared" si="29"/>
        <v>2485</v>
      </c>
      <c r="H56" s="35">
        <f t="shared" si="29"/>
        <v>6657</v>
      </c>
      <c r="I56" s="35">
        <f t="shared" si="29"/>
        <v>5188</v>
      </c>
      <c r="J56" s="35">
        <f t="shared" si="29"/>
        <v>5336.0334209682305</v>
      </c>
      <c r="K56" s="35">
        <f t="shared" si="29"/>
        <v>6226.1443953922808</v>
      </c>
      <c r="L56" s="35">
        <f t="shared" si="29"/>
        <v>7822.3724844882181</v>
      </c>
      <c r="M56" s="35">
        <f t="shared" si="29"/>
        <v>9025.7324885307935</v>
      </c>
      <c r="N56" s="35">
        <f t="shared" si="29"/>
        <v>8931.477021169374</v>
      </c>
      <c r="O56" s="15"/>
      <c r="P56" s="29"/>
    </row>
    <row r="57" spans="1:18" ht="15.75" customHeight="1" x14ac:dyDescent="0.25">
      <c r="A57" s="18" t="s">
        <v>85</v>
      </c>
      <c r="B57" s="20"/>
      <c r="C57" s="20"/>
      <c r="D57" s="20"/>
      <c r="E57" s="20"/>
      <c r="F57" s="20"/>
      <c r="G57" s="20"/>
      <c r="H57" s="20"/>
      <c r="I57" s="20"/>
      <c r="J57" s="20"/>
      <c r="K57" s="20"/>
      <c r="L57" s="20"/>
      <c r="M57" s="20"/>
      <c r="N57" s="20"/>
      <c r="O57" s="20"/>
      <c r="P57" s="27" t="s">
        <v>83</v>
      </c>
    </row>
    <row r="58" spans="1:18" ht="15.75" customHeight="1" x14ac:dyDescent="0.25">
      <c r="A58" s="18" t="s">
        <v>86</v>
      </c>
      <c r="B58" s="20">
        <f>[1]Historicals!B78+[1]Historicals!B79+[1]Historicals!B80+[1]Historicals!B81+[1]Historicals!B83+[1]Historicals!B84</f>
        <v>788</v>
      </c>
      <c r="C58" s="20">
        <f>[1]Historicals!C78+[1]Historicals!C79+[1]Historicals!C80+[1]Historicals!C81+[1]Historicals!C83+[1]Historicals!C84</f>
        <v>109</v>
      </c>
      <c r="D58" s="20">
        <f>[1]Historicals!D78+[1]Historicals!D79+[1]Historicals!D80+[1]Historicals!D81+[1]Historicals!D83+[1]Historicals!D84</f>
        <v>97</v>
      </c>
      <c r="E58" s="20">
        <f>[1]Historicals!E78+[1]Historicals!E79+[1]Historicals!E80+[1]Historicals!E81+[1]Historicals!E83+[1]Historicals!E84</f>
        <v>1304</v>
      </c>
      <c r="F58" s="20">
        <f>[1]Historicals!F78+[1]Historicals!F79+[1]Historicals!F80+[1]Historicals!F81+[1]Historicals!F83+[1]Historicals!F84</f>
        <v>855</v>
      </c>
      <c r="G58" s="20">
        <f>[1]Historicals!G78+[1]Historicals!G79+[1]Historicals!G80+[1]Historicals!G81+[1]Historicals!G83+[1]Historicals!G84</f>
        <v>58</v>
      </c>
      <c r="H58" s="20">
        <f>[1]Historicals!H78+[1]Historicals!H79+[1]Historicals!H80+[1]Historicals!H81+[1]Historicals!H83+[1]Historicals!H84</f>
        <v>-3105</v>
      </c>
      <c r="I58" s="20">
        <f>[1]Historicals!I78+[1]Historicals!I79+[1]Historicals!I80+[1]Historicals!I81+[1]Historicals!I83+[1]Historicals!I84</f>
        <v>-766</v>
      </c>
      <c r="J58" s="20">
        <v>-766</v>
      </c>
      <c r="K58" s="20">
        <v>-766</v>
      </c>
      <c r="L58" s="20">
        <v>-766</v>
      </c>
      <c r="M58" s="20">
        <v>-766</v>
      </c>
      <c r="N58" s="20">
        <v>-766</v>
      </c>
      <c r="O58" s="20"/>
      <c r="P58" s="29"/>
    </row>
    <row r="59" spans="1:18" ht="15.75" customHeight="1" x14ac:dyDescent="0.25">
      <c r="A59" s="34" t="s">
        <v>87</v>
      </c>
      <c r="B59" s="35">
        <f t="shared" ref="B59:N59" si="30">B53+B58</f>
        <v>-175</v>
      </c>
      <c r="C59" s="35">
        <f t="shared" si="30"/>
        <v>-1034</v>
      </c>
      <c r="D59" s="35">
        <f t="shared" si="30"/>
        <v>-1008</v>
      </c>
      <c r="E59" s="35">
        <f t="shared" si="30"/>
        <v>276</v>
      </c>
      <c r="F59" s="35">
        <f t="shared" si="30"/>
        <v>-264</v>
      </c>
      <c r="G59" s="35">
        <f t="shared" si="30"/>
        <v>-1028</v>
      </c>
      <c r="H59" s="35">
        <f t="shared" si="30"/>
        <v>-3800</v>
      </c>
      <c r="I59" s="35">
        <f t="shared" si="30"/>
        <v>-1524</v>
      </c>
      <c r="J59" s="35">
        <f t="shared" si="30"/>
        <v>-1652.9211434757922</v>
      </c>
      <c r="K59" s="35">
        <f t="shared" si="30"/>
        <v>-1701.4031427790001</v>
      </c>
      <c r="L59" s="35">
        <f t="shared" si="30"/>
        <v>-1585.006244450542</v>
      </c>
      <c r="M59" s="35">
        <f t="shared" si="30"/>
        <v>-1618.2056855094388</v>
      </c>
      <c r="N59" s="35">
        <f t="shared" si="30"/>
        <v>-1656.7600031954285</v>
      </c>
      <c r="O59" s="15"/>
    </row>
    <row r="60" spans="1:18" ht="15.75" customHeight="1" x14ac:dyDescent="0.25">
      <c r="A60" s="18" t="s">
        <v>88</v>
      </c>
      <c r="B60" s="20">
        <f>[1]Historicals!B90+[1]Historicals!B91</f>
        <v>-2020</v>
      </c>
      <c r="C60" s="20">
        <f>[1]Historicals!C90+[1]Historicals!C91</f>
        <v>-2731</v>
      </c>
      <c r="D60" s="20">
        <f>[1]Historicals!D90+[1]Historicals!D91</f>
        <v>-2734</v>
      </c>
      <c r="E60" s="20">
        <f>[1]Historicals!E90+[1]Historicals!E91</f>
        <v>-3521</v>
      </c>
      <c r="F60" s="20">
        <f>[1]Historicals!F90+[1]Historicals!F91</f>
        <v>-3586</v>
      </c>
      <c r="G60" s="20">
        <f>[1]Historicals!G90+[1]Historicals!G91</f>
        <v>-2182</v>
      </c>
      <c r="H60" s="20">
        <f>[1]Historicals!H90+[1]Historicals!H91</f>
        <v>564</v>
      </c>
      <c r="I60" s="20">
        <f>[1]Historicals!I90+[1]Historicals!I91</f>
        <v>-2863</v>
      </c>
      <c r="J60" s="20">
        <f>((1+J61)*I60)</f>
        <v>-3006.15</v>
      </c>
      <c r="K60" s="20">
        <f t="shared" ref="K60:N60" si="31">((1+K61)*J60)</f>
        <v>-3132.4083000000001</v>
      </c>
      <c r="L60" s="20">
        <f t="shared" si="31"/>
        <v>-3282.7638984</v>
      </c>
      <c r="M60" s="20">
        <f t="shared" si="31"/>
        <v>-3430.4882738279998</v>
      </c>
      <c r="N60" s="20">
        <f t="shared" si="31"/>
        <v>-3602.0126875194001</v>
      </c>
      <c r="O60" s="36" t="s">
        <v>89</v>
      </c>
      <c r="P60" s="27" t="s">
        <v>90</v>
      </c>
    </row>
    <row r="61" spans="1:18" ht="15.75" customHeight="1" x14ac:dyDescent="0.25">
      <c r="A61" s="16" t="s">
        <v>29</v>
      </c>
      <c r="B61" s="17" t="str">
        <f t="shared" ref="B61:I61" si="32">+IFERROR(B60/A60-1,"nm")</f>
        <v>nm</v>
      </c>
      <c r="C61" s="17">
        <f t="shared" si="32"/>
        <v>0.35198019801980207</v>
      </c>
      <c r="D61" s="17">
        <f t="shared" si="32"/>
        <v>1.0984987184181616E-3</v>
      </c>
      <c r="E61" s="17">
        <f t="shared" si="32"/>
        <v>0.28785662033650339</v>
      </c>
      <c r="F61" s="17">
        <f t="shared" si="32"/>
        <v>1.8460664583924924E-2</v>
      </c>
      <c r="G61" s="17">
        <f t="shared" si="32"/>
        <v>-0.39152258784160621</v>
      </c>
      <c r="H61" s="17">
        <f t="shared" si="32"/>
        <v>-1.2584784601283228</v>
      </c>
      <c r="I61" s="17">
        <f t="shared" si="32"/>
        <v>-6.0762411347517729</v>
      </c>
      <c r="J61" s="17">
        <v>0.05</v>
      </c>
      <c r="K61" s="17">
        <v>4.2000000000000003E-2</v>
      </c>
      <c r="L61" s="17">
        <v>4.8000000000000001E-2</v>
      </c>
      <c r="M61" s="17">
        <v>4.4999999999999998E-2</v>
      </c>
      <c r="N61" s="17">
        <v>0.05</v>
      </c>
      <c r="O61" s="17"/>
      <c r="P61" s="29" t="s">
        <v>91</v>
      </c>
    </row>
    <row r="62" spans="1:18" ht="15.75" customHeight="1" x14ac:dyDescent="0.25">
      <c r="A62" s="18" t="s">
        <v>92</v>
      </c>
      <c r="B62" s="20">
        <f>[1]Historicals!B92</f>
        <v>-899</v>
      </c>
      <c r="C62" s="20">
        <f>[1]Historicals!C92</f>
        <v>-1022</v>
      </c>
      <c r="D62" s="20">
        <f>[1]Historicals!D92</f>
        <v>-1133</v>
      </c>
      <c r="E62" s="20">
        <f>[1]Historicals!E92</f>
        <v>-1243</v>
      </c>
      <c r="F62" s="20">
        <f>[1]Historicals!F92</f>
        <v>-1332</v>
      </c>
      <c r="G62" s="20">
        <f>[1]Historicals!G92</f>
        <v>-1452</v>
      </c>
      <c r="H62" s="20">
        <f>[1]Historicals!H92</f>
        <v>-1638</v>
      </c>
      <c r="I62" s="20">
        <f>[1]Historicals!I92</f>
        <v>-1837</v>
      </c>
      <c r="J62" s="20">
        <f>-(J17*J15)</f>
        <v>-2029.8934869610657</v>
      </c>
      <c r="K62" s="20">
        <f t="shared" ref="K62:N62" si="33">-(K17*K15)</f>
        <v>-2160.3321922466685</v>
      </c>
      <c r="L62" s="20">
        <f t="shared" si="33"/>
        <v>-2356.2162046467206</v>
      </c>
      <c r="M62" s="20">
        <f t="shared" si="33"/>
        <v>-2495.0026594262627</v>
      </c>
      <c r="N62" s="20">
        <f t="shared" si="33"/>
        <v>-2633.9915153363759</v>
      </c>
      <c r="O62" s="20"/>
      <c r="P62" s="29"/>
    </row>
    <row r="63" spans="1:18" ht="15.75" customHeight="1" x14ac:dyDescent="0.25">
      <c r="A63" s="18" t="s">
        <v>93</v>
      </c>
      <c r="B63" s="20">
        <f>SUM([1]Historicals!B86:B89)</f>
        <v>-70</v>
      </c>
      <c r="C63" s="20">
        <f>SUM([1]Historicals!C86:C89)</f>
        <v>808</v>
      </c>
      <c r="D63" s="20">
        <f>SUM([1]Historicals!D86:D89)</f>
        <v>1765</v>
      </c>
      <c r="E63" s="20">
        <f>SUM([1]Historicals!E86:E89)</f>
        <v>7</v>
      </c>
      <c r="F63" s="20">
        <f>SUM([1]Historicals!F86:F89)</f>
        <v>-331</v>
      </c>
      <c r="G63" s="20">
        <f>SUM([1]Historicals!G86:G89)</f>
        <v>6177</v>
      </c>
      <c r="H63" s="20">
        <f>SUM([1]Historicals!H86:H89)</f>
        <v>-249</v>
      </c>
      <c r="I63" s="20">
        <f>SUM([1]Historicals!I86:I89)</f>
        <v>15</v>
      </c>
      <c r="J63" s="20">
        <f>(I33+I36)-(J33+J36)</f>
        <v>0</v>
      </c>
      <c r="K63" s="20">
        <f t="shared" ref="K63:N63" si="34">(J33+J36)-(K33+K36)</f>
        <v>0</v>
      </c>
      <c r="L63" s="20">
        <f t="shared" si="34"/>
        <v>0</v>
      </c>
      <c r="M63" s="20">
        <f t="shared" si="34"/>
        <v>0</v>
      </c>
      <c r="N63" s="20">
        <f t="shared" si="34"/>
        <v>0</v>
      </c>
      <c r="O63" s="20"/>
      <c r="P63" s="27" t="s">
        <v>94</v>
      </c>
    </row>
    <row r="64" spans="1:18" ht="15.75" customHeight="1" x14ac:dyDescent="0.25">
      <c r="A64" s="18" t="s">
        <v>95</v>
      </c>
      <c r="B64" s="20">
        <f>[1]Historicals!B93</f>
        <v>199</v>
      </c>
      <c r="C64" s="20">
        <f>[1]Historicals!C93</f>
        <v>274</v>
      </c>
      <c r="D64" s="20">
        <f>[1]Historicals!D93</f>
        <v>-46</v>
      </c>
      <c r="E64" s="20">
        <f>[1]Historicals!E93</f>
        <v>-78</v>
      </c>
      <c r="F64" s="20">
        <f>[1]Historicals!F93</f>
        <v>-44</v>
      </c>
      <c r="G64" s="20">
        <f>[1]Historicals!G93</f>
        <v>-52</v>
      </c>
      <c r="H64" s="20">
        <f>[1]Historicals!H93</f>
        <v>-136</v>
      </c>
      <c r="I64" s="20">
        <f>[1]Historicals!I93</f>
        <v>-151</v>
      </c>
      <c r="J64" s="20"/>
      <c r="K64" s="20"/>
      <c r="L64" s="20"/>
      <c r="M64" s="20"/>
      <c r="N64" s="20"/>
      <c r="O64" s="20"/>
      <c r="P64" s="27" t="s">
        <v>83</v>
      </c>
    </row>
    <row r="65" spans="1:18" ht="15.75" customHeight="1" x14ac:dyDescent="0.25">
      <c r="A65" s="34" t="s">
        <v>96</v>
      </c>
      <c r="B65" s="35">
        <f t="shared" ref="B65:N65" si="35">B60+B62+B63+B64</f>
        <v>-2790</v>
      </c>
      <c r="C65" s="35">
        <f t="shared" si="35"/>
        <v>-2671</v>
      </c>
      <c r="D65" s="35">
        <f t="shared" si="35"/>
        <v>-2148</v>
      </c>
      <c r="E65" s="35">
        <f t="shared" si="35"/>
        <v>-4835</v>
      </c>
      <c r="F65" s="35">
        <f t="shared" si="35"/>
        <v>-5293</v>
      </c>
      <c r="G65" s="35">
        <f t="shared" si="35"/>
        <v>2491</v>
      </c>
      <c r="H65" s="35">
        <f t="shared" si="35"/>
        <v>-1459</v>
      </c>
      <c r="I65" s="35">
        <f t="shared" si="35"/>
        <v>-4836</v>
      </c>
      <c r="J65" s="35">
        <f t="shared" si="35"/>
        <v>-5036.0434869610654</v>
      </c>
      <c r="K65" s="35">
        <f t="shared" si="35"/>
        <v>-5292.7404922466685</v>
      </c>
      <c r="L65" s="35">
        <f t="shared" si="35"/>
        <v>-5638.9801030467206</v>
      </c>
      <c r="M65" s="35">
        <f t="shared" si="35"/>
        <v>-5925.4909332542629</v>
      </c>
      <c r="N65" s="35">
        <f t="shared" si="35"/>
        <v>-6236.0042028557764</v>
      </c>
      <c r="O65" s="15"/>
      <c r="P65" s="29"/>
    </row>
    <row r="66" spans="1:18" ht="15.75" customHeight="1" x14ac:dyDescent="0.25">
      <c r="A66" s="18" t="s">
        <v>97</v>
      </c>
      <c r="B66" s="20">
        <f>[1]Historicals!B95</f>
        <v>-83</v>
      </c>
      <c r="C66" s="20">
        <f>[1]Historicals!C95</f>
        <v>-105</v>
      </c>
      <c r="D66" s="20">
        <f>[1]Historicals!D95</f>
        <v>-20</v>
      </c>
      <c r="E66" s="20">
        <f>[1]Historicals!E95</f>
        <v>45</v>
      </c>
      <c r="F66" s="20">
        <f>[1]Historicals!F95</f>
        <v>-129</v>
      </c>
      <c r="G66" s="20">
        <f>[1]Historicals!G95</f>
        <v>-66</v>
      </c>
      <c r="H66" s="20">
        <f>[1]Historicals!H95</f>
        <v>143</v>
      </c>
      <c r="I66" s="20">
        <f>[1]Historicals!I95</f>
        <v>-143</v>
      </c>
      <c r="J66" s="20"/>
      <c r="K66" s="20"/>
      <c r="L66" s="20"/>
      <c r="M66" s="20"/>
      <c r="N66" s="20"/>
      <c r="O66" s="20"/>
      <c r="P66" s="27" t="s">
        <v>83</v>
      </c>
    </row>
    <row r="67" spans="1:18" ht="15.75" customHeight="1" x14ac:dyDescent="0.25">
      <c r="A67" s="34" t="s">
        <v>98</v>
      </c>
      <c r="B67" s="35">
        <f t="shared" ref="B67:N67" si="36">B56+B59+B65+B66</f>
        <v>1632</v>
      </c>
      <c r="C67" s="35">
        <f t="shared" si="36"/>
        <v>-714</v>
      </c>
      <c r="D67" s="35">
        <f t="shared" si="36"/>
        <v>670</v>
      </c>
      <c r="E67" s="35">
        <f t="shared" si="36"/>
        <v>441</v>
      </c>
      <c r="F67" s="35">
        <f t="shared" si="36"/>
        <v>217</v>
      </c>
      <c r="G67" s="35">
        <f t="shared" si="36"/>
        <v>3882</v>
      </c>
      <c r="H67" s="35">
        <f t="shared" si="36"/>
        <v>1541</v>
      </c>
      <c r="I67" s="35">
        <f t="shared" si="36"/>
        <v>-1315</v>
      </c>
      <c r="J67" s="35">
        <f t="shared" si="36"/>
        <v>-1352.931209468627</v>
      </c>
      <c r="K67" s="35">
        <f t="shared" si="36"/>
        <v>-767.99923963338733</v>
      </c>
      <c r="L67" s="35">
        <f t="shared" si="36"/>
        <v>598.38613699095549</v>
      </c>
      <c r="M67" s="35">
        <f t="shared" si="36"/>
        <v>1482.0358697670918</v>
      </c>
      <c r="N67" s="35">
        <f t="shared" si="36"/>
        <v>1038.7128151181696</v>
      </c>
      <c r="O67" s="15"/>
      <c r="P67" s="29"/>
    </row>
    <row r="68" spans="1:18" ht="15.75" customHeight="1" x14ac:dyDescent="0.25">
      <c r="A68" s="18" t="s">
        <v>99</v>
      </c>
      <c r="B68" s="20">
        <f>[1]Historicals!B97</f>
        <v>2220</v>
      </c>
      <c r="C68" s="20">
        <f t="shared" ref="C68:N68" si="37">B69</f>
        <v>3852</v>
      </c>
      <c r="D68" s="20">
        <f t="shared" si="37"/>
        <v>3138</v>
      </c>
      <c r="E68" s="20">
        <f t="shared" si="37"/>
        <v>3808</v>
      </c>
      <c r="F68" s="20">
        <f t="shared" si="37"/>
        <v>4249</v>
      </c>
      <c r="G68" s="20">
        <f t="shared" si="37"/>
        <v>4466</v>
      </c>
      <c r="H68" s="20">
        <f t="shared" si="37"/>
        <v>8348</v>
      </c>
      <c r="I68" s="20">
        <f t="shared" si="37"/>
        <v>9889</v>
      </c>
      <c r="J68" s="20">
        <f t="shared" si="37"/>
        <v>8574</v>
      </c>
      <c r="K68" s="20">
        <f t="shared" si="37"/>
        <v>7221.0687905313735</v>
      </c>
      <c r="L68" s="20">
        <f t="shared" si="37"/>
        <v>6453.0695508979861</v>
      </c>
      <c r="M68" s="20">
        <f t="shared" si="37"/>
        <v>7051.4556878889416</v>
      </c>
      <c r="N68" s="20">
        <f t="shared" si="37"/>
        <v>8533.4915576560343</v>
      </c>
      <c r="O68" s="20"/>
      <c r="P68" s="29"/>
      <c r="R68" s="15"/>
    </row>
    <row r="69" spans="1:18" ht="15.75" customHeight="1" thickBot="1" x14ac:dyDescent="0.3">
      <c r="A69" s="25" t="s">
        <v>100</v>
      </c>
      <c r="B69" s="26">
        <f t="shared" ref="B69:H69" si="38">B67+B68</f>
        <v>3852</v>
      </c>
      <c r="C69" s="26">
        <f t="shared" si="38"/>
        <v>3138</v>
      </c>
      <c r="D69" s="26">
        <f t="shared" si="38"/>
        <v>3808</v>
      </c>
      <c r="E69" s="26">
        <f t="shared" si="38"/>
        <v>4249</v>
      </c>
      <c r="F69" s="26">
        <f t="shared" si="38"/>
        <v>4466</v>
      </c>
      <c r="G69" s="26">
        <f t="shared" si="38"/>
        <v>8348</v>
      </c>
      <c r="H69" s="26">
        <f t="shared" si="38"/>
        <v>9889</v>
      </c>
      <c r="I69" s="26">
        <f>I67+I68</f>
        <v>8574</v>
      </c>
      <c r="J69" s="26">
        <f>J56+J59+J65+J68</f>
        <v>7221.0687905313735</v>
      </c>
      <c r="K69" s="26">
        <f>K68+K65+K59+K56</f>
        <v>6453.0695508979861</v>
      </c>
      <c r="L69" s="26">
        <f t="shared" ref="L69:N69" si="39">L68+L65+L59+L56</f>
        <v>7051.4556878889416</v>
      </c>
      <c r="M69" s="26">
        <f t="shared" si="39"/>
        <v>8533.4915576560343</v>
      </c>
      <c r="N69" s="26">
        <f t="shared" si="39"/>
        <v>9572.2043727742039</v>
      </c>
      <c r="O69" s="15"/>
      <c r="P69" s="29"/>
    </row>
    <row r="70" spans="1:18" ht="15.75" customHeight="1" thickTop="1" x14ac:dyDescent="0.25">
      <c r="A70" s="31" t="s">
        <v>72</v>
      </c>
      <c r="B70" s="37">
        <f t="shared" ref="B70:N70" si="40">+B69-B21</f>
        <v>0</v>
      </c>
      <c r="C70" s="37">
        <f t="shared" si="40"/>
        <v>0</v>
      </c>
      <c r="D70" s="37">
        <f t="shared" si="40"/>
        <v>0</v>
      </c>
      <c r="E70" s="37">
        <f t="shared" si="40"/>
        <v>0</v>
      </c>
      <c r="F70" s="37">
        <f t="shared" si="40"/>
        <v>0</v>
      </c>
      <c r="G70" s="37">
        <f t="shared" si="40"/>
        <v>0</v>
      </c>
      <c r="H70" s="37">
        <f t="shared" si="40"/>
        <v>0</v>
      </c>
      <c r="I70" s="37">
        <f t="shared" si="40"/>
        <v>0</v>
      </c>
      <c r="J70" s="37">
        <f t="shared" si="40"/>
        <v>0</v>
      </c>
      <c r="K70" s="37">
        <f t="shared" si="40"/>
        <v>0</v>
      </c>
      <c r="L70" s="37">
        <f t="shared" si="40"/>
        <v>0</v>
      </c>
      <c r="M70" s="37">
        <f t="shared" si="40"/>
        <v>0</v>
      </c>
      <c r="N70" s="37">
        <f t="shared" si="40"/>
        <v>0</v>
      </c>
      <c r="O70" s="15"/>
      <c r="P70" s="29"/>
    </row>
    <row r="71" spans="1:18" ht="15.75" customHeight="1" x14ac:dyDescent="0.25">
      <c r="A71" s="14" t="s">
        <v>101</v>
      </c>
      <c r="B71" s="15">
        <f t="shared" ref="B71:N71" si="41">B63-(B69+B68)</f>
        <v>-6142</v>
      </c>
      <c r="C71" s="15">
        <f t="shared" si="41"/>
        <v>-6182</v>
      </c>
      <c r="D71" s="15">
        <f t="shared" si="41"/>
        <v>-5181</v>
      </c>
      <c r="E71" s="15">
        <f t="shared" si="41"/>
        <v>-8050</v>
      </c>
      <c r="F71" s="15">
        <f t="shared" si="41"/>
        <v>-9046</v>
      </c>
      <c r="G71" s="15">
        <f t="shared" si="41"/>
        <v>-6637</v>
      </c>
      <c r="H71" s="15">
        <f t="shared" si="41"/>
        <v>-18486</v>
      </c>
      <c r="I71" s="15">
        <f t="shared" si="41"/>
        <v>-18448</v>
      </c>
      <c r="J71" s="15">
        <f t="shared" si="41"/>
        <v>-15795.068790531373</v>
      </c>
      <c r="K71" s="15">
        <f t="shared" si="41"/>
        <v>-13674.13834142936</v>
      </c>
      <c r="L71" s="15">
        <f t="shared" si="41"/>
        <v>-13504.525238786928</v>
      </c>
      <c r="M71" s="15">
        <f t="shared" si="41"/>
        <v>-15584.947245544976</v>
      </c>
      <c r="N71" s="15">
        <f t="shared" si="41"/>
        <v>-18105.695930430236</v>
      </c>
      <c r="O71" s="15"/>
      <c r="P71" s="27" t="s">
        <v>102</v>
      </c>
    </row>
    <row r="72" spans="1:18" ht="15.75" customHeight="1" x14ac:dyDescent="0.25"/>
    <row r="73" spans="1:18" ht="15.75" customHeight="1" x14ac:dyDescent="0.25"/>
    <row r="74" spans="1:18" ht="15.75" customHeight="1" x14ac:dyDescent="0.25"/>
    <row r="75" spans="1:18" ht="15.75" customHeight="1" x14ac:dyDescent="0.25"/>
    <row r="76" spans="1:18" ht="15.75" customHeight="1" x14ac:dyDescent="0.25"/>
    <row r="77" spans="1:18" ht="15.75" customHeight="1" x14ac:dyDescent="0.25"/>
    <row r="78" spans="1:18" ht="15.75" customHeight="1" x14ac:dyDescent="0.25"/>
    <row r="79" spans="1:18" ht="15.75" customHeight="1" x14ac:dyDescent="0.25"/>
    <row r="80" spans="1:18"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FB34C-F959-4264-8847-6F0D57A22FBB}">
  <dimension ref="A1:AA34"/>
  <sheetViews>
    <sheetView workbookViewId="0">
      <pane ySplit="1" topLeftCell="A2" activePane="bottomLeft" state="frozen"/>
      <selection pane="bottomLeft" activeCell="L34" sqref="L34"/>
    </sheetView>
  </sheetViews>
  <sheetFormatPr defaultColWidth="8.85546875" defaultRowHeight="15" x14ac:dyDescent="0.25"/>
  <cols>
    <col min="1" max="1" width="42.7109375" style="44" customWidth="1"/>
    <col min="2" max="2" width="10.42578125" style="44" customWidth="1"/>
    <col min="3" max="3" width="11.5703125" style="44" bestFit="1" customWidth="1"/>
    <col min="4" max="8" width="10.42578125" style="44" customWidth="1"/>
    <col min="9" max="9" width="12.140625" style="44" customWidth="1"/>
    <col min="10" max="10" width="9.7109375" style="44" customWidth="1"/>
    <col min="11" max="11" width="8.85546875" style="44" customWidth="1"/>
    <col min="12" max="12" width="34.7109375" style="44" customWidth="1"/>
    <col min="13" max="13" width="11.42578125" style="44" bestFit="1" customWidth="1"/>
    <col min="14" max="17" width="10.42578125" style="44" bestFit="1" customWidth="1"/>
    <col min="18" max="19" width="10.5703125" style="44" bestFit="1" customWidth="1"/>
    <col min="20" max="16384" width="8.85546875" style="44"/>
  </cols>
  <sheetData>
    <row r="1" spans="1:23" ht="60" customHeight="1" x14ac:dyDescent="0.25">
      <c r="A1" s="38" t="s">
        <v>103</v>
      </c>
      <c r="B1" s="39">
        <v>2015</v>
      </c>
      <c r="C1" s="39">
        <f t="shared" ref="C1:I1" si="0">+B1+1</f>
        <v>2016</v>
      </c>
      <c r="D1" s="39">
        <f t="shared" si="0"/>
        <v>2017</v>
      </c>
      <c r="E1" s="39">
        <f t="shared" si="0"/>
        <v>2018</v>
      </c>
      <c r="F1" s="39">
        <f t="shared" si="0"/>
        <v>2019</v>
      </c>
      <c r="G1" s="39">
        <f t="shared" si="0"/>
        <v>2020</v>
      </c>
      <c r="H1" s="39">
        <f t="shared" si="0"/>
        <v>2021</v>
      </c>
      <c r="I1" s="39">
        <f t="shared" si="0"/>
        <v>2022</v>
      </c>
      <c r="J1" s="40" t="s">
        <v>104</v>
      </c>
      <c r="K1" s="41" t="s">
        <v>15</v>
      </c>
      <c r="L1" s="40" t="s">
        <v>105</v>
      </c>
      <c r="M1" s="42">
        <f>+I1+1</f>
        <v>2023</v>
      </c>
      <c r="N1" s="42">
        <f t="shared" ref="N1:V1" si="1">+M1+1</f>
        <v>2024</v>
      </c>
      <c r="O1" s="42">
        <f t="shared" si="1"/>
        <v>2025</v>
      </c>
      <c r="P1" s="42">
        <f t="shared" si="1"/>
        <v>2026</v>
      </c>
      <c r="Q1" s="42">
        <f t="shared" si="1"/>
        <v>2027</v>
      </c>
      <c r="R1" s="42">
        <f t="shared" si="1"/>
        <v>2028</v>
      </c>
      <c r="S1" s="42">
        <f t="shared" si="1"/>
        <v>2029</v>
      </c>
      <c r="T1" s="42">
        <f t="shared" si="1"/>
        <v>2030</v>
      </c>
      <c r="U1" s="42">
        <f t="shared" si="1"/>
        <v>2031</v>
      </c>
      <c r="V1" s="42">
        <f t="shared" si="1"/>
        <v>2032</v>
      </c>
      <c r="W1" s="43" t="s">
        <v>106</v>
      </c>
    </row>
    <row r="2" spans="1:23" x14ac:dyDescent="0.25">
      <c r="A2" s="45" t="s">
        <v>107</v>
      </c>
      <c r="B2" s="45"/>
      <c r="C2" s="45"/>
      <c r="D2" s="45"/>
      <c r="E2" s="45"/>
      <c r="F2" s="45"/>
      <c r="G2" s="45"/>
      <c r="H2" s="45"/>
      <c r="I2" s="45"/>
      <c r="J2" s="45"/>
      <c r="K2" s="45"/>
      <c r="L2" s="45"/>
      <c r="M2" s="45"/>
      <c r="N2" s="45"/>
      <c r="O2" s="45"/>
      <c r="P2" s="45"/>
      <c r="Q2" s="45"/>
      <c r="R2" s="46"/>
      <c r="S2" s="46"/>
      <c r="T2" s="46"/>
      <c r="U2" s="46"/>
      <c r="V2" s="46"/>
      <c r="W2" s="46"/>
    </row>
    <row r="3" spans="1:23" x14ac:dyDescent="0.25">
      <c r="A3" s="44" t="s">
        <v>108</v>
      </c>
      <c r="B3" s="47">
        <f>AVERAGE(57.13, 60.46, 59.89, 56.06, 50.95, 52.53, 49.25, 46.22, 44.94, 45.61, 44.03, 41.82)</f>
        <v>50.740833333333335</v>
      </c>
      <c r="C3" s="47">
        <f>AVERAGE(46.96, 46.26, 46.36, 48.51, 53.11, 51.13, 50.71, 50.73, 54.15, 56.33, 56.44, 56.82)</f>
        <v>51.459166666666668</v>
      </c>
      <c r="D3" s="47">
        <f>AVERAGE(58.58, 56.58, 51.5, 48.56, 49.29, 55.11, 54.88, 49.29, 51.54, 51.68, 53, 49.05)</f>
        <v>52.42166666666666</v>
      </c>
      <c r="E3" s="47">
        <f>AVERAGE(70.45, 71.17, 71.09, 80.27, 77.69, 72.69, 75.1, 67.67, 64.46, 62.43, 62.98, 64.1)</f>
        <v>70.00833333333334</v>
      </c>
      <c r="F3" s="47">
        <f>AVERAGE(97.29, 89.55, 85.77, 89.96, 80.73, 82.19, 80.2, 73.49, 83.67, 80.02, 81.46, 77.81)</f>
        <v>83.51166666666667</v>
      </c>
      <c r="G3" s="47">
        <f>AVERAGE(136.87, 130.32, 116.18, 121.46, 108.02, 94.23, 94.65, 94.93, 83.95, 79.68, 85.83, 92.48)</f>
        <v>103.21666666666668</v>
      </c>
      <c r="H3" s="47">
        <f>AVERAGE(162.5, 165.01, 163.11, 141.6, 160.63, 163.06, 150.38, 132.56, 128.83, 129.09, 130.66, 129.51)</f>
        <v>146.41166666666666</v>
      </c>
      <c r="I3" s="47">
        <f>AVERAGE(115.16, 107.96, 91.22, 81.57, 104.47, 112.78, 100.05, 116.35, 122.08, 131.43, 133.37, 144.63)</f>
        <v>113.42250000000001</v>
      </c>
      <c r="J3" s="47"/>
      <c r="M3" s="47">
        <f>AVERAGE(119.24, 109.9, 102.43, 94.98, 101.03, 109.65, 109.27, 104.21, 125.46, 121.07, 117.27, 125.71)</f>
        <v>111.685</v>
      </c>
      <c r="N3" s="47">
        <f>(1+N4)*M3</f>
        <v>109.67467000000001</v>
      </c>
      <c r="O3" s="47">
        <f t="shared" ref="O3:W3" si="2">(1+O4)*N3</f>
        <v>112.30686208</v>
      </c>
      <c r="P3" s="47">
        <f t="shared" si="2"/>
        <v>114.66530618367999</v>
      </c>
      <c r="Q3" s="47">
        <f t="shared" si="2"/>
        <v>120.16924088049663</v>
      </c>
      <c r="R3" s="47">
        <f t="shared" si="2"/>
        <v>125.2163489974775</v>
      </c>
      <c r="S3" s="47">
        <f t="shared" si="2"/>
        <v>127.3450269304346</v>
      </c>
      <c r="T3" s="47">
        <f t="shared" si="2"/>
        <v>125.68954158033895</v>
      </c>
      <c r="U3" s="47">
        <f t="shared" si="2"/>
        <v>128.32902195352605</v>
      </c>
      <c r="V3" s="47">
        <f t="shared" si="2"/>
        <v>133.20552478776006</v>
      </c>
      <c r="W3" s="47">
        <f t="shared" si="2"/>
        <v>137.33489605618061</v>
      </c>
    </row>
    <row r="4" spans="1:23" x14ac:dyDescent="0.25">
      <c r="A4" s="48" t="s">
        <v>109</v>
      </c>
      <c r="B4" s="49" t="e">
        <f>(B3-A3)/(A3)</f>
        <v>#VALUE!</v>
      </c>
      <c r="C4" s="49">
        <f>(C3-B3)/(B3)</f>
        <v>1.4156908472794764E-2</v>
      </c>
      <c r="D4" s="49">
        <f t="shared" ref="D4:I4" si="3">(D3-C3)/(C3)</f>
        <v>1.8704150540072059E-2</v>
      </c>
      <c r="E4" s="49">
        <f t="shared" si="3"/>
        <v>0.33548469144437765</v>
      </c>
      <c r="F4" s="49">
        <f t="shared" si="3"/>
        <v>0.19288179978573974</v>
      </c>
      <c r="G4" s="49">
        <f t="shared" si="3"/>
        <v>0.23595505617977541</v>
      </c>
      <c r="H4" s="49">
        <f t="shared" si="3"/>
        <v>0.41848861617955729</v>
      </c>
      <c r="I4" s="49">
        <f t="shared" si="3"/>
        <v>-0.22531788222705373</v>
      </c>
      <c r="J4" s="47"/>
      <c r="M4" s="49">
        <f>(M3-I3)/(I3)</f>
        <v>-1.5318830038131863E-2</v>
      </c>
      <c r="N4" s="49">
        <v>-1.7999999999999999E-2</v>
      </c>
      <c r="O4" s="49">
        <v>2.4E-2</v>
      </c>
      <c r="P4" s="49">
        <v>2.1000000000000001E-2</v>
      </c>
      <c r="Q4" s="49">
        <v>4.8000000000000001E-2</v>
      </c>
      <c r="R4" s="49">
        <v>4.2000000000000003E-2</v>
      </c>
      <c r="S4" s="49">
        <v>1.7000000000000001E-2</v>
      </c>
      <c r="T4" s="49">
        <v>-1.2999999999999999E-2</v>
      </c>
      <c r="U4" s="49">
        <v>2.1000000000000001E-2</v>
      </c>
      <c r="V4" s="49">
        <v>3.7999999999999999E-2</v>
      </c>
      <c r="W4" s="49">
        <v>3.1E-2</v>
      </c>
    </row>
    <row r="5" spans="1:23" x14ac:dyDescent="0.25">
      <c r="A5" s="44" t="s">
        <v>110</v>
      </c>
      <c r="B5" s="50">
        <f>('[1]Three Statements'!B15*Schedules!B3)+('[1]Three Statements'!B33+'[1]Three Statements'!B36+'[1]Three Statements'!B34+'[1]Three Statements'!B37)-('[1]Three Statements'!B21)</f>
        <v>87158.385999999999</v>
      </c>
      <c r="C5" s="50">
        <f>('[1]Three Statements'!C15*Schedules!C3)+('[1]Three Statements'!C33+'[1]Three Statements'!C36+'[1]Three Statements'!C34+'[1]Three Statements'!C37)-('[1]Three Statements'!C21)</f>
        <v>88584.597916666666</v>
      </c>
      <c r="D5" s="50">
        <f>('[1]Three Statements'!D15*Schedules!D3)+('[1]Three Statements'!D33+'[1]Three Statements'!D36+'[1]Three Statements'!D34+'[1]Three Statements'!D37)-('[1]Three Statements'!D21)</f>
        <v>88691.459999999992</v>
      </c>
      <c r="E5" s="50">
        <f>('[1]Three Statements'!E15*Schedules!E3)+('[1]Three Statements'!E33+'[1]Three Statements'!E36+'[1]Three Statements'!E34+'[1]Three Statements'!E37)-('[1]Three Statements'!E21)</f>
        <v>115711.82583333334</v>
      </c>
      <c r="F5" s="50">
        <f>('[1]Three Statements'!F15*Schedules!F3)+('[1]Three Statements'!F33+'[1]Three Statements'!F36+'[1]Three Statements'!F34+'[1]Three Statements'!F37)-('[1]Three Statements'!F21)</f>
        <v>134168.28133333335</v>
      </c>
      <c r="G5" s="50">
        <f>('[1]Three Statements'!G15*Schedules!G3)+('[1]Three Statements'!G33+'[1]Three Statements'!G36+'[1]Three Statements'!G34+'[1]Three Statements'!G37)-('[1]Three Statements'!G21)</f>
        <v>168946.6466666667</v>
      </c>
      <c r="H5" s="50">
        <f>('[1]Three Statements'!H15*Schedules!H3)+('[1]Three Statements'!H33+'[1]Three Statements'!H36+'[1]Three Statements'!H34+'[1]Three Statements'!H37)-('[1]Three Statements'!H21)</f>
        <v>238558.93633333335</v>
      </c>
      <c r="I5" s="50">
        <f>('[1]Three Statements'!I15*Schedules!I3)+('[1]Three Statements'!I33+'[1]Three Statements'!I36+'[1]Three Statements'!I34+'[1]Three Statements'!I37)-('[1]Three Statements'!I21)</f>
        <v>186753.96300000002</v>
      </c>
      <c r="J5" s="50"/>
      <c r="M5" s="51">
        <f>('[1]Three Statements'!J15*M3)+('[1]Three Statements'!J33+'[1]Three Statements'!J36+'[1]Three Statements'!J34+'[1]Three Statements'!J37)-('[1]Three Statements'!J21)</f>
        <v>182383.80325571896</v>
      </c>
      <c r="N5" s="51">
        <f>('[1]Three Statements'!K15*N3)+('[1]Three Statements'!K33+'[1]Three Statements'!K36+'[1]Three Statements'!K34+'[1]Three Statements'!K37)-('[1]Three Statements'!K21)</f>
        <v>176973.90181230119</v>
      </c>
      <c r="O5" s="51">
        <f>('[1]Three Statements'!L15*O3)+('[1]Three Statements'!L33+'[1]Three Statements'!L36+'[1]Three Statements'!L34+'[1]Three Statements'!L37)-('[1]Three Statements'!L21)</f>
        <v>177263.52334636851</v>
      </c>
      <c r="P5" s="51">
        <f>('[1]Three Statements'!M15*P3)+('[1]Three Statements'!M33+'[1]Three Statements'!M36+'[1]Three Statements'!M34+'[1]Three Statements'!M37)-('[1]Three Statements'!M21)</f>
        <v>175960.77017021147</v>
      </c>
      <c r="Q5" s="51">
        <f>('[1]Three Statements'!N15*Q3)+('[1]Three Statements'!N33+'[1]Three Statements'!N36+'[1]Three Statements'!N34+'[1]Three Statements'!N37)-('[1]Three Statements'!N21)</f>
        <v>179401.53409936425</v>
      </c>
    </row>
    <row r="6" spans="1:23" x14ac:dyDescent="0.25">
      <c r="A6" s="44" t="s">
        <v>2</v>
      </c>
      <c r="B6" s="52">
        <f>B3/'[1]Three Statements'!B16</f>
        <v>27.421443935227622</v>
      </c>
      <c r="C6" s="52">
        <f>C3/'[1]Three Statements'!C16</f>
        <v>23.847765403368797</v>
      </c>
      <c r="D6" s="52">
        <f>D3/'[1]Three Statements'!D16</f>
        <v>20.919212264150939</v>
      </c>
      <c r="E6" s="52">
        <f>E3/'[1]Three Statements'!E16</f>
        <v>60.08837342645284</v>
      </c>
      <c r="F6" s="52">
        <f>F3/'[1]Three Statements'!F16</f>
        <v>33.545614627285516</v>
      </c>
      <c r="G6" s="52">
        <f>G3/'[1]Three Statements'!G16</f>
        <v>64.702499671786796</v>
      </c>
      <c r="H6" s="52">
        <f>H3/'[1]Three Statements'!H16</f>
        <v>41.144567196321518</v>
      </c>
      <c r="I6" s="52">
        <f>I3/'[1]Three Statements'!I16</f>
        <v>30.218485444922266</v>
      </c>
      <c r="J6" s="52"/>
      <c r="M6" s="53">
        <f>M3/'[1]Three Statements'!J16</f>
        <v>31.589519390934136</v>
      </c>
      <c r="N6" s="53">
        <f>N3/'[1]Three Statements'!K16</f>
        <v>26.050670628332</v>
      </c>
      <c r="O6" s="53">
        <f>O3/'[1]Three Statements'!L16</f>
        <v>20.986829107408266</v>
      </c>
      <c r="P6" s="53">
        <f>P3/'[1]Three Statements'!M16</f>
        <v>18.452151671804977</v>
      </c>
      <c r="Q6" s="53">
        <f>Q3/'[1]Three Statements'!N16</f>
        <v>18.72457953466472</v>
      </c>
    </row>
    <row r="7" spans="1:23" x14ac:dyDescent="0.25">
      <c r="A7" s="44" t="s">
        <v>111</v>
      </c>
      <c r="B7" s="52">
        <f>(B3)/((SUM('[1]Three Statements'!B39:B42))/'[1]Three Statements'!B15)</f>
        <v>3.5315332493900997</v>
      </c>
      <c r="C7" s="52">
        <f>(C3)/((SUM('[1]Three Statements'!C39:C42))/'[1]Three Statements'!C15)</f>
        <v>3.6575133756186435</v>
      </c>
      <c r="D7" s="52">
        <f>(D3)/((SUM('[1]Three Statements'!D39:D42))/'[1]Three Statements'!D15)</f>
        <v>3.5744926251309739</v>
      </c>
      <c r="E7" s="52">
        <f>(E3)/((SUM('[1]Three Statements'!E39:E42))/'[1]Three Statements'!E15)</f>
        <v>5.9188150139285236</v>
      </c>
      <c r="F7" s="52">
        <f>(F3)/((SUM('[1]Three Statements'!F39:F42))/'[1]Three Statements'!F15)</f>
        <v>7.4754027286135694</v>
      </c>
      <c r="G7" s="52">
        <f>(G3)/((SUM('[1]Three Statements'!G39:G42))/'[1]Three Statements'!G15)</f>
        <v>10.197370991102835</v>
      </c>
      <c r="H7" s="52">
        <f>(H3)/((SUM('[1]Three Statements'!H39:H42))/'[1]Three Statements'!H15)</f>
        <v>9.2282813634108773</v>
      </c>
      <c r="I7" s="52">
        <f>(I3)/((SUM('[1]Three Statements'!I39:I42))/'[1]Three Statements'!I15)</f>
        <v>5.9780434199332513</v>
      </c>
      <c r="J7" s="52"/>
      <c r="M7" s="53">
        <f>(I3)/((SUM('[1]Three Statements'!J39:J42))/'[1]Three Statements'!J15)</f>
        <v>5.4692141115917643</v>
      </c>
      <c r="N7" s="53">
        <f>(K3)/((SUM('[1]Three Statements'!K39:K42))/'[1]Three Statements'!K15)</f>
        <v>0</v>
      </c>
      <c r="O7" s="53">
        <f>(M3)/((SUM('[1]Three Statements'!L39:L42))/'[1]Three Statements'!L15)</f>
        <v>4.4791308897757123</v>
      </c>
      <c r="P7" s="53">
        <f>(N3)/((SUM('[1]Three Statements'!M39:M42))/'[1]Three Statements'!M15)</f>
        <v>4.0722656626034111</v>
      </c>
      <c r="Q7" s="53">
        <f>(O3)/((SUM('[1]Three Statements'!N39:N42))/'[1]Three Statements'!N15)</f>
        <v>4.0683673991978484</v>
      </c>
    </row>
    <row r="8" spans="1:23" x14ac:dyDescent="0.25">
      <c r="A8" s="44" t="s">
        <v>3</v>
      </c>
      <c r="B8" s="52">
        <f>B5/'[1]Three Statements'!B5</f>
        <v>18.011652407522217</v>
      </c>
      <c r="C8" s="52">
        <f>C5/'[1]Three Statements'!C5</f>
        <v>16.74250574875575</v>
      </c>
      <c r="D8" s="52">
        <f>D5/'[1]Three Statements'!D5</f>
        <v>15.694825694567331</v>
      </c>
      <c r="E8" s="52">
        <f>E5/'[1]Three Statements'!E5</f>
        <v>22.573512647938614</v>
      </c>
      <c r="F8" s="52">
        <f>F5/'[1]Three Statements'!F5</f>
        <v>24.152705910591063</v>
      </c>
      <c r="G8" s="52">
        <f>G5/'[1]Three Statements'!G5</f>
        <v>45.698308538454611</v>
      </c>
      <c r="H8" s="52">
        <f>H5/'[1]Three Statements'!H5</f>
        <v>31.115030172601195</v>
      </c>
      <c r="I8" s="52">
        <f>I5/'[1]Three Statements'!I5</f>
        <v>24.660499537831772</v>
      </c>
      <c r="J8" s="52"/>
      <c r="M8" s="53">
        <f>M5/'[1]Three Statements'!J5</f>
        <v>23.276708105435628</v>
      </c>
      <c r="N8" s="53">
        <f>N5/'[1]Three Statements'!K5</f>
        <v>21.698226206333853</v>
      </c>
      <c r="O8" s="53">
        <f>O5/'[1]Three Statements'!L5</f>
        <v>17.81531761406487</v>
      </c>
      <c r="P8" s="53">
        <f>P5/'[1]Three Statements'!M5</f>
        <v>15.702819996114044</v>
      </c>
      <c r="Q8" s="53">
        <f>Q5/'[1]Three Statements'!N5</f>
        <v>15.794104525615545</v>
      </c>
    </row>
    <row r="9" spans="1:23" x14ac:dyDescent="0.25">
      <c r="A9" s="44" t="s">
        <v>112</v>
      </c>
      <c r="B9" s="52">
        <f>B5/'[1]Three Statements'!B54</f>
        <v>17.417743005595522</v>
      </c>
      <c r="C9" s="52">
        <f>C5/'[1]Three Statements'!C54</f>
        <v>29.469260783987579</v>
      </c>
      <c r="D9" s="52">
        <f>D5/'[1]Three Statements'!D54</f>
        <v>30.075096642929804</v>
      </c>
      <c r="E9" s="52">
        <f>E5/'[1]Three Statements'!E54</f>
        <v>31.719250502558481</v>
      </c>
      <c r="F9" s="52">
        <f>F5/'[1]Three Statements'!F54</f>
        <v>49.254141458639261</v>
      </c>
      <c r="G9" s="52">
        <f>G5/'[1]Three Statements'!G54</f>
        <v>197.13727732399849</v>
      </c>
      <c r="H9" s="52">
        <f>H5/'[1]Three Statements'!H54</f>
        <v>48.795037090066138</v>
      </c>
      <c r="I9" s="52">
        <f>I5/'[1]Three Statements'!I54</f>
        <v>46.157677459218988</v>
      </c>
      <c r="J9" s="52"/>
      <c r="M9" s="54">
        <f>M5/'[1]Three Statements'!J54</f>
        <v>20.820507900363463</v>
      </c>
      <c r="N9" s="54">
        <f>N5/'[1]Three Statements'!K54</f>
        <v>20.675606145496374</v>
      </c>
      <c r="O9" s="54">
        <f>O5/'[1]Three Statements'!L54</f>
        <v>16.987793214148528</v>
      </c>
      <c r="P9" s="54">
        <f>P5/'[1]Three Statements'!M54</f>
        <v>14.942533430333743</v>
      </c>
      <c r="Q9" s="54">
        <f>Q5/'[1]Three Statements'!N54</f>
        <v>14.687208988588665</v>
      </c>
    </row>
    <row r="10" spans="1:23" x14ac:dyDescent="0.25">
      <c r="A10" s="44" t="s">
        <v>113</v>
      </c>
      <c r="B10" s="55" t="str">
        <f>IFERROR((B9-A9)/(A9), "nm")</f>
        <v>nm</v>
      </c>
      <c r="C10" s="55">
        <f>IFERROR((C9-B9)/(B9), "nm")</f>
        <v>0.69191041425519118</v>
      </c>
      <c r="D10" s="55">
        <f t="shared" ref="D10:I10" si="4">IFERROR((D9-C9)/(C9), "nm")</f>
        <v>2.0558230604529174E-2</v>
      </c>
      <c r="E10" s="55">
        <f t="shared" si="4"/>
        <v>5.4668281839592769E-2</v>
      </c>
      <c r="F10" s="55">
        <f t="shared" si="4"/>
        <v>0.55281542527829941</v>
      </c>
      <c r="G10" s="55">
        <f t="shared" si="4"/>
        <v>3.0024507886213554</v>
      </c>
      <c r="H10" s="55">
        <f t="shared" si="4"/>
        <v>-0.75248193668683649</v>
      </c>
      <c r="I10" s="55">
        <f t="shared" si="4"/>
        <v>-5.4049751534753381E-2</v>
      </c>
      <c r="J10" s="55"/>
      <c r="K10" s="55"/>
      <c r="L10" s="55"/>
      <c r="M10" s="55">
        <f>IFERROR((M9-I9)/(I9), "nm")</f>
        <v>-0.54892643983747447</v>
      </c>
      <c r="N10" s="55">
        <f t="shared" ref="N10:Q10" si="5">IFERROR((N9-M9)/(M9), "nm")</f>
        <v>-6.959568688742662E-3</v>
      </c>
      <c r="O10" s="55">
        <f t="shared" si="5"/>
        <v>-0.17836540826887134</v>
      </c>
      <c r="P10" s="55">
        <f t="shared" si="5"/>
        <v>-0.12039584883287614</v>
      </c>
      <c r="Q10" s="55">
        <f t="shared" si="5"/>
        <v>-1.7087091886758794E-2</v>
      </c>
    </row>
    <row r="11" spans="1:23" x14ac:dyDescent="0.25">
      <c r="A11" s="44" t="s">
        <v>114</v>
      </c>
      <c r="B11" s="56">
        <f>('[1]Three Statements'!B33+'[1]Three Statements'!B34+'[1]Three Statements'!B36+'[1]Three Statements'!B37)/(SUM('[1]Three Statements'!B39))</f>
        <v>9.9157944440072407E-2</v>
      </c>
      <c r="C11" s="56">
        <f>('[1]Three Statements'!C33+'[1]Three Statements'!C34+'[1]Three Statements'!C36+'[1]Three Statements'!C37)/(SUM('[1]Three Statements'!C39))</f>
        <v>0.1676456191874694</v>
      </c>
      <c r="D11" s="56">
        <f>('[1]Three Statements'!D33+'[1]Three Statements'!D34+'[1]Three Statements'!D36+'[1]Three Statements'!D37)/(SUM('[1]Three Statements'!D39))</f>
        <v>0.30643991295236561</v>
      </c>
      <c r="E11" s="56">
        <f>('[1]Three Statements'!E33+'[1]Three Statements'!E34+'[1]Three Statements'!E36+'[1]Three Statements'!E37)/(SUM('[1]Three Statements'!E39))</f>
        <v>0.38830004076640851</v>
      </c>
      <c r="F11" s="56">
        <f>('[1]Three Statements'!F33+'[1]Three Statements'!F34+'[1]Three Statements'!F36+'[1]Three Statements'!F37)/(SUM('[1]Three Statements'!F39))</f>
        <v>0.38484513274336285</v>
      </c>
      <c r="G11" s="56">
        <f>('[1]Three Statements'!G33+'[1]Three Statements'!G34+'[1]Three Statements'!G36+'[1]Three Statements'!G37)/(SUM('[1]Three Statements'!G39))</f>
        <v>1.6157666045934203</v>
      </c>
      <c r="H11" s="56">
        <f>('[1]Three Statements'!H33+'[1]Three Statements'!H34+'[1]Three Statements'!H36+'[1]Three Statements'!H37)/(SUM('[1]Three Statements'!H39))</f>
        <v>1.0036030390851414</v>
      </c>
      <c r="I11" s="56">
        <f>('[1]Three Statements'!I33+'[1]Three Statements'!I34+'[1]Three Statements'!I36+'[1]Three Statements'!I37)/(SUM('[1]Three Statements'!I39))</f>
        <v>0.82632026699823313</v>
      </c>
      <c r="J11" s="57"/>
      <c r="M11" s="49">
        <f>('[1]Three Statements'!J33+'[1]Three Statements'!J34+'[1]Three Statements'!J36+'[1]Three Statements'!J37)/(SUM('[1]Three Statements'!J39))</f>
        <v>0.76847857841208134</v>
      </c>
      <c r="N11" s="49">
        <f>('[1]Three Statements'!K33+'[1]Three Statements'!K34+'[1]Three Statements'!K36+'[1]Three Statements'!K37)/(SUM('[1]Three Statements'!K39))</f>
        <v>0.72613301841539257</v>
      </c>
      <c r="O11" s="49">
        <f>('[1]Three Statements'!L33+'[1]Three Statements'!L34+'[1]Three Statements'!L36+'[1]Three Statements'!L37)/(SUM('[1]Three Statements'!L39))</f>
        <v>0.66251464930435411</v>
      </c>
      <c r="P11" s="49">
        <f>('[1]Three Statements'!M33+'[1]Three Statements'!M34+'[1]Three Statements'!M36+'[1]Three Statements'!M37)/(SUM('[1]Three Statements'!M39))</f>
        <v>0.62560299554371024</v>
      </c>
      <c r="Q11" s="49">
        <f>('[1]Three Statements'!N33+'[1]Three Statements'!N34+'[1]Three Statements'!N36+'[1]Three Statements'!N37)/(SUM('[1]Three Statements'!N39))</f>
        <v>0.62340450247719126</v>
      </c>
      <c r="R11" s="49"/>
      <c r="S11" s="49"/>
      <c r="T11" s="49"/>
      <c r="U11" s="49"/>
      <c r="V11" s="49"/>
      <c r="W11" s="49"/>
    </row>
    <row r="12" spans="1:23" x14ac:dyDescent="0.25">
      <c r="A12" s="44" t="s">
        <v>115</v>
      </c>
      <c r="B12" s="56">
        <f>('[1]Three Statements'!B33+'[1]Three Statements'!B34+'[1]Three Statements'!B36+'[1]Three Statements'!B37)/(SUM('[1]Three Statements'!B39)+'[1]Three Statements'!B33+'[1]Three Statements'!B34+'[1]Three Statements'!B36+'[1]Three Statements'!B37)</f>
        <v>9.021264408963986E-2</v>
      </c>
      <c r="C12" s="56">
        <f>('[1]Three Statements'!C33+'[1]Three Statements'!C34+'[1]Three Statements'!C36+'[1]Three Statements'!C37)/(SUM('[1]Three Statements'!C39)+'[1]Three Statements'!C33+'[1]Three Statements'!C34+'[1]Three Statements'!C36+'[1]Three Statements'!C37)</f>
        <v>0.14357577027876756</v>
      </c>
      <c r="D12" s="56">
        <f>('[1]Three Statements'!D33+'[1]Three Statements'!D34+'[1]Three Statements'!D36+'[1]Three Statements'!D37)/(SUM('[1]Three Statements'!D39)+'[1]Three Statements'!D33+'[1]Three Statements'!D34+'[1]Three Statements'!D36+'[1]Three Statements'!D37)</f>
        <v>0.23456104633228453</v>
      </c>
      <c r="E12" s="56">
        <f>('[1]Three Statements'!E33+'[1]Three Statements'!E34+'[1]Three Statements'!E36+'[1]Three Statements'!E37)/(SUM('[1]Three Statements'!E39)+'[1]Three Statements'!E33+'[1]Three Statements'!E34+'[1]Three Statements'!E36+'[1]Three Statements'!E37)</f>
        <v>0.27969461165761267</v>
      </c>
      <c r="F12" s="56">
        <f>('[1]Three Statements'!F33+'[1]Three Statements'!F34+'[1]Three Statements'!F36+'[1]Three Statements'!F37)/(SUM('[1]Three Statements'!F39)+'[1]Three Statements'!F33+'[1]Three Statements'!F34+'[1]Three Statements'!F36+'[1]Three Statements'!F37)</f>
        <v>0.27789759565460498</v>
      </c>
      <c r="G12" s="56">
        <f>('[1]Three Statements'!G33+'[1]Three Statements'!G34+'[1]Three Statements'!G36+'[1]Three Statements'!G37)/(SUM('[1]Three Statements'!G39)+'[1]Three Statements'!G33+'[1]Three Statements'!G34+'[1]Three Statements'!G36+'[1]Three Statements'!G37)</f>
        <v>0.61770289511153298</v>
      </c>
      <c r="H12" s="56">
        <f>('[1]Three Statements'!H33+'[1]Three Statements'!H34+'[1]Three Statements'!H36+'[1]Three Statements'!H37)/(SUM('[1]Three Statements'!H39)+'[1]Three Statements'!H33+'[1]Three Statements'!H34+'[1]Three Statements'!H36+'[1]Three Statements'!H37)</f>
        <v>0.50089913995308832</v>
      </c>
      <c r="I12" s="56">
        <f>('[1]Three Statements'!I33+'[1]Three Statements'!I34+'[1]Three Statements'!I36+'[1]Three Statements'!I37)/(SUM('[1]Three Statements'!I39)+'[1]Three Statements'!I33+'[1]Three Statements'!I34+'[1]Three Statements'!I36+'[1]Three Statements'!I37)</f>
        <v>0.45245091013329514</v>
      </c>
      <c r="J12" s="57"/>
      <c r="M12" s="49">
        <f>('[1]Three Statements'!J33+'[1]Three Statements'!J34+'[1]Three Statements'!J36+'[1]Three Statements'!J37)/(SUM('[1]Three Statements'!J39)+'[1]Three Statements'!J33+'[1]Three Statements'!J34+'[1]Three Statements'!J36+'[1]Three Statements'!J37)</f>
        <v>0.43454220356013529</v>
      </c>
      <c r="N12" s="49">
        <f>('[1]Three Statements'!K33+'[1]Three Statements'!K34+'[1]Three Statements'!K36+'[1]Three Statements'!K37)/(SUM('[1]Three Statements'!K39)+'[1]Three Statements'!K33+'[1]Three Statements'!K34+'[1]Three Statements'!K36+'[1]Three Statements'!K37)</f>
        <v>0.42067037167389915</v>
      </c>
      <c r="O12" s="49">
        <f>('[1]Three Statements'!L33+'[1]Three Statements'!L34+'[1]Three Statements'!L36+'[1]Three Statements'!L37)/(SUM('[1]Three Statements'!L39)+'[1]Three Statements'!L33+'[1]Three Statements'!L34+'[1]Three Statements'!L36+'[1]Three Statements'!L37)</f>
        <v>0.39850154077232947</v>
      </c>
      <c r="P12" s="49">
        <f>('[1]Three Statements'!M33+'[1]Three Statements'!M34+'[1]Three Statements'!M36+'[1]Three Statements'!M37)/(SUM('[1]Three Statements'!M39)+'[1]Three Statements'!M33+'[1]Three Statements'!M34+'[1]Three Statements'!M36+'[1]Three Statements'!M37)</f>
        <v>0.3848436532527838</v>
      </c>
      <c r="Q12" s="49">
        <f>('[1]Three Statements'!N33+'[1]Three Statements'!N34+'[1]Three Statements'!N36+'[1]Three Statements'!N37)/(SUM('[1]Three Statements'!N39)+'[1]Three Statements'!N33+'[1]Three Statements'!N34+'[1]Three Statements'!N36+'[1]Three Statements'!N37)</f>
        <v>0.38401057871031136</v>
      </c>
      <c r="R12" s="49"/>
      <c r="S12" s="49"/>
      <c r="T12" s="49"/>
      <c r="U12" s="49"/>
      <c r="V12" s="49"/>
      <c r="W12" s="49"/>
    </row>
    <row r="13" spans="1:23" x14ac:dyDescent="0.25">
      <c r="A13" s="44" t="s">
        <v>4</v>
      </c>
      <c r="B13" s="56">
        <f>'[1]Three Statements'!B14/(SUM('[1]Three Statements'!B39))</f>
        <v>0.25757456520028332</v>
      </c>
      <c r="C13" s="56">
        <f>'[1]Three Statements'!C14/(SUM('[1]Three Statements'!C39))</f>
        <v>0.3067384565181922</v>
      </c>
      <c r="D13" s="56">
        <f>'[1]Three Statements'!D14/(SUM('[1]Three Statements'!D39))</f>
        <v>0.34174256468122832</v>
      </c>
      <c r="E13" s="56">
        <f>'[1]Three Statements'!E14/(SUM('[1]Three Statements'!E39))</f>
        <v>0.19700366897676314</v>
      </c>
      <c r="F13" s="56">
        <f>'[1]Three Statements'!F14/(SUM('[1]Three Statements'!F39))</f>
        <v>0.44568584070796458</v>
      </c>
      <c r="G13" s="56">
        <f>'[1]Three Statements'!G14/(SUM('[1]Three Statements'!G39))</f>
        <v>0.31520794537554314</v>
      </c>
      <c r="H13" s="56">
        <f>'[1]Three Statements'!H14/(SUM('[1]Three Statements'!H39))</f>
        <v>0.44857836610010182</v>
      </c>
      <c r="I13" s="56">
        <f>'[1]Three Statements'!I14/(SUM('[1]Three Statements'!I39))</f>
        <v>0.3956547346377855</v>
      </c>
      <c r="J13" s="57"/>
      <c r="M13" s="49">
        <f>'[1]Three Statements'!J14/(SUM('[1]Three Statements'!J39))</f>
        <v>0.34096322160062364</v>
      </c>
      <c r="N13" s="49">
        <f>'[1]Three Statements'!K14/(SUM('[1]Three Statements'!K39))</f>
        <v>0.37703779804060383</v>
      </c>
      <c r="O13" s="49">
        <f>'[1]Three Statements'!L14/(SUM('[1]Three Statements'!L39))</f>
        <v>0.42922831910610693</v>
      </c>
      <c r="P13" s="49">
        <f>'[1]Three Statements'!M14/(SUM('[1]Three Statements'!M39))</f>
        <v>0.4614713898997605</v>
      </c>
      <c r="Q13" s="49">
        <f>'[1]Three Statements'!N14/(SUM('[1]Three Statements'!N39))</f>
        <v>0.46497019129554934</v>
      </c>
      <c r="R13" s="49"/>
      <c r="S13" s="49"/>
      <c r="T13" s="49"/>
      <c r="U13" s="49"/>
      <c r="V13" s="49"/>
      <c r="W13" s="49"/>
    </row>
    <row r="16" spans="1:23" x14ac:dyDescent="0.25">
      <c r="B16" s="44" t="s">
        <v>116</v>
      </c>
      <c r="J16" s="57"/>
    </row>
    <row r="17" spans="1:27" x14ac:dyDescent="0.25">
      <c r="A17" s="44" t="s">
        <v>117</v>
      </c>
      <c r="B17" s="50">
        <f>'[1]Three Statements'!B54</f>
        <v>5004</v>
      </c>
      <c r="C17" s="50">
        <f>'[1]Three Statements'!C54</f>
        <v>3006</v>
      </c>
      <c r="D17" s="50">
        <f>'[1]Three Statements'!D54</f>
        <v>2949</v>
      </c>
      <c r="E17" s="50">
        <f>'[1]Three Statements'!E54</f>
        <v>3648</v>
      </c>
      <c r="F17" s="50">
        <f>'[1]Three Statements'!F54</f>
        <v>2724</v>
      </c>
      <c r="G17" s="50">
        <f>'[1]Three Statements'!G54</f>
        <v>857</v>
      </c>
      <c r="H17" s="50">
        <f>'[1]Three Statements'!H54</f>
        <v>4889</v>
      </c>
      <c r="I17" s="50">
        <f>'[1]Three Statements'!I54</f>
        <v>4046</v>
      </c>
      <c r="J17" s="50"/>
      <c r="M17" s="50">
        <f>'[1]Three Statements'!J54</f>
        <v>8759.8152806125872</v>
      </c>
      <c r="N17" s="50">
        <f>'[1]Three Statements'!K54</f>
        <v>8559.5508333307171</v>
      </c>
      <c r="O17" s="50">
        <f>'[1]Three Statements'!L54</f>
        <v>10434.758718320873</v>
      </c>
      <c r="P17" s="50">
        <f>'[1]Three Statements'!M54</f>
        <v>11775.832457768265</v>
      </c>
      <c r="Q17" s="50">
        <f>'[1]Three Statements'!N54</f>
        <v>12214.814553176957</v>
      </c>
      <c r="R17" s="51">
        <f>Q17*(1+R18)</f>
        <v>13069.851571899344</v>
      </c>
      <c r="S17" s="51">
        <f t="shared" ref="S17:V17" si="6">R17*(1+S18)</f>
        <v>13984.741181932299</v>
      </c>
      <c r="T17" s="51">
        <f t="shared" si="6"/>
        <v>14963.673064667561</v>
      </c>
      <c r="U17" s="51">
        <f t="shared" si="6"/>
        <v>16011.130179194291</v>
      </c>
      <c r="V17" s="51">
        <f t="shared" si="6"/>
        <v>17131.909291737891</v>
      </c>
      <c r="W17" s="51">
        <f>(V17*(1+W18))/(W20-W18)</f>
        <v>333120.45845045906</v>
      </c>
      <c r="X17" s="57" t="s">
        <v>118</v>
      </c>
    </row>
    <row r="18" spans="1:27" s="63" customFormat="1" ht="12" x14ac:dyDescent="0.2">
      <c r="A18" s="58" t="s">
        <v>29</v>
      </c>
      <c r="B18" s="59" t="str">
        <f>IFERROR((B17-A17)/(A17), "nm")</f>
        <v>nm</v>
      </c>
      <c r="C18" s="59">
        <f t="shared" ref="C18:H18" si="7">IFERROR((C17-B17)/(B17), "nm")</f>
        <v>-0.39928057553956836</v>
      </c>
      <c r="D18" s="59">
        <f t="shared" si="7"/>
        <v>-1.8962075848303395E-2</v>
      </c>
      <c r="E18" s="59">
        <f t="shared" si="7"/>
        <v>0.23702950152594099</v>
      </c>
      <c r="F18" s="59">
        <f t="shared" si="7"/>
        <v>-0.25328947368421051</v>
      </c>
      <c r="G18" s="59">
        <f t="shared" si="7"/>
        <v>-0.68538913362701914</v>
      </c>
      <c r="H18" s="59">
        <f t="shared" si="7"/>
        <v>4.7047841306884477</v>
      </c>
      <c r="I18" s="59">
        <f>IFERROR((I17-H17)/(H17), "nm")</f>
        <v>-0.17242789936592351</v>
      </c>
      <c r="J18" s="59"/>
      <c r="K18" s="59"/>
      <c r="L18" s="60" t="s">
        <v>119</v>
      </c>
      <c r="M18" s="59">
        <f>IFERROR((M17-I17)/(I17), "nm")</f>
        <v>1.1650556798350438</v>
      </c>
      <c r="N18" s="59">
        <f t="shared" ref="N18:Q18" si="8">IFERROR((N17-M17)/(M17), "nm")</f>
        <v>-2.2861720352151692E-2</v>
      </c>
      <c r="O18" s="59">
        <f t="shared" si="8"/>
        <v>0.21907783731923572</v>
      </c>
      <c r="P18" s="59">
        <f t="shared" si="8"/>
        <v>0.12851986094252441</v>
      </c>
      <c r="Q18" s="59">
        <f t="shared" si="8"/>
        <v>3.7278221899217381E-2</v>
      </c>
      <c r="R18" s="61">
        <v>7.0000000000000007E-2</v>
      </c>
      <c r="S18" s="61">
        <v>7.0000000000000007E-2</v>
      </c>
      <c r="T18" s="61">
        <v>7.0000000000000007E-2</v>
      </c>
      <c r="U18" s="61">
        <v>7.0000000000000007E-2</v>
      </c>
      <c r="V18" s="61">
        <v>7.0000000000000007E-2</v>
      </c>
      <c r="W18" s="61">
        <v>0.05</v>
      </c>
      <c r="X18" s="62" t="s">
        <v>120</v>
      </c>
    </row>
    <row r="19" spans="1:27" s="63" customFormat="1" x14ac:dyDescent="0.25">
      <c r="A19" s="64" t="s">
        <v>121</v>
      </c>
      <c r="B19" s="65">
        <f>(B17/(1+B20))</f>
        <v>5002.9044259854973</v>
      </c>
      <c r="C19" s="65">
        <f>(C17/(1+C20)^2)</f>
        <v>2680.1672799921171</v>
      </c>
      <c r="D19" s="65">
        <f>(D17/(1+D20)^3)</f>
        <v>2339.8556995135446</v>
      </c>
      <c r="E19" s="65">
        <f>(E17/(1+E20)^4)</f>
        <v>3987.203926491185</v>
      </c>
      <c r="F19" s="65">
        <f>(F17/(1+F20)^5)</f>
        <v>1334.0847379280551</v>
      </c>
      <c r="G19" s="65">
        <f>(G17/(1+G20)^6)</f>
        <v>616.86839669842277</v>
      </c>
      <c r="H19" s="65">
        <f>(H17/(1+H20)^7)</f>
        <v>2129.2498342286508</v>
      </c>
      <c r="I19" s="65">
        <f>(I17/(1+I20)^8)</f>
        <v>1868.2156889508215</v>
      </c>
      <c r="J19" s="65"/>
      <c r="K19" s="65"/>
      <c r="L19" s="65"/>
      <c r="M19" s="65">
        <f>(M17/(1+M20)^1)</f>
        <v>7934.6152904099517</v>
      </c>
      <c r="N19" s="65">
        <f>(N17/(1+N20)^2)</f>
        <v>7022.8408827343228</v>
      </c>
      <c r="O19" s="65">
        <f>(O17/(1+O20)^3)</f>
        <v>7754.8819521384694</v>
      </c>
      <c r="P19" s="65">
        <f>(P17/(1+P20)^4)</f>
        <v>7927.1180274030767</v>
      </c>
      <c r="Q19" s="65">
        <f>(Q17/(1+Q20)^5)</f>
        <v>7448.0316052988173</v>
      </c>
      <c r="R19" s="65">
        <f>(R17/(1+R20)^6)</f>
        <v>7218.6538203530199</v>
      </c>
      <c r="S19" s="65">
        <f>(S17/(1+S20)^7)</f>
        <v>6996.3402063204094</v>
      </c>
      <c r="T19" s="65">
        <f>(T17/(1+T20)^8)</f>
        <v>6780.873207212715</v>
      </c>
      <c r="U19" s="65">
        <f>(U17/(1+U20)^9)</f>
        <v>6572.0419671355121</v>
      </c>
      <c r="V19" s="65">
        <f>(V17/(1+V20)^10)</f>
        <v>6369.6421239447445</v>
      </c>
      <c r="W19" s="65">
        <f>(W17/(1+W20)^11)</f>
        <v>112186.73225546804</v>
      </c>
      <c r="X19" s="66"/>
      <c r="Y19" s="66"/>
      <c r="Z19" s="66"/>
      <c r="AA19" s="66"/>
    </row>
    <row r="20" spans="1:27" x14ac:dyDescent="0.25">
      <c r="A20" s="44" t="s">
        <v>122</v>
      </c>
      <c r="B20" s="67">
        <f>((SUM('[1]Three Statements'!B39))/(SUM('[1]Three Statements'!B39)+('[1]Three Statements'!B33+'[1]Three Statements'!B34+'[1]Three Statements'!B36+'[1]Three Statements'!B37)))*B22+((('[1]Three Statements'!B33+'[1]Three Statements'!B34+'[1]Three Statements'!B36+'[1]Three Statements'!B37))/(SUM('[1]Three Statements'!B39)+('[1]Three Statements'!B33+'[1]Three Statements'!B34+'[1]Three Statements'!B36+'[1]Three Statements'!B37)))*B25*(1-'[1]Three Statements'!B13)</f>
        <v>2.1898759624754973E-4</v>
      </c>
      <c r="C20" s="67">
        <f>((SUM('[1]Three Statements'!C39))/(SUM('[1]Three Statements'!C39)+('[1]Three Statements'!C33+'[1]Three Statements'!C34+'[1]Three Statements'!C36+'[1]Three Statements'!C37)))*C22+((('[1]Three Statements'!C33+'[1]Three Statements'!C34+'[1]Three Statements'!C36+'[1]Three Statements'!C37))/(SUM('[1]Three Statements'!C39)+('[1]Three Statements'!C33+'[1]Three Statements'!C34+'[1]Three Statements'!C36+'[1]Three Statements'!C37)))*C25*(1-'[1]Three Statements'!C13)</f>
        <v>5.9042862626837077E-2</v>
      </c>
      <c r="D20" s="67">
        <f>((SUM('[1]Three Statements'!D39))/(SUM('[1]Three Statements'!D39)+('[1]Three Statements'!D33+'[1]Three Statements'!D34+'[1]Three Statements'!D36+'[1]Three Statements'!D37)))*D22+((('[1]Three Statements'!D33+'[1]Three Statements'!D34+'[1]Three Statements'!D36+'[1]Three Statements'!D37))/(SUM('[1]Three Statements'!D39)+('[1]Three Statements'!D33+'[1]Three Statements'!D34+'[1]Three Statements'!D36+'[1]Three Statements'!D37)))*D25*(1-'[1]Three Statements'!D13)</f>
        <v>8.01777631271232E-2</v>
      </c>
      <c r="E20" s="67">
        <f>((SUM('[1]Three Statements'!E39))/(SUM('[1]Three Statements'!E39)+('[1]Three Statements'!E33+'[1]Three Statements'!E34+'[1]Three Statements'!E36+'[1]Three Statements'!E37)))*E22+((('[1]Three Statements'!E33+'[1]Three Statements'!E34+'[1]Three Statements'!E36+'[1]Three Statements'!E37))/(SUM('[1]Three Statements'!E39)+('[1]Three Statements'!E33+'[1]Three Statements'!E34+'[1]Three Statements'!E36+'[1]Three Statements'!E37)))*E25*(1-'[1]Three Statements'!E13)</f>
        <v>-2.1982568692263366E-2</v>
      </c>
      <c r="F20" s="67">
        <f>((SUM('[1]Three Statements'!F39))/(SUM('[1]Three Statements'!F39)+('[1]Three Statements'!F33+'[1]Three Statements'!F34+'[1]Three Statements'!F36+'[1]Three Statements'!F37)))*F22+((('[1]Three Statements'!F33+'[1]Three Statements'!F34+'[1]Three Statements'!F36+'[1]Three Statements'!F37))/(SUM('[1]Three Statements'!F39)+('[1]Three Statements'!F33+'[1]Three Statements'!F34+'[1]Three Statements'!F36+'[1]Three Statements'!F37)))*F25*(1-'[1]Three Statements'!F13)</f>
        <v>0.15346584028795957</v>
      </c>
      <c r="G20" s="67">
        <f>((SUM('[1]Three Statements'!G39))/(SUM('[1]Three Statements'!G39)+('[1]Three Statements'!G33+'[1]Three Statements'!G34+'[1]Three Statements'!G36+'[1]Three Statements'!G37)))*G22+((('[1]Three Statements'!G33+'[1]Three Statements'!G34+'[1]Three Statements'!G36+'[1]Three Statements'!G37))/(SUM('[1]Three Statements'!G39)+('[1]Three Statements'!G33+'[1]Three Statements'!G34+'[1]Three Statements'!G36+'[1]Three Statements'!G37)))*G25*(1-'[1]Three Statements'!G13)</f>
        <v>5.632619618204053E-2</v>
      </c>
      <c r="H20" s="67">
        <f>((SUM('[1]Three Statements'!H39))/(SUM('[1]Three Statements'!H39)+('[1]Three Statements'!H33+'[1]Three Statements'!H34+'[1]Three Statements'!H36+'[1]Three Statements'!H37)))*H22+((('[1]Three Statements'!H33+'[1]Three Statements'!H34+'[1]Three Statements'!H36+'[1]Three Statements'!H37))/(SUM('[1]Three Statements'!H39)+('[1]Three Statements'!H33+'[1]Three Statements'!H34+'[1]Three Statements'!H36+'[1]Three Statements'!H37)))*H25*(1-'[1]Three Statements'!H13)</f>
        <v>0.12608322225907775</v>
      </c>
      <c r="I20" s="67">
        <f>((SUM('[1]Three Statements'!I39))/(SUM('[1]Three Statements'!I39)+('[1]Three Statements'!I33+'[1]Three Statements'!I34+'[1]Three Statements'!I36+'[1]Three Statements'!I37)))*I22+((('[1]Three Statements'!I33+'[1]Three Statements'!I34+'[1]Three Statements'!I36+'[1]Three Statements'!I37))/(SUM('[1]Three Statements'!I39)+('[1]Three Statements'!I33+'[1]Three Statements'!I34+'[1]Three Statements'!I36+'[1]Three Statements'!I37)))*I25*(1-'[1]Three Statements'!I13)</f>
        <v>0.10141213717236222</v>
      </c>
      <c r="J20" s="57"/>
      <c r="L20" s="57" t="s">
        <v>123</v>
      </c>
      <c r="M20" s="68">
        <v>0.104</v>
      </c>
      <c r="N20" s="68">
        <v>0.104</v>
      </c>
      <c r="O20" s="68">
        <v>0.104</v>
      </c>
      <c r="P20" s="68">
        <v>0.104</v>
      </c>
      <c r="Q20" s="68">
        <v>0.104</v>
      </c>
      <c r="R20" s="68">
        <v>0.104</v>
      </c>
      <c r="S20" s="68">
        <v>0.104</v>
      </c>
      <c r="T20" s="68">
        <v>0.104</v>
      </c>
      <c r="U20" s="68">
        <v>0.104</v>
      </c>
      <c r="V20" s="68">
        <v>0.104</v>
      </c>
      <c r="W20" s="68">
        <v>0.104</v>
      </c>
    </row>
    <row r="21" spans="1:27" x14ac:dyDescent="0.25">
      <c r="A21" s="69" t="s">
        <v>124</v>
      </c>
      <c r="B21" s="44">
        <v>0.80710000000000004</v>
      </c>
      <c r="C21" s="44">
        <v>0.62080000000000002</v>
      </c>
      <c r="D21" s="44">
        <v>0.43830000000000002</v>
      </c>
      <c r="E21" s="44">
        <v>0.67949999999999999</v>
      </c>
      <c r="F21" s="44">
        <v>0.69140000000000001</v>
      </c>
      <c r="G21" s="44">
        <v>0.83499999999999996</v>
      </c>
      <c r="H21" s="44">
        <v>0.86209999999999998</v>
      </c>
      <c r="I21" s="44">
        <v>1.44</v>
      </c>
      <c r="J21" s="57"/>
      <c r="K21" s="69"/>
      <c r="L21" s="70" t="s">
        <v>125</v>
      </c>
    </row>
    <row r="22" spans="1:27" x14ac:dyDescent="0.25">
      <c r="A22" s="69" t="s">
        <v>126</v>
      </c>
      <c r="B22" s="71">
        <f>B23+B21*(B24-B23)</f>
        <v>-1.4744200000000006E-3</v>
      </c>
      <c r="C22" s="71">
        <f t="shared" ref="C22:H22" si="9">C23+C21*(C24-C23)</f>
        <v>6.7680480000000001E-2</v>
      </c>
      <c r="D22" s="71">
        <f t="shared" si="9"/>
        <v>0.10062078000000002</v>
      </c>
      <c r="E22" s="71">
        <f t="shared" si="9"/>
        <v>-3.2978099999999996E-2</v>
      </c>
      <c r="F22" s="71">
        <f t="shared" si="9"/>
        <v>0.20797766000000004</v>
      </c>
      <c r="G22" s="71">
        <f t="shared" si="9"/>
        <v>0.13761899999999999</v>
      </c>
      <c r="H22" s="71">
        <f t="shared" si="9"/>
        <v>0.23497659999999998</v>
      </c>
      <c r="I22" s="71">
        <f>I23+I21*(I24-I23)</f>
        <v>0.17301599999999998</v>
      </c>
      <c r="J22" s="71"/>
      <c r="K22" s="69"/>
      <c r="L22" s="69"/>
      <c r="M22" s="71"/>
      <c r="N22" s="71"/>
      <c r="O22" s="71"/>
      <c r="P22" s="71"/>
      <c r="Q22" s="71"/>
      <c r="R22" s="71"/>
      <c r="S22" s="71"/>
      <c r="T22" s="71"/>
      <c r="U22" s="71"/>
      <c r="V22" s="71"/>
      <c r="W22" s="71"/>
    </row>
    <row r="23" spans="1:27" x14ac:dyDescent="0.25">
      <c r="A23" s="69" t="s">
        <v>127</v>
      </c>
      <c r="B23" s="72">
        <v>2.29E-2</v>
      </c>
      <c r="C23" s="67">
        <v>2.23E-2</v>
      </c>
      <c r="D23" s="67">
        <v>2.76E-2</v>
      </c>
      <c r="E23" s="67">
        <v>2.9399999999999999E-2</v>
      </c>
      <c r="F23" s="67">
        <v>2.69E-2</v>
      </c>
      <c r="G23" s="67">
        <v>1.12E-2</v>
      </c>
      <c r="H23" s="67">
        <v>2.29E-2</v>
      </c>
      <c r="I23" s="72">
        <v>2.7E-2</v>
      </c>
      <c r="J23" s="73"/>
      <c r="K23" s="74"/>
      <c r="L23" s="74"/>
      <c r="M23" s="75"/>
      <c r="N23" s="71"/>
      <c r="O23" s="71"/>
      <c r="P23" s="71"/>
      <c r="Q23" s="71"/>
      <c r="R23" s="71"/>
      <c r="S23" s="71"/>
      <c r="T23" s="71"/>
      <c r="U23" s="71"/>
      <c r="V23" s="71"/>
      <c r="W23" s="71"/>
    </row>
    <row r="24" spans="1:27" x14ac:dyDescent="0.25">
      <c r="A24" s="69" t="s">
        <v>128</v>
      </c>
      <c r="B24" s="72">
        <v>-7.3000000000000001E-3</v>
      </c>
      <c r="C24" s="67">
        <v>9.5399999999999999E-2</v>
      </c>
      <c r="D24" s="67">
        <v>0.19420000000000001</v>
      </c>
      <c r="E24" s="67">
        <v>-6.2399999999999997E-2</v>
      </c>
      <c r="F24" s="67">
        <f>0.2888</f>
        <v>0.2888</v>
      </c>
      <c r="G24" s="67">
        <v>0.16259999999999999</v>
      </c>
      <c r="H24" s="67">
        <v>0.26889999999999997</v>
      </c>
      <c r="I24" s="72">
        <v>0.12839999999999999</v>
      </c>
      <c r="J24" s="73"/>
      <c r="K24" s="69"/>
      <c r="L24" s="69"/>
      <c r="M24" s="72">
        <v>0.20949999999999999</v>
      </c>
      <c r="N24" s="71"/>
      <c r="O24" s="71"/>
      <c r="P24" s="71"/>
      <c r="Q24" s="71"/>
      <c r="R24" s="71"/>
      <c r="S24" s="71"/>
      <c r="T24" s="71"/>
      <c r="U24" s="71"/>
      <c r="V24" s="71"/>
      <c r="W24" s="71"/>
    </row>
    <row r="25" spans="1:27" x14ac:dyDescent="0.25">
      <c r="A25" s="69" t="s">
        <v>129</v>
      </c>
      <c r="B25" s="71">
        <f>'[1]Three Statements'!B10/('[1]Three Statements'!B33+'[1]Three Statements'!B34+'[1]Three Statements'!B36+'[1]Three Statements'!B37)</f>
        <v>2.2222222222222223E-2</v>
      </c>
      <c r="C25" s="71">
        <f>'[1]Three Statements'!C10/('[1]Three Statements'!C33+'[1]Three Statements'!C34+'[1]Three Statements'!C36+'[1]Three Statements'!C37)</f>
        <v>9.2457420924574214E-3</v>
      </c>
      <c r="D25" s="71">
        <f>'[1]Three Statements'!D10/('[1]Three Statements'!D33+'[1]Three Statements'!D34+'[1]Three Statements'!D36+'[1]Three Statements'!D37)</f>
        <v>1.551814834297738E-2</v>
      </c>
      <c r="E25" s="71">
        <f>'[1]Three Statements'!E10/('[1]Three Statements'!E33+'[1]Three Statements'!E34+'[1]Three Statements'!E36+'[1]Three Statements'!E37)</f>
        <v>1.4173228346456693E-2</v>
      </c>
      <c r="F25" s="71">
        <f>'[1]Three Statements'!F10/('[1]Three Statements'!F33+'[1]Three Statements'!F34+'[1]Three Statements'!F36+'[1]Three Statements'!F37)</f>
        <v>1.4084507042253521E-2</v>
      </c>
      <c r="G25" s="71">
        <f>'[1]Three Statements'!G10/('[1]Three Statements'!G33+'[1]Three Statements'!G34+'[1]Three Statements'!G36+'[1]Three Statements'!G37)</f>
        <v>6.8382635420668461E-3</v>
      </c>
      <c r="H25" s="71">
        <f>'[1]Three Statements'!H10/('[1]Three Statements'!H33+'[1]Three Statements'!H34+'[1]Three Statements'!H36+'[1]Three Statements'!H37)</f>
        <v>2.0447982517755404E-2</v>
      </c>
      <c r="I25" s="71">
        <f>'[1]Three Statements'!I10/('[1]Three Statements'!I33+'[1]Three Statements'!I34+'[1]Three Statements'!I36+'[1]Three Statements'!I37)</f>
        <v>1.623505187297062E-2</v>
      </c>
      <c r="J25" s="71"/>
      <c r="M25" s="71"/>
      <c r="N25" s="71"/>
      <c r="O25" s="71"/>
      <c r="P25" s="71"/>
      <c r="Q25" s="71"/>
      <c r="R25" s="71"/>
      <c r="S25" s="71"/>
      <c r="T25" s="71"/>
      <c r="U25" s="71"/>
      <c r="V25" s="71"/>
      <c r="W25" s="71"/>
    </row>
    <row r="26" spans="1:27" x14ac:dyDescent="0.25">
      <c r="A26" s="69" t="s">
        <v>130</v>
      </c>
      <c r="B26" s="71">
        <f>('[1]Three Statements'!B33+'[1]Three Statements'!B34+'[1]Three Statements'!B36+'[1]Three Statements'!B37)/(SUM('[1]Three Statements'!B39))</f>
        <v>9.9157944440072407E-2</v>
      </c>
      <c r="C26" s="71">
        <f>('[1]Three Statements'!C33+'[1]Three Statements'!C34+'[1]Three Statements'!C36+'[1]Three Statements'!C37)/(SUM('[1]Three Statements'!C39))</f>
        <v>0.1676456191874694</v>
      </c>
      <c r="D26" s="71">
        <f>('[1]Three Statements'!D33+'[1]Three Statements'!D34+'[1]Three Statements'!D36+'[1]Three Statements'!D37)/(SUM('[1]Three Statements'!D39))</f>
        <v>0.30643991295236561</v>
      </c>
      <c r="E26" s="71">
        <f>('[1]Three Statements'!E33+'[1]Three Statements'!E34+'[1]Three Statements'!E36+'[1]Three Statements'!E37)/(SUM('[1]Three Statements'!E39))</f>
        <v>0.38830004076640851</v>
      </c>
      <c r="F26" s="71">
        <f>('[1]Three Statements'!F33+'[1]Three Statements'!F34+'[1]Three Statements'!F36+'[1]Three Statements'!F37)/(SUM('[1]Three Statements'!F39))</f>
        <v>0.38484513274336285</v>
      </c>
      <c r="G26" s="71">
        <f>('[1]Three Statements'!G33+'[1]Three Statements'!G34+'[1]Three Statements'!G36+'[1]Three Statements'!G37)/(SUM('[1]Three Statements'!G39))</f>
        <v>1.6157666045934203</v>
      </c>
      <c r="H26" s="71">
        <f>('[1]Three Statements'!H33+'[1]Three Statements'!H34+'[1]Three Statements'!H36+'[1]Three Statements'!H37)/(SUM('[1]Three Statements'!H39))</f>
        <v>1.0036030390851414</v>
      </c>
      <c r="I26" s="71">
        <f>('[1]Three Statements'!I33+'[1]Three Statements'!I34+'[1]Three Statements'!I36+'[1]Three Statements'!I37)/(SUM('[1]Three Statements'!I39))</f>
        <v>0.82632026699823313</v>
      </c>
      <c r="J26" s="57"/>
      <c r="M26" s="71"/>
      <c r="N26" s="71"/>
      <c r="O26" s="71"/>
      <c r="P26" s="71"/>
      <c r="Q26" s="71"/>
      <c r="R26" s="71"/>
      <c r="S26" s="71"/>
      <c r="T26" s="71"/>
      <c r="U26" s="71"/>
      <c r="V26" s="71"/>
      <c r="W26" s="71"/>
    </row>
    <row r="27" spans="1:27" x14ac:dyDescent="0.25">
      <c r="A27" s="44" t="s">
        <v>131</v>
      </c>
      <c r="M27" s="50"/>
      <c r="N27" s="50"/>
      <c r="O27" s="50"/>
      <c r="P27" s="50"/>
      <c r="Q27" s="50"/>
    </row>
    <row r="28" spans="1:27" ht="15.75" thickBot="1" x14ac:dyDescent="0.3">
      <c r="M28" s="50"/>
      <c r="N28" s="50"/>
      <c r="O28" s="50"/>
      <c r="P28" s="50"/>
      <c r="Q28" s="50"/>
    </row>
    <row r="29" spans="1:27" x14ac:dyDescent="0.25">
      <c r="A29" s="76" t="s">
        <v>132</v>
      </c>
      <c r="B29" s="77">
        <f>SUM(M19:V19)</f>
        <v>72025.039082951029</v>
      </c>
      <c r="C29" s="53"/>
      <c r="D29" s="57" t="s">
        <v>133</v>
      </c>
      <c r="M29" s="50"/>
      <c r="N29" s="50"/>
      <c r="O29" s="50"/>
      <c r="P29" s="50"/>
      <c r="Q29" s="50"/>
    </row>
    <row r="30" spans="1:27" x14ac:dyDescent="0.25">
      <c r="A30" s="78" t="s">
        <v>134</v>
      </c>
      <c r="B30" s="79">
        <f>W19</f>
        <v>112186.73225546804</v>
      </c>
      <c r="C30" s="53"/>
      <c r="D30" s="57" t="s">
        <v>135</v>
      </c>
      <c r="M30" s="50"/>
      <c r="N30" s="50"/>
      <c r="O30" s="50"/>
      <c r="P30" s="50"/>
      <c r="Q30" s="50"/>
    </row>
    <row r="31" spans="1:27" x14ac:dyDescent="0.25">
      <c r="A31" s="78" t="s">
        <v>136</v>
      </c>
      <c r="B31" s="79">
        <f>B29+B30</f>
        <v>184211.77133841906</v>
      </c>
      <c r="C31" s="53"/>
      <c r="D31" s="57" t="s">
        <v>137</v>
      </c>
      <c r="E31" s="53"/>
    </row>
    <row r="32" spans="1:27" x14ac:dyDescent="0.25">
      <c r="A32" s="78" t="s">
        <v>138</v>
      </c>
      <c r="B32" s="80">
        <f>('[1]Three Statements'!B33+'[1]Three Statements'!B34+'[1]Three Statements'!B36+'[1]Three Statements'!B37)</f>
        <v>1260</v>
      </c>
      <c r="D32" s="57" t="s">
        <v>137</v>
      </c>
      <c r="H32" s="81"/>
    </row>
    <row r="33" spans="1:4" x14ac:dyDescent="0.25">
      <c r="A33" s="78" t="s">
        <v>139</v>
      </c>
      <c r="B33" s="79">
        <f>B31-B32</f>
        <v>182951.77133841906</v>
      </c>
      <c r="D33" s="57" t="s">
        <v>137</v>
      </c>
    </row>
    <row r="34" spans="1:4" ht="15.75" thickBot="1" x14ac:dyDescent="0.3">
      <c r="A34" s="82" t="s">
        <v>140</v>
      </c>
      <c r="B34" s="83">
        <f>B33/'[1]Three Statements'!J15</f>
        <v>115.4549342563657</v>
      </c>
      <c r="C34" s="54"/>
      <c r="D34" s="57" t="s">
        <v>137</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Sheet2</vt:lpstr>
      <vt:lpstr>Three Statements</vt:lpstr>
      <vt:lpstr>Schedules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Sidharth Nambiath</cp:lastModifiedBy>
  <dcterms:created xsi:type="dcterms:W3CDTF">2020-08-06T15:54:49Z</dcterms:created>
  <dcterms:modified xsi:type="dcterms:W3CDTF">2024-01-12T22:33:28Z</dcterms:modified>
</cp:coreProperties>
</file>