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DDC94CFB-48B5-7B45-9C22-4E231055BF68}" xr6:coauthVersionLast="36" xr6:coauthVersionMax="47" xr10:uidLastSave="{00000000-0000-0000-0000-000000000000}"/>
  <bookViews>
    <workbookView xWindow="2680" yWindow="2180" windowWidth="21900" windowHeight="158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L5" i="4"/>
  <c r="M5" i="4"/>
  <c r="N5" i="4"/>
  <c r="J5" i="4"/>
  <c r="K4" i="4"/>
  <c r="L4" i="4"/>
  <c r="M4" i="4"/>
  <c r="N4" i="4"/>
  <c r="J4" i="4"/>
  <c r="J363" i="3"/>
  <c r="K363" i="3" s="1"/>
  <c r="L363" i="3" s="1"/>
  <c r="M363" i="3" s="1"/>
  <c r="N363" i="3" s="1"/>
  <c r="K360" i="3"/>
  <c r="J360" i="3"/>
  <c r="J359" i="3"/>
  <c r="J357" i="3"/>
  <c r="J356" i="3" s="1"/>
  <c r="K353" i="3"/>
  <c r="J353" i="3"/>
  <c r="J352" i="3"/>
  <c r="J350" i="3"/>
  <c r="K350" i="3" s="1"/>
  <c r="L350" i="3" s="1"/>
  <c r="M350" i="3" s="1"/>
  <c r="N350" i="3" s="1"/>
  <c r="J349" i="3"/>
  <c r="J336" i="3"/>
  <c r="K336" i="3" s="1"/>
  <c r="L336" i="3" s="1"/>
  <c r="M336" i="3" s="1"/>
  <c r="N336" i="3" s="1"/>
  <c r="J335" i="3"/>
  <c r="J333" i="3"/>
  <c r="K332" i="3"/>
  <c r="L332" i="3" s="1"/>
  <c r="M332" i="3" s="1"/>
  <c r="N332" i="3" s="1"/>
  <c r="J332" i="3"/>
  <c r="K331" i="3"/>
  <c r="J331" i="3"/>
  <c r="J329" i="3"/>
  <c r="J328" i="3" s="1"/>
  <c r="J330" i="3" s="1"/>
  <c r="J326" i="3"/>
  <c r="J322" i="3"/>
  <c r="K322" i="3" s="1"/>
  <c r="L322" i="3" s="1"/>
  <c r="M322" i="3" s="1"/>
  <c r="N322" i="3" s="1"/>
  <c r="J321" i="3"/>
  <c r="L319" i="3"/>
  <c r="M319" i="3" s="1"/>
  <c r="N319" i="3" s="1"/>
  <c r="J319" i="3"/>
  <c r="K319" i="3" s="1"/>
  <c r="J317" i="3"/>
  <c r="N316" i="3"/>
  <c r="N317" i="3" s="1"/>
  <c r="M316" i="3"/>
  <c r="L316" i="3"/>
  <c r="L317" i="3" s="1"/>
  <c r="K316" i="3"/>
  <c r="J316" i="3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308" i="3" s="1"/>
  <c r="J303" i="3"/>
  <c r="J302" i="3" s="1"/>
  <c r="L301" i="3"/>
  <c r="J301" i="3"/>
  <c r="K301" i="3" s="1"/>
  <c r="J300" i="3"/>
  <c r="K300" i="3" s="1"/>
  <c r="M297" i="3"/>
  <c r="N297" i="3" s="1"/>
  <c r="L297" i="3"/>
  <c r="K297" i="3"/>
  <c r="J297" i="3"/>
  <c r="J296" i="3"/>
  <c r="M293" i="3"/>
  <c r="N293" i="3" s="1"/>
  <c r="K293" i="3"/>
  <c r="L293" i="3" s="1"/>
  <c r="J293" i="3"/>
  <c r="L291" i="3"/>
  <c r="M291" i="3" s="1"/>
  <c r="N291" i="3" s="1"/>
  <c r="J291" i="3"/>
  <c r="K291" i="3" s="1"/>
  <c r="J290" i="3"/>
  <c r="J289" i="3"/>
  <c r="L287" i="3"/>
  <c r="M287" i="3" s="1"/>
  <c r="N287" i="3" s="1"/>
  <c r="K287" i="3"/>
  <c r="J287" i="3"/>
  <c r="J286" i="3"/>
  <c r="J284" i="3"/>
  <c r="J270" i="3"/>
  <c r="L142" i="3"/>
  <c r="K142" i="3"/>
  <c r="J142" i="3"/>
  <c r="J141" i="3"/>
  <c r="J140" i="3"/>
  <c r="L139" i="3"/>
  <c r="M139" i="3" s="1"/>
  <c r="N139" i="3" s="1"/>
  <c r="K139" i="3"/>
  <c r="J139" i="3"/>
  <c r="J138" i="3" s="1"/>
  <c r="J135" i="3"/>
  <c r="K135" i="3" s="1"/>
  <c r="J131" i="3"/>
  <c r="J130" i="3"/>
  <c r="K130" i="3" s="1"/>
  <c r="L130" i="3" s="1"/>
  <c r="M130" i="3" s="1"/>
  <c r="N130" i="3" s="1"/>
  <c r="J129" i="3"/>
  <c r="M126" i="3"/>
  <c r="N126" i="3" s="1"/>
  <c r="L126" i="3"/>
  <c r="J126" i="3"/>
  <c r="K126" i="3" s="1"/>
  <c r="J125" i="3"/>
  <c r="J124" i="3" s="1"/>
  <c r="M122" i="3"/>
  <c r="L122" i="3"/>
  <c r="K122" i="3"/>
  <c r="J122" i="3"/>
  <c r="N122" i="3" s="1"/>
  <c r="J121" i="3"/>
  <c r="K117" i="3"/>
  <c r="L117" i="3" s="1"/>
  <c r="M117" i="3" s="1"/>
  <c r="N117" i="3" s="1"/>
  <c r="J117" i="3"/>
  <c r="J116" i="3" s="1"/>
  <c r="N115" i="3"/>
  <c r="N114" i="3" s="1"/>
  <c r="M115" i="3"/>
  <c r="L115" i="3"/>
  <c r="K115" i="3"/>
  <c r="J114" i="3"/>
  <c r="K114" i="3" s="1"/>
  <c r="L114" i="3" s="1"/>
  <c r="M114" i="3" s="1"/>
  <c r="L111" i="3"/>
  <c r="M111" i="3" s="1"/>
  <c r="N111" i="3" s="1"/>
  <c r="K111" i="3"/>
  <c r="J111" i="3"/>
  <c r="J110" i="3" s="1"/>
  <c r="J108" i="3"/>
  <c r="K106" i="3"/>
  <c r="L106" i="3" s="1"/>
  <c r="M106" i="3" s="1"/>
  <c r="N106" i="3" s="1"/>
  <c r="J106" i="3"/>
  <c r="J104" i="3"/>
  <c r="K104" i="3" s="1"/>
  <c r="L104" i="3" s="1"/>
  <c r="M104" i="3" s="1"/>
  <c r="N104" i="3" s="1"/>
  <c r="J103" i="3"/>
  <c r="J102" i="3"/>
  <c r="J101" i="3"/>
  <c r="J100" i="3"/>
  <c r="K99" i="3"/>
  <c r="J99" i="3"/>
  <c r="K98" i="3"/>
  <c r="K97" i="3" s="1"/>
  <c r="J98" i="3"/>
  <c r="J97" i="3" s="1"/>
  <c r="J95" i="3"/>
  <c r="J94" i="3"/>
  <c r="K94" i="3" s="1"/>
  <c r="L94" i="3" s="1"/>
  <c r="J91" i="3"/>
  <c r="M90" i="3"/>
  <c r="N90" i="3" s="1"/>
  <c r="L90" i="3"/>
  <c r="J90" i="3"/>
  <c r="K90" i="3" s="1"/>
  <c r="J89" i="3"/>
  <c r="K89" i="3" s="1"/>
  <c r="L89" i="3" s="1"/>
  <c r="M89" i="3" s="1"/>
  <c r="N89" i="3" s="1"/>
  <c r="L86" i="3"/>
  <c r="K86" i="3"/>
  <c r="J86" i="3"/>
  <c r="M86" i="3" s="1"/>
  <c r="J83" i="3"/>
  <c r="K83" i="3" s="1"/>
  <c r="L83" i="3" s="1"/>
  <c r="M83" i="3" s="1"/>
  <c r="N83" i="3" s="1"/>
  <c r="M81" i="3"/>
  <c r="N81" i="3" s="1"/>
  <c r="K81" i="3"/>
  <c r="L81" i="3" s="1"/>
  <c r="J81" i="3"/>
  <c r="K80" i="3"/>
  <c r="L80" i="3" s="1"/>
  <c r="J80" i="3"/>
  <c r="J77" i="3"/>
  <c r="M74" i="3"/>
  <c r="N74" i="3" s="1"/>
  <c r="J74" i="3"/>
  <c r="K74" i="3" s="1"/>
  <c r="L74" i="3" s="1"/>
  <c r="J73" i="3"/>
  <c r="J72" i="3"/>
  <c r="J71" i="3"/>
  <c r="M70" i="3"/>
  <c r="N70" i="3" s="1"/>
  <c r="L70" i="3"/>
  <c r="J70" i="3"/>
  <c r="K70" i="3" s="1"/>
  <c r="J69" i="3"/>
  <c r="K69" i="3" s="1"/>
  <c r="L69" i="3" s="1"/>
  <c r="M69" i="3" s="1"/>
  <c r="N69" i="3" s="1"/>
  <c r="K68" i="3"/>
  <c r="J68" i="3"/>
  <c r="L67" i="3"/>
  <c r="M67" i="3" s="1"/>
  <c r="N67" i="3" s="1"/>
  <c r="K67" i="3"/>
  <c r="J67" i="3"/>
  <c r="J66" i="3"/>
  <c r="K66" i="3" s="1"/>
  <c r="L66" i="3" s="1"/>
  <c r="M66" i="3" s="1"/>
  <c r="N66" i="3" s="1"/>
  <c r="J64" i="3"/>
  <c r="L63" i="3"/>
  <c r="K63" i="3"/>
  <c r="J63" i="3"/>
  <c r="M60" i="3"/>
  <c r="L60" i="3"/>
  <c r="K60" i="3"/>
  <c r="J60" i="3"/>
  <c r="N60" i="3" s="1"/>
  <c r="K58" i="3"/>
  <c r="L58" i="3" s="1"/>
  <c r="M58" i="3" s="1"/>
  <c r="N58" i="3" s="1"/>
  <c r="J58" i="3"/>
  <c r="K56" i="3"/>
  <c r="J56" i="3"/>
  <c r="K54" i="3"/>
  <c r="L54" i="3" s="1"/>
  <c r="M54" i="3" s="1"/>
  <c r="N54" i="3" s="1"/>
  <c r="J54" i="3"/>
  <c r="M53" i="3"/>
  <c r="N53" i="3" s="1"/>
  <c r="L53" i="3"/>
  <c r="K53" i="3"/>
  <c r="J52" i="3"/>
  <c r="K52" i="3" s="1"/>
  <c r="L52" i="3" s="1"/>
  <c r="M52" i="3" s="1"/>
  <c r="N52" i="3" s="1"/>
  <c r="J50" i="3"/>
  <c r="K50" i="3" s="1"/>
  <c r="L49" i="3"/>
  <c r="K49" i="3"/>
  <c r="J49" i="3"/>
  <c r="J48" i="3" s="1"/>
  <c r="K48" i="3"/>
  <c r="L48" i="3" s="1"/>
  <c r="J46" i="3"/>
  <c r="J42" i="3"/>
  <c r="J40" i="3"/>
  <c r="M39" i="3"/>
  <c r="L39" i="3"/>
  <c r="K39" i="3"/>
  <c r="J39" i="3"/>
  <c r="J38" i="3"/>
  <c r="K38" i="3" s="1"/>
  <c r="K41" i="3" s="1"/>
  <c r="J37" i="3"/>
  <c r="K36" i="3"/>
  <c r="L36" i="3" s="1"/>
  <c r="J36" i="3"/>
  <c r="N33" i="3"/>
  <c r="M33" i="3"/>
  <c r="L33" i="3"/>
  <c r="K33" i="3"/>
  <c r="J33" i="3"/>
  <c r="J32" i="3"/>
  <c r="K29" i="3"/>
  <c r="L29" i="3" s="1"/>
  <c r="M29" i="3" s="1"/>
  <c r="N29" i="3" s="1"/>
  <c r="J29" i="3"/>
  <c r="M27" i="3"/>
  <c r="N27" i="3" s="1"/>
  <c r="L27" i="3"/>
  <c r="J27" i="3"/>
  <c r="K27" i="3" s="1"/>
  <c r="M23" i="3"/>
  <c r="N23" i="3" s="1"/>
  <c r="J23" i="3"/>
  <c r="K23" i="3" s="1"/>
  <c r="L23" i="3" s="1"/>
  <c r="K21" i="3"/>
  <c r="J21" i="3"/>
  <c r="J8" i="3"/>
  <c r="L284" i="3" l="1"/>
  <c r="M284" i="3" s="1"/>
  <c r="L21" i="3"/>
  <c r="J137" i="3"/>
  <c r="M301" i="3"/>
  <c r="N301" i="3" s="1"/>
  <c r="M360" i="3"/>
  <c r="N360" i="3" s="1"/>
  <c r="L360" i="3"/>
  <c r="M36" i="3"/>
  <c r="N36" i="3" s="1"/>
  <c r="J35" i="3"/>
  <c r="L38" i="3"/>
  <c r="M72" i="3"/>
  <c r="N72" i="3" s="1"/>
  <c r="K72" i="3"/>
  <c r="L72" i="3" s="1"/>
  <c r="L98" i="3"/>
  <c r="M98" i="3" s="1"/>
  <c r="N98" i="3" s="1"/>
  <c r="J133" i="3"/>
  <c r="J134" i="3"/>
  <c r="K131" i="3"/>
  <c r="K317" i="3"/>
  <c r="K335" i="3"/>
  <c r="L335" i="3" s="1"/>
  <c r="M335" i="3" s="1"/>
  <c r="N335" i="3" s="1"/>
  <c r="J354" i="3"/>
  <c r="J351" i="3"/>
  <c r="J107" i="3"/>
  <c r="K108" i="3"/>
  <c r="L108" i="3" s="1"/>
  <c r="M108" i="3" s="1"/>
  <c r="N108" i="3" s="1"/>
  <c r="K121" i="3"/>
  <c r="L121" i="3" s="1"/>
  <c r="M121" i="3" s="1"/>
  <c r="N121" i="3" s="1"/>
  <c r="J120" i="3"/>
  <c r="K120" i="3" s="1"/>
  <c r="L120" i="3" s="1"/>
  <c r="M120" i="3" s="1"/>
  <c r="N120" i="3" s="1"/>
  <c r="J283" i="3"/>
  <c r="K32" i="3"/>
  <c r="L32" i="3" s="1"/>
  <c r="L68" i="3"/>
  <c r="M68" i="3" s="1"/>
  <c r="N68" i="3" s="1"/>
  <c r="K137" i="3"/>
  <c r="L135" i="3"/>
  <c r="L50" i="3"/>
  <c r="M50" i="3" s="1"/>
  <c r="N50" i="3" s="1"/>
  <c r="J93" i="3"/>
  <c r="K93" i="3" s="1"/>
  <c r="L93" i="3" s="1"/>
  <c r="M94" i="3"/>
  <c r="N94" i="3" s="1"/>
  <c r="L308" i="3"/>
  <c r="J9" i="3"/>
  <c r="N39" i="3"/>
  <c r="L56" i="3"/>
  <c r="M56" i="3" s="1"/>
  <c r="J143" i="3"/>
  <c r="K141" i="3"/>
  <c r="M308" i="3"/>
  <c r="N308" i="3"/>
  <c r="M317" i="3"/>
  <c r="K326" i="3"/>
  <c r="L326" i="3" s="1"/>
  <c r="M326" i="3" s="1"/>
  <c r="N326" i="3" s="1"/>
  <c r="J325" i="3"/>
  <c r="L331" i="3"/>
  <c r="N86" i="3"/>
  <c r="K290" i="3"/>
  <c r="N314" i="3"/>
  <c r="J323" i="3"/>
  <c r="J305" i="3" s="1"/>
  <c r="J306" i="3" s="1"/>
  <c r="J324" i="3"/>
  <c r="K321" i="3"/>
  <c r="J358" i="3"/>
  <c r="K125" i="3"/>
  <c r="L125" i="3" s="1"/>
  <c r="M125" i="3" s="1"/>
  <c r="N125" i="3" s="1"/>
  <c r="K284" i="3"/>
  <c r="N284" i="3" s="1"/>
  <c r="K40" i="3"/>
  <c r="K64" i="3"/>
  <c r="J41" i="3"/>
  <c r="L311" i="3"/>
  <c r="J31" i="3"/>
  <c r="M48" i="3"/>
  <c r="J75" i="3"/>
  <c r="K73" i="3"/>
  <c r="J76" i="3"/>
  <c r="K77" i="3"/>
  <c r="L77" i="3" s="1"/>
  <c r="M77" i="3" s="1"/>
  <c r="N77" i="3" s="1"/>
  <c r="L95" i="3"/>
  <c r="M95" i="3" s="1"/>
  <c r="K95" i="3"/>
  <c r="K102" i="3"/>
  <c r="K270" i="3"/>
  <c r="L270" i="3" s="1"/>
  <c r="J269" i="3"/>
  <c r="J3" i="3"/>
  <c r="J315" i="3" s="1"/>
  <c r="K37" i="3"/>
  <c r="J44" i="3"/>
  <c r="K42" i="3"/>
  <c r="L46" i="3"/>
  <c r="J45" i="3"/>
  <c r="K46" i="3"/>
  <c r="K103" i="3"/>
  <c r="L103" i="3" s="1"/>
  <c r="J128" i="3"/>
  <c r="K128" i="3" s="1"/>
  <c r="L128" i="3" s="1"/>
  <c r="M128" i="3" s="1"/>
  <c r="N128" i="3" s="1"/>
  <c r="K129" i="3"/>
  <c r="L129" i="3" s="1"/>
  <c r="M129" i="3" s="1"/>
  <c r="N129" i="3" s="1"/>
  <c r="M142" i="3"/>
  <c r="N142" i="3" s="1"/>
  <c r="K296" i="3"/>
  <c r="L300" i="3"/>
  <c r="M311" i="3"/>
  <c r="J314" i="3"/>
  <c r="K328" i="3"/>
  <c r="K349" i="3"/>
  <c r="K333" i="3"/>
  <c r="M80" i="3"/>
  <c r="N80" i="3" s="1"/>
  <c r="J79" i="3"/>
  <c r="K110" i="3"/>
  <c r="K116" i="3"/>
  <c r="L116" i="3" s="1"/>
  <c r="M116" i="3" s="1"/>
  <c r="N116" i="3" s="1"/>
  <c r="K311" i="3"/>
  <c r="K329" i="3"/>
  <c r="L329" i="3" s="1"/>
  <c r="M329" i="3" s="1"/>
  <c r="N329" i="3" s="1"/>
  <c r="L353" i="3"/>
  <c r="K314" i="3"/>
  <c r="J361" i="3"/>
  <c r="K359" i="3"/>
  <c r="M49" i="3"/>
  <c r="N49" i="3" s="1"/>
  <c r="M63" i="3"/>
  <c r="N63" i="3" s="1"/>
  <c r="J62" i="3"/>
  <c r="K62" i="3" s="1"/>
  <c r="L62" i="3" s="1"/>
  <c r="J112" i="3"/>
  <c r="K138" i="3"/>
  <c r="K303" i="3"/>
  <c r="L303" i="3" s="1"/>
  <c r="M303" i="3" s="1"/>
  <c r="N303" i="3" s="1"/>
  <c r="N311" i="3"/>
  <c r="L314" i="3"/>
  <c r="K352" i="3"/>
  <c r="K356" i="3"/>
  <c r="M99" i="3"/>
  <c r="N99" i="3" s="1"/>
  <c r="L99" i="3"/>
  <c r="J288" i="3"/>
  <c r="K286" i="3"/>
  <c r="K357" i="3"/>
  <c r="L357" i="3" s="1"/>
  <c r="M357" i="3" s="1"/>
  <c r="N357" i="3" s="1"/>
  <c r="J362" i="3"/>
  <c r="K71" i="3"/>
  <c r="K91" i="3"/>
  <c r="K101" i="3"/>
  <c r="J85" i="3"/>
  <c r="K85" i="3" s="1"/>
  <c r="L85" i="3" s="1"/>
  <c r="M85" i="3" s="1"/>
  <c r="N270" i="3" l="1"/>
  <c r="M102" i="3"/>
  <c r="L286" i="3"/>
  <c r="K289" i="3"/>
  <c r="K302" i="3"/>
  <c r="L302" i="3" s="1"/>
  <c r="M302" i="3" s="1"/>
  <c r="N302" i="3" s="1"/>
  <c r="L290" i="3"/>
  <c r="J327" i="3"/>
  <c r="K325" i="3"/>
  <c r="M135" i="3"/>
  <c r="L137" i="3"/>
  <c r="M270" i="3"/>
  <c r="K351" i="3"/>
  <c r="L349" i="3"/>
  <c r="J11" i="3"/>
  <c r="L102" i="3"/>
  <c r="N85" i="3"/>
  <c r="K112" i="3"/>
  <c r="L110" i="3"/>
  <c r="K330" i="3"/>
  <c r="L328" i="3"/>
  <c r="L42" i="3"/>
  <c r="K44" i="3"/>
  <c r="K269" i="3"/>
  <c r="K292" i="3" s="1"/>
  <c r="K76" i="3"/>
  <c r="J78" i="3"/>
  <c r="L321" i="3"/>
  <c r="K324" i="3"/>
  <c r="K323" i="3"/>
  <c r="M103" i="3"/>
  <c r="N103" i="3" s="1"/>
  <c r="M93" i="3"/>
  <c r="N93" i="3" s="1"/>
  <c r="L41" i="3"/>
  <c r="L40" i="3"/>
  <c r="M38" i="3"/>
  <c r="L97" i="3"/>
  <c r="M97" i="3" s="1"/>
  <c r="N97" i="3" s="1"/>
  <c r="L73" i="3"/>
  <c r="K75" i="3"/>
  <c r="L131" i="3"/>
  <c r="K133" i="3"/>
  <c r="K134" i="3"/>
  <c r="K35" i="3"/>
  <c r="L138" i="3"/>
  <c r="K140" i="3"/>
  <c r="K79" i="3"/>
  <c r="J17" i="3"/>
  <c r="M37" i="3"/>
  <c r="N37" i="3" s="1"/>
  <c r="K124" i="3"/>
  <c r="L124" i="3" s="1"/>
  <c r="M124" i="3" s="1"/>
  <c r="N124" i="3" s="1"/>
  <c r="M300" i="3"/>
  <c r="N300" i="3" s="1"/>
  <c r="L37" i="3"/>
  <c r="N48" i="3"/>
  <c r="K283" i="3"/>
  <c r="J285" i="3"/>
  <c r="M21" i="3"/>
  <c r="J364" i="3"/>
  <c r="K362" i="3"/>
  <c r="J355" i="3"/>
  <c r="K358" i="3"/>
  <c r="L356" i="3"/>
  <c r="L296" i="3"/>
  <c r="K298" i="3"/>
  <c r="M46" i="3"/>
  <c r="N46" i="3" s="1"/>
  <c r="J318" i="3"/>
  <c r="J320" i="3" s="1"/>
  <c r="J309" i="3"/>
  <c r="J4" i="3"/>
  <c r="J312" i="3"/>
  <c r="N95" i="3"/>
  <c r="K31" i="3"/>
  <c r="L31" i="3" s="1"/>
  <c r="M31" i="3" s="1"/>
  <c r="N31" i="3" s="1"/>
  <c r="L141" i="3"/>
  <c r="K143" i="3"/>
  <c r="N56" i="3"/>
  <c r="M32" i="3"/>
  <c r="L101" i="3"/>
  <c r="N101" i="3" s="1"/>
  <c r="M101" i="3"/>
  <c r="L359" i="3"/>
  <c r="K361" i="3"/>
  <c r="K107" i="3"/>
  <c r="J109" i="3"/>
  <c r="L91" i="3"/>
  <c r="M91" i="3" s="1"/>
  <c r="L71" i="3"/>
  <c r="K100" i="3"/>
  <c r="L64" i="3"/>
  <c r="M64" i="3" s="1"/>
  <c r="N32" i="3"/>
  <c r="K355" i="3"/>
  <c r="L352" i="3"/>
  <c r="K354" i="3"/>
  <c r="M62" i="3"/>
  <c r="N62" i="3" s="1"/>
  <c r="M353" i="3"/>
  <c r="N353" i="3" s="1"/>
  <c r="J298" i="3"/>
  <c r="K45" i="3"/>
  <c r="J47" i="3"/>
  <c r="J14" i="3"/>
  <c r="J292" i="3"/>
  <c r="L333" i="3"/>
  <c r="M331" i="3"/>
  <c r="J10" i="3"/>
  <c r="K78" i="3" l="1"/>
  <c r="L76" i="3"/>
  <c r="L289" i="3"/>
  <c r="L288" i="3"/>
  <c r="M286" i="3"/>
  <c r="M296" i="3"/>
  <c r="N71" i="3"/>
  <c r="L358" i="3"/>
  <c r="M356" i="3"/>
  <c r="L283" i="3"/>
  <c r="K285" i="3"/>
  <c r="J15" i="3"/>
  <c r="J16" i="3"/>
  <c r="L35" i="3"/>
  <c r="M40" i="3"/>
  <c r="N38" i="3"/>
  <c r="M41" i="3"/>
  <c r="M321" i="3"/>
  <c r="L324" i="3"/>
  <c r="L323" i="3"/>
  <c r="K47" i="3"/>
  <c r="K14" i="3"/>
  <c r="L45" i="3"/>
  <c r="K109" i="3"/>
  <c r="L107" i="3"/>
  <c r="M141" i="3"/>
  <c r="L143" i="3"/>
  <c r="J5" i="3"/>
  <c r="L112" i="3"/>
  <c r="M110" i="3"/>
  <c r="K288" i="3"/>
  <c r="N135" i="3"/>
  <c r="N137" i="3" s="1"/>
  <c r="M137" i="3"/>
  <c r="L100" i="3"/>
  <c r="K8" i="3"/>
  <c r="J18" i="3"/>
  <c r="J19" i="3"/>
  <c r="N102" i="3"/>
  <c r="M71" i="3"/>
  <c r="L79" i="3"/>
  <c r="K17" i="3"/>
  <c r="J13" i="3"/>
  <c r="J12" i="3"/>
  <c r="N64" i="3"/>
  <c r="L354" i="3"/>
  <c r="M352" i="3"/>
  <c r="M73" i="3"/>
  <c r="L75" i="3"/>
  <c r="K305" i="3"/>
  <c r="K306" i="3" s="1"/>
  <c r="L44" i="3"/>
  <c r="L11" i="3"/>
  <c r="M42" i="3"/>
  <c r="L351" i="3"/>
  <c r="M349" i="3"/>
  <c r="M290" i="3"/>
  <c r="L292" i="3"/>
  <c r="N21" i="3"/>
  <c r="L361" i="3"/>
  <c r="M359" i="3"/>
  <c r="L269" i="3"/>
  <c r="L298" i="3" s="1"/>
  <c r="K3" i="3"/>
  <c r="K327" i="3"/>
  <c r="L325" i="3"/>
  <c r="M333" i="3"/>
  <c r="N331" i="3"/>
  <c r="N333" i="3" s="1"/>
  <c r="L134" i="3"/>
  <c r="L133" i="3"/>
  <c r="M131" i="3"/>
  <c r="K11" i="3"/>
  <c r="N91" i="3"/>
  <c r="K364" i="3"/>
  <c r="L362" i="3"/>
  <c r="L355" i="3" s="1"/>
  <c r="L140" i="3"/>
  <c r="M138" i="3"/>
  <c r="L330" i="3"/>
  <c r="M328" i="3"/>
  <c r="N138" i="3" l="1"/>
  <c r="N140" i="3" s="1"/>
  <c r="M140" i="3"/>
  <c r="J7" i="3"/>
  <c r="J6" i="3"/>
  <c r="L305" i="3"/>
  <c r="L306" i="3" s="1"/>
  <c r="L12" i="3"/>
  <c r="N296" i="3"/>
  <c r="M100" i="3"/>
  <c r="L8" i="3"/>
  <c r="M143" i="3"/>
  <c r="N141" i="3"/>
  <c r="N143" i="3" s="1"/>
  <c r="M324" i="3"/>
  <c r="M323" i="3"/>
  <c r="N321" i="3"/>
  <c r="M289" i="3"/>
  <c r="N286" i="3"/>
  <c r="K18" i="3"/>
  <c r="K19" i="3"/>
  <c r="M107" i="3"/>
  <c r="L109" i="3"/>
  <c r="K4" i="3"/>
  <c r="K315" i="3"/>
  <c r="K312" i="3"/>
  <c r="K309" i="3"/>
  <c r="K318" i="3"/>
  <c r="N41" i="3"/>
  <c r="N40" i="3"/>
  <c r="L285" i="3"/>
  <c r="M283" i="3"/>
  <c r="M35" i="3"/>
  <c r="K10" i="3"/>
  <c r="K9" i="3"/>
  <c r="M75" i="3"/>
  <c r="N73" i="3"/>
  <c r="N75" i="3" s="1"/>
  <c r="K13" i="3"/>
  <c r="K12" i="3"/>
  <c r="N328" i="3"/>
  <c r="N330" i="3" s="1"/>
  <c r="M330" i="3"/>
  <c r="M269" i="3"/>
  <c r="L3" i="3"/>
  <c r="L13" i="3" s="1"/>
  <c r="M45" i="3"/>
  <c r="L47" i="3"/>
  <c r="L14" i="3"/>
  <c r="N356" i="3"/>
  <c r="N358" i="3" s="1"/>
  <c r="M358" i="3"/>
  <c r="M76" i="3"/>
  <c r="L78" i="3"/>
  <c r="M362" i="3"/>
  <c r="M355" i="3" s="1"/>
  <c r="L364" i="3"/>
  <c r="M325" i="3"/>
  <c r="L327" i="3"/>
  <c r="N290" i="3"/>
  <c r="N349" i="3"/>
  <c r="N351" i="3" s="1"/>
  <c r="M351" i="3"/>
  <c r="M79" i="3"/>
  <c r="L17" i="3"/>
  <c r="M134" i="3"/>
  <c r="N131" i="3"/>
  <c r="M133" i="3"/>
  <c r="M361" i="3"/>
  <c r="N359" i="3"/>
  <c r="N361" i="3" s="1"/>
  <c r="N42" i="3"/>
  <c r="M44" i="3"/>
  <c r="M354" i="3"/>
  <c r="N352" i="3"/>
  <c r="N110" i="3"/>
  <c r="N112" i="3" s="1"/>
  <c r="M112" i="3"/>
  <c r="K16" i="3"/>
  <c r="K15" i="3"/>
  <c r="M327" i="3" l="1"/>
  <c r="N325" i="3"/>
  <c r="N327" i="3" s="1"/>
  <c r="M305" i="3"/>
  <c r="M306" i="3" s="1"/>
  <c r="L18" i="3"/>
  <c r="L19" i="3"/>
  <c r="M14" i="3"/>
  <c r="M47" i="3"/>
  <c r="N45" i="3"/>
  <c r="M109" i="3"/>
  <c r="N107" i="3"/>
  <c r="N109" i="3" s="1"/>
  <c r="N11" i="3"/>
  <c r="N44" i="3"/>
  <c r="L315" i="3"/>
  <c r="L4" i="3"/>
  <c r="L318" i="3"/>
  <c r="L312" i="3"/>
  <c r="L309" i="3"/>
  <c r="N269" i="3"/>
  <c r="N3" i="3" s="1"/>
  <c r="M3" i="3"/>
  <c r="L9" i="3"/>
  <c r="L10" i="3"/>
  <c r="N100" i="3"/>
  <c r="N8" i="3" s="1"/>
  <c r="M8" i="3"/>
  <c r="N79" i="3"/>
  <c r="N17" i="3" s="1"/>
  <c r="M17" i="3"/>
  <c r="K320" i="3"/>
  <c r="K5" i="3"/>
  <c r="N283" i="3"/>
  <c r="N285" i="3" s="1"/>
  <c r="M285" i="3"/>
  <c r="M288" i="3"/>
  <c r="N298" i="3"/>
  <c r="M364" i="3"/>
  <c r="N362" i="3"/>
  <c r="N364" i="3" s="1"/>
  <c r="M11" i="3"/>
  <c r="M78" i="3"/>
  <c r="N76" i="3"/>
  <c r="N78" i="3" s="1"/>
  <c r="N35" i="3"/>
  <c r="N289" i="3"/>
  <c r="N288" i="3"/>
  <c r="M292" i="3"/>
  <c r="N354" i="3"/>
  <c r="N355" i="3"/>
  <c r="N133" i="3"/>
  <c r="N134" i="3"/>
  <c r="L16" i="3"/>
  <c r="L15" i="3"/>
  <c r="N323" i="3"/>
  <c r="N324" i="3"/>
  <c r="M298" i="3"/>
  <c r="N19" i="3" l="1"/>
  <c r="N18" i="3"/>
  <c r="N14" i="3"/>
  <c r="N47" i="3"/>
  <c r="M9" i="3"/>
  <c r="M10" i="3"/>
  <c r="L320" i="3"/>
  <c r="L5" i="3"/>
  <c r="N9" i="3"/>
  <c r="N10" i="3"/>
  <c r="K6" i="3"/>
  <c r="K7" i="3"/>
  <c r="M315" i="3"/>
  <c r="M4" i="3"/>
  <c r="M318" i="3"/>
  <c r="M312" i="3"/>
  <c r="M309" i="3"/>
  <c r="N13" i="3"/>
  <c r="N12" i="3"/>
  <c r="M16" i="3"/>
  <c r="M15" i="3"/>
  <c r="M12" i="3"/>
  <c r="M13" i="3"/>
  <c r="N309" i="3"/>
  <c r="N4" i="3"/>
  <c r="N318" i="3"/>
  <c r="N320" i="3" s="1"/>
  <c r="N315" i="3"/>
  <c r="N312" i="3"/>
  <c r="N305" i="3"/>
  <c r="N306" i="3" s="1"/>
  <c r="N292" i="3"/>
  <c r="M19" i="3"/>
  <c r="M18" i="3"/>
  <c r="L6" i="3" l="1"/>
  <c r="L7" i="3"/>
  <c r="M320" i="3"/>
  <c r="M5" i="3"/>
  <c r="N5" i="3"/>
  <c r="N15" i="3"/>
  <c r="N16" i="3"/>
  <c r="N6" i="3" l="1"/>
  <c r="N7" i="3"/>
  <c r="M6" i="3"/>
  <c r="M7" i="3"/>
  <c r="J3" i="4" l="1"/>
  <c r="K7" i="4" l="1"/>
  <c r="L7" i="4"/>
  <c r="M7" i="4"/>
  <c r="N7" i="4"/>
  <c r="J7" i="4"/>
  <c r="L13" i="4" l="1"/>
  <c r="M13" i="4" s="1"/>
  <c r="N13" i="4" s="1"/>
  <c r="K13" i="4"/>
  <c r="K19" i="4"/>
  <c r="L19" i="4" s="1"/>
  <c r="J19" i="4"/>
  <c r="K18" i="4"/>
  <c r="L18" i="4" s="1"/>
  <c r="J18" i="4"/>
  <c r="J10" i="4"/>
  <c r="K3" i="4"/>
  <c r="L3" i="4"/>
  <c r="M3" i="4"/>
  <c r="N3" i="4"/>
  <c r="M19" i="4" l="1"/>
  <c r="N19" i="4" s="1"/>
  <c r="M18" i="4"/>
  <c r="N18" i="4" s="1"/>
  <c r="J52" i="4" l="1"/>
  <c r="K52" i="4"/>
  <c r="K58" i="4" s="1"/>
  <c r="L52" i="4"/>
  <c r="L58" i="4" s="1"/>
  <c r="M52" i="4"/>
  <c r="M58" i="4" s="1"/>
  <c r="N52" i="4"/>
  <c r="N58" i="4" s="1"/>
  <c r="K60" i="4"/>
  <c r="L60" i="4"/>
  <c r="M60" i="4" s="1"/>
  <c r="N60" i="4" s="1"/>
  <c r="J59" i="4"/>
  <c r="J60" i="4"/>
  <c r="K62" i="4"/>
  <c r="L62" i="4"/>
  <c r="M62" i="4"/>
  <c r="N62" i="4"/>
  <c r="J62" i="4"/>
  <c r="K57" i="4"/>
  <c r="L57" i="4"/>
  <c r="M57" i="4"/>
  <c r="N57" i="4"/>
  <c r="J57" i="4"/>
  <c r="J47" i="4"/>
  <c r="K47" i="4"/>
  <c r="L47" i="4"/>
  <c r="M47" i="4"/>
  <c r="N47" i="4"/>
  <c r="K46" i="4"/>
  <c r="L46" i="4"/>
  <c r="M46" i="4"/>
  <c r="N46" i="4"/>
  <c r="J46" i="4"/>
  <c r="J58" i="4" l="1"/>
  <c r="J26" i="4"/>
  <c r="K26" i="4" s="1"/>
  <c r="L26" i="4" s="1"/>
  <c r="M26" i="4" s="1"/>
  <c r="N26" i="4" s="1"/>
  <c r="K6" i="4"/>
  <c r="L6" i="4"/>
  <c r="M6" i="4"/>
  <c r="N6" i="4"/>
  <c r="J6" i="4"/>
  <c r="F63" i="4"/>
  <c r="G63" i="4"/>
  <c r="E63" i="4"/>
  <c r="I63" i="4"/>
  <c r="J63" i="4" s="1"/>
  <c r="K63" i="4" s="1"/>
  <c r="L63" i="4" s="1"/>
  <c r="M63" i="4" s="1"/>
  <c r="N63" i="4" s="1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G58" i="4" s="1"/>
  <c r="H45" i="3"/>
  <c r="I45" i="3"/>
  <c r="B45" i="3"/>
  <c r="H14" i="3" l="1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B15" i="4"/>
  <c r="C12" i="4"/>
  <c r="D12" i="4"/>
  <c r="E12" i="4"/>
  <c r="F12" i="4"/>
  <c r="G12" i="4"/>
  <c r="H12" i="4"/>
  <c r="I12" i="4"/>
  <c r="B12" i="4"/>
  <c r="K15" i="4" l="1"/>
  <c r="L15" i="4" s="1"/>
  <c r="M15" i="4" s="1"/>
  <c r="N15" i="4" s="1"/>
  <c r="K48" i="4"/>
  <c r="J49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L48" i="4"/>
  <c r="K49" i="4"/>
  <c r="C18" i="4"/>
  <c r="M48" i="4" l="1"/>
  <c r="L49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B354" i="3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F121" i="3"/>
  <c r="F123" i="3" s="1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E92" i="3" s="1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F63" i="3"/>
  <c r="F65" i="3" s="1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43" i="4"/>
  <c r="K70" i="4"/>
  <c r="N48" i="4"/>
  <c r="N49" i="4" s="1"/>
  <c r="M49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F108" i="3"/>
  <c r="F115" i="3"/>
  <c r="I117" i="3"/>
  <c r="I119" i="3" s="1"/>
  <c r="G134" i="3"/>
  <c r="F137" i="3"/>
  <c r="I140" i="3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F90" i="3"/>
  <c r="F92" i="3" s="1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I351" i="3" s="1"/>
  <c r="D3" i="3"/>
  <c r="D3" i="4" s="1"/>
  <c r="C17" i="3"/>
  <c r="C18" i="3" s="1"/>
  <c r="E39" i="3"/>
  <c r="I39" i="3"/>
  <c r="H41" i="3"/>
  <c r="E43" i="3"/>
  <c r="I43" i="3"/>
  <c r="D50" i="3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96" i="3" s="1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I65" i="3" s="1"/>
  <c r="H63" i="3"/>
  <c r="H65" i="3" s="1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L4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I130" i="3"/>
  <c r="I5" i="3"/>
  <c r="I5" i="4" s="1"/>
  <c r="F5" i="3"/>
  <c r="F5" i="4" s="1"/>
  <c r="B351" i="3"/>
  <c r="C350" i="3"/>
  <c r="I320" i="3"/>
  <c r="I319" i="3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N43" i="4" s="1"/>
  <c r="M43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4" i="4" l="1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B66" i="4" l="1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D67" i="4" l="1"/>
  <c r="D68" i="4" s="1"/>
  <c r="C69" i="4"/>
  <c r="I99" i="1"/>
  <c r="I100" i="1" s="1"/>
  <c r="I101" i="1" s="1"/>
  <c r="H101" i="1"/>
  <c r="G167" i="1"/>
  <c r="E67" i="4" l="1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J25" i="4" l="1"/>
  <c r="K67" i="4"/>
  <c r="J23" i="4"/>
  <c r="J51" i="4" s="1"/>
  <c r="L67" i="4" l="1"/>
  <c r="K25" i="4"/>
  <c r="K23" i="4"/>
  <c r="K51" i="4" l="1"/>
  <c r="M67" i="4"/>
  <c r="L25" i="4"/>
  <c r="L23" i="4" l="1"/>
  <c r="N67" i="4"/>
  <c r="M25" i="4"/>
  <c r="L51" i="4" l="1"/>
  <c r="M23" i="4"/>
  <c r="N51" i="4" s="1"/>
  <c r="N23" i="4"/>
  <c r="N25" i="4"/>
  <c r="M51" i="4" l="1"/>
  <c r="K59" i="4" l="1"/>
  <c r="L59" i="4"/>
  <c r="M59" i="4"/>
  <c r="N59" i="4" s="1"/>
  <c r="J11" i="4" l="1"/>
  <c r="J54" i="4"/>
  <c r="J55" i="4" s="1"/>
  <c r="K54" i="4"/>
  <c r="K55" i="4" s="1"/>
  <c r="J50" i="4"/>
  <c r="J53" i="4" s="1"/>
  <c r="K10" i="4"/>
  <c r="K50" i="4" s="1"/>
  <c r="K53" i="4" s="1"/>
  <c r="L10" i="4"/>
  <c r="L54" i="4" s="1"/>
  <c r="L55" i="4" s="1"/>
  <c r="J12" i="4" l="1"/>
  <c r="J14" i="4" s="1"/>
  <c r="J16" i="4" s="1"/>
  <c r="J17" i="4" s="1"/>
  <c r="L11" i="4"/>
  <c r="K11" i="4"/>
  <c r="M10" i="4"/>
  <c r="L50" i="4"/>
  <c r="L53" i="4" s="1"/>
  <c r="K12" i="4" l="1"/>
  <c r="K14" i="4" s="1"/>
  <c r="K16" i="4" s="1"/>
  <c r="K17" i="4" s="1"/>
  <c r="L12" i="4"/>
  <c r="L14" i="4" s="1"/>
  <c r="L16" i="4" s="1"/>
  <c r="L17" i="4" s="1"/>
  <c r="M11" i="4"/>
  <c r="M54" i="4"/>
  <c r="M55" i="4" s="1"/>
  <c r="M50" i="4"/>
  <c r="M53" i="4" s="1"/>
  <c r="N10" i="4"/>
  <c r="M12" i="4" l="1"/>
  <c r="M14" i="4" s="1"/>
  <c r="M16" i="4" s="1"/>
  <c r="M17" i="4" s="1"/>
  <c r="N54" i="4"/>
  <c r="N55" i="4" s="1"/>
  <c r="N11" i="4"/>
  <c r="N50" i="4"/>
  <c r="N53" i="4" s="1"/>
  <c r="N12" i="4" l="1"/>
  <c r="N14" i="4" s="1"/>
  <c r="N16" i="4" s="1"/>
  <c r="N17" i="4" s="1"/>
  <c r="K61" i="4"/>
  <c r="J61" i="4"/>
  <c r="J64" i="4" l="1"/>
  <c r="J66" i="4" s="1"/>
  <c r="J68" i="4" s="1"/>
  <c r="J21" i="4" s="1"/>
  <c r="K21" i="4" s="1"/>
  <c r="J41" i="4"/>
  <c r="K41" i="4" s="1"/>
  <c r="K64" i="4"/>
  <c r="K66" i="4" s="1"/>
  <c r="K68" i="4" s="1"/>
  <c r="J31" i="4" l="1"/>
  <c r="L61" i="4"/>
  <c r="L41" i="4" s="1"/>
  <c r="K31" i="4"/>
  <c r="L21" i="4"/>
  <c r="M61" i="4" l="1"/>
  <c r="M41" i="4" s="1"/>
  <c r="L64" i="4"/>
  <c r="L66" i="4" s="1"/>
  <c r="L68" i="4" s="1"/>
  <c r="M21" i="4"/>
  <c r="L31" i="4"/>
  <c r="M64" i="4" l="1"/>
  <c r="M66" i="4" s="1"/>
  <c r="M68" i="4" s="1"/>
  <c r="N21" i="4"/>
  <c r="N31" i="4" s="1"/>
  <c r="M31" i="4"/>
  <c r="N61" i="4"/>
  <c r="N41" i="4" s="1"/>
  <c r="N64" i="4" l="1"/>
  <c r="N66" i="4" s="1"/>
  <c r="N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<sst xmlns="http://schemas.openxmlformats.org/spreadsheetml/2006/main" count="816" uniqueCount="215">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</sst>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  <xf numFmtId="1" fontId="9" fillId="0" borderId="0" xfId="2" applyNumberFormat="1" applyFont="1" applyAlignment="1">
      <alignment horizontal="right"/>
    </xf>
    <xf numFmtId="2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78" activePane="bottomLeft" state="frozen"/>
      <selection pane="bottomLeft" activeCell="B89" sqref="B89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82">
        <f t="shared" si="19"/>
        <v>0</v>
      </c>
      <c r="F101" s="82">
        <f t="shared" si="19"/>
        <v>0</v>
      </c>
      <c r="G101" s="82">
        <f t="shared" si="19"/>
        <v>0</v>
      </c>
      <c r="H101" s="82">
        <f t="shared" si="19"/>
        <v>0</v>
      </c>
      <c r="I101" s="82">
        <f t="shared" si="19"/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2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2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2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2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2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2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2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2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2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6" thickBot="1" x14ac:dyDescent="0.2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6" thickTop="1" x14ac:dyDescent="0.2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2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6" thickTop="1" x14ac:dyDescent="0.2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3" workbookViewId="0">
      <selection activeCell="J5" sqref="J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N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8626.011695453024</v>
      </c>
      <c r="K5" s="59">
        <f t="shared" ref="K5:N5" si="8">K35+K66+K97+K128+K283+K318+K349</f>
        <v>11027.076440700039</v>
      </c>
      <c r="L5" s="59">
        <f t="shared" si="8"/>
        <v>14272.995640367593</v>
      </c>
      <c r="M5" s="59">
        <f t="shared" si="8"/>
        <v>18653.775784042675</v>
      </c>
      <c r="N5" s="59">
        <f t="shared" si="8"/>
        <v>24225.547351707693</v>
      </c>
    </row>
    <row r="6" spans="1:15" x14ac:dyDescent="0.2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0.13904815732906695</v>
      </c>
      <c r="K6" s="47">
        <f t="shared" ref="K6:N6" si="10">(K5-J5)/J5</f>
        <v>0.2783516681889816</v>
      </c>
      <c r="L6" s="47">
        <f t="shared" si="10"/>
        <v>0.29435900051323954</v>
      </c>
      <c r="M6" s="47">
        <f t="shared" si="10"/>
        <v>0.30692786952762335</v>
      </c>
      <c r="N6" s="47">
        <f t="shared" si="10"/>
        <v>0.29869403557597046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0.15803753080701471</v>
      </c>
      <c r="K7" s="47">
        <f t="shared" si="11"/>
        <v>0.17952549321048919</v>
      </c>
      <c r="L7" s="47">
        <f t="shared" si="11"/>
        <v>0.18751733742713531</v>
      </c>
      <c r="M7" s="47">
        <f t="shared" si="11"/>
        <v>0.27089156892694838</v>
      </c>
      <c r="N7" s="47">
        <f t="shared" si="11"/>
        <v>0.15637576098351835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4">
        <f>J38+J69+J100+J131+J286+J321+J352</f>
        <v>722.35626729696696</v>
      </c>
      <c r="K8" s="84">
        <f t="shared" ref="K8:N8" si="13">K38+K69+K100+K131+K286+K321+K352</f>
        <v>726.86508888046012</v>
      </c>
      <c r="L8" s="84">
        <f t="shared" si="13"/>
        <v>731.24139556730415</v>
      </c>
      <c r="M8" s="84">
        <f t="shared" si="13"/>
        <v>731.21297332920824</v>
      </c>
      <c r="N8" s="84">
        <f t="shared" si="13"/>
        <v>733.94561474338491</v>
      </c>
    </row>
    <row r="9" spans="1:15" x14ac:dyDescent="0.2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12498.263849259416</v>
      </c>
      <c r="K11" s="59">
        <f t="shared" ref="K11:N11" si="18">K42+K73+K104+K135+K290+K325+K356</f>
        <v>16218.360249637481</v>
      </c>
      <c r="L11" s="59">
        <f t="shared" si="18"/>
        <v>20393.501009487172</v>
      </c>
      <c r="M11" s="59">
        <f t="shared" si="18"/>
        <v>25594.127340361734</v>
      </c>
      <c r="N11" s="59">
        <f t="shared" si="18"/>
        <v>32221.169769525011</v>
      </c>
    </row>
    <row r="12" spans="1:15" x14ac:dyDescent="0.2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0.82296730590131506</v>
      </c>
      <c r="K12" s="47">
        <f t="shared" ref="K12:N12" si="20">(K11-J11)/J11</f>
        <v>0.29764905312016587</v>
      </c>
      <c r="L12" s="47">
        <f t="shared" si="20"/>
        <v>0.2574329769215119</v>
      </c>
      <c r="M12" s="47">
        <f t="shared" si="20"/>
        <v>0.25501390508943028</v>
      </c>
      <c r="N12" s="47">
        <f t="shared" si="20"/>
        <v>0.25892824322681574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0.22898122885141756</v>
      </c>
      <c r="K13" s="47">
        <f t="shared" si="21"/>
        <v>0.26404180097410496</v>
      </c>
      <c r="L13" s="47">
        <f t="shared" si="21"/>
        <v>0.2679279883825525</v>
      </c>
      <c r="M13" s="47">
        <f t="shared" si="21"/>
        <v>0.37167988887685199</v>
      </c>
      <c r="N13" s="47">
        <f t="shared" si="21"/>
        <v>0.20798745511660982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2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2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2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2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2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2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2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2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2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2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2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2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O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2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I42*(1+J43)</f>
        <v>5548.69</v>
      </c>
      <c r="K42" s="9">
        <f t="shared" ref="K42:N42" si="59">J42*(1+K43)</f>
        <v>6547.4541999999992</v>
      </c>
      <c r="L42" s="9">
        <f t="shared" si="59"/>
        <v>7856.9450399999987</v>
      </c>
      <c r="M42" s="9">
        <f t="shared" si="59"/>
        <v>9428.3340479999988</v>
      </c>
      <c r="N42" s="9">
        <f t="shared" si="59"/>
        <v>11314.000857599998</v>
      </c>
    </row>
    <row r="43" spans="1:14" x14ac:dyDescent="0.2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v>8.5000000000000006E-2</v>
      </c>
      <c r="K43" s="47">
        <v>0.18</v>
      </c>
      <c r="L43" s="47">
        <v>0.2</v>
      </c>
      <c r="M43" s="47">
        <v>0.2</v>
      </c>
      <c r="N43" s="47">
        <v>0.2</v>
      </c>
    </row>
    <row r="44" spans="1:14" x14ac:dyDescent="0.2">
      <c r="A44" s="46" t="s">
        <v>130</v>
      </c>
      <c r="B44" s="47">
        <f t="shared" ref="B44:H44" si="61">+IFERROR(B42/B$21,"nm")</f>
        <v>0.26528384279475981</v>
      </c>
      <c r="C44" s="47">
        <f t="shared" si="61"/>
        <v>0.25487672717420751</v>
      </c>
      <c r="D44" s="47">
        <f t="shared" si="61"/>
        <v>0.25466614090431128</v>
      </c>
      <c r="E44" s="47">
        <f t="shared" si="61"/>
        <v>0.24234264557388085</v>
      </c>
      <c r="F44" s="47">
        <f t="shared" si="61"/>
        <v>0.2468242988303358</v>
      </c>
      <c r="G44" s="47">
        <f t="shared" si="61"/>
        <v>0.20015189174261253</v>
      </c>
      <c r="H44" s="47">
        <f t="shared" si="61"/>
        <v>0.29623377379358518</v>
      </c>
      <c r="I44" s="47">
        <f>+IFERROR(I42/I$21,"nm")</f>
        <v>0.27864654279954232</v>
      </c>
      <c r="J44" s="47">
        <f t="shared" ref="J44:N44" si="62">+IFERROR(J42/J$21,"nm")</f>
        <v>0.25459494647368708</v>
      </c>
      <c r="K44" s="47">
        <f t="shared" si="62"/>
        <v>0.25298697839069534</v>
      </c>
      <c r="L44" s="47">
        <f t="shared" si="62"/>
        <v>0.25564999921586057</v>
      </c>
      <c r="M44" s="47">
        <f t="shared" si="62"/>
        <v>0.25834105183918538</v>
      </c>
      <c r="N44" s="47">
        <f t="shared" si="62"/>
        <v>0.26106043133222945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3">J45*(1+K46)</f>
        <v>153.7370395871439</v>
      </c>
      <c r="L45" s="48">
        <f t="shared" si="63"/>
        <v>170.46520907264585</v>
      </c>
      <c r="M45" s="48">
        <f t="shared" si="63"/>
        <v>198.29971797903028</v>
      </c>
      <c r="N45" s="48">
        <f t="shared" si="63"/>
        <v>214.49247307356802</v>
      </c>
    </row>
    <row r="46" spans="1:14" x14ac:dyDescent="0.2">
      <c r="A46" s="46" t="s">
        <v>128</v>
      </c>
      <c r="B46" s="47" t="str">
        <f t="shared" ref="B46:H46" si="64">+IFERROR(B45/A45-1,"nm")</f>
        <v>nm</v>
      </c>
      <c r="C46" s="47" t="str">
        <f t="shared" si="64"/>
        <v>nm</v>
      </c>
      <c r="D46" s="47" t="str">
        <f t="shared" si="64"/>
        <v>nm</v>
      </c>
      <c r="E46" s="47" t="str">
        <f t="shared" si="64"/>
        <v>nm</v>
      </c>
      <c r="F46" s="47">
        <f t="shared" si="64"/>
        <v>-0.40306122448979587</v>
      </c>
      <c r="G46" s="47">
        <f t="shared" si="64"/>
        <v>-5.9829059829059839E-2</v>
      </c>
      <c r="H46" s="47">
        <f t="shared" si="64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5">AVERAGE(G46:J46)</f>
        <v>7.5082407671693413E-2</v>
      </c>
      <c r="L46" s="47">
        <f t="shared" si="65"/>
        <v>0.10881027454688172</v>
      </c>
      <c r="M46" s="47">
        <f t="shared" si="65"/>
        <v>0.16328557045632944</v>
      </c>
      <c r="N46" s="47">
        <f t="shared" si="65"/>
        <v>8.165798347857503E-2</v>
      </c>
    </row>
    <row r="47" spans="1:14" x14ac:dyDescent="0.2">
      <c r="A47" s="46" t="s">
        <v>132</v>
      </c>
      <c r="B47" s="47">
        <f t="shared" ref="B47:H47" si="66">+IFERROR(B45/B$21,"nm")</f>
        <v>0</v>
      </c>
      <c r="C47" s="47">
        <f t="shared" si="66"/>
        <v>0</v>
      </c>
      <c r="D47" s="47">
        <f t="shared" si="66"/>
        <v>0</v>
      </c>
      <c r="E47" s="47">
        <f t="shared" si="66"/>
        <v>1.3194210703466847E-2</v>
      </c>
      <c r="F47" s="47">
        <f t="shared" si="66"/>
        <v>7.3575650861526856E-3</v>
      </c>
      <c r="G47" s="47">
        <f t="shared" si="66"/>
        <v>7.5945871306268989E-3</v>
      </c>
      <c r="H47" s="47">
        <f t="shared" si="66"/>
        <v>5.7046393852960009E-3</v>
      </c>
      <c r="I47" s="47">
        <f>+IFERROR(I45/I$21,"nm")</f>
        <v>7.9551027080041418E-3</v>
      </c>
      <c r="J47" s="47">
        <f t="shared" ref="J47:N47" si="67">+IFERROR(J45/J$21,"nm")</f>
        <v>6.5613933743091709E-3</v>
      </c>
      <c r="K47" s="47">
        <f t="shared" si="67"/>
        <v>5.9402430202386523E-3</v>
      </c>
      <c r="L47" s="47">
        <f t="shared" si="67"/>
        <v>5.5466126266492787E-3</v>
      </c>
      <c r="M47" s="47">
        <f t="shared" si="67"/>
        <v>5.4335111018879879E-3</v>
      </c>
      <c r="N47" s="47">
        <f t="shared" si="67"/>
        <v>4.9492216098329361E-3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8">J48*(1+K49)</f>
        <v>664.07823196633296</v>
      </c>
      <c r="L48" s="48">
        <f t="shared" si="68"/>
        <v>640.14311840092091</v>
      </c>
      <c r="M48" s="48">
        <f t="shared" si="68"/>
        <v>608.53267452020805</v>
      </c>
      <c r="N48" s="48">
        <f t="shared" si="68"/>
        <v>582.51148247523997</v>
      </c>
    </row>
    <row r="49" spans="1:14" x14ac:dyDescent="0.2">
      <c r="A49" s="46" t="s">
        <v>128</v>
      </c>
      <c r="B49" s="47" t="str">
        <f t="shared" ref="B49:H49" si="69">+IFERROR(B48/A48-1,"nm")</f>
        <v>nm</v>
      </c>
      <c r="C49" s="47">
        <f t="shared" si="69"/>
        <v>0.17405063291139244</v>
      </c>
      <c r="D49" s="47">
        <f t="shared" si="69"/>
        <v>0.10377358490566047</v>
      </c>
      <c r="E49" s="47">
        <f t="shared" si="69"/>
        <v>3.5409035409035505E-2</v>
      </c>
      <c r="F49" s="47">
        <f t="shared" si="69"/>
        <v>-4.0094339622641528E-2</v>
      </c>
      <c r="G49" s="47">
        <f t="shared" si="69"/>
        <v>-0.20761670761670759</v>
      </c>
      <c r="H49" s="47">
        <f t="shared" si="69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0">AVERAGE(E49,F49,D49,G49,I49,J49)</f>
        <v>-4.7735468623163338E-3</v>
      </c>
      <c r="L49" s="47">
        <f t="shared" si="70"/>
        <v>-3.6042611266657962E-2</v>
      </c>
      <c r="M49" s="47">
        <f t="shared" si="70"/>
        <v>-4.9380276022767865E-2</v>
      </c>
      <c r="N49" s="47">
        <f t="shared" si="70"/>
        <v>-4.2760550311426095E-2</v>
      </c>
    </row>
    <row r="50" spans="1:14" x14ac:dyDescent="0.2">
      <c r="A50" s="46" t="s">
        <v>132</v>
      </c>
      <c r="B50" s="47">
        <f t="shared" ref="B50:H50" si="71">+IFERROR(B48/B$21,"nm")</f>
        <v>4.599708879184862E-2</v>
      </c>
      <c r="C50" s="47">
        <f t="shared" si="71"/>
        <v>5.0257382823083174E-2</v>
      </c>
      <c r="D50" s="47">
        <f t="shared" si="71"/>
        <v>5.3824921135646686E-2</v>
      </c>
      <c r="E50" s="47">
        <f t="shared" si="71"/>
        <v>5.7085156512958597E-2</v>
      </c>
      <c r="F50" s="47">
        <f t="shared" si="71"/>
        <v>5.1188529744686205E-2</v>
      </c>
      <c r="G50" s="47">
        <f t="shared" si="71"/>
        <v>4.4531897265948632E-2</v>
      </c>
      <c r="H50" s="47">
        <f t="shared" si="71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2">AVERAGE(C50:J50)</f>
        <v>4.6790411499783038E-2</v>
      </c>
      <c r="L50" s="49">
        <f t="shared" si="72"/>
        <v>4.6357040084370527E-2</v>
      </c>
      <c r="M50" s="49">
        <f t="shared" si="72"/>
        <v>4.5423554952961007E-2</v>
      </c>
      <c r="N50" s="49">
        <f t="shared" si="72"/>
        <v>4.396585475796131E-2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3">J52*(1+K53)</f>
        <v>18119.819975000002</v>
      </c>
      <c r="L52" s="69">
        <f t="shared" si="73"/>
        <v>21834.383069875003</v>
      </c>
      <c r="M52" s="69">
        <f t="shared" si="73"/>
        <v>26310.431599199379</v>
      </c>
      <c r="N52" s="69">
        <f t="shared" si="73"/>
        <v>31704.070077035252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4">G52/F52-1</f>
        <v>-4.7390949857317621E-2</v>
      </c>
      <c r="H53" s="62">
        <f t="shared" si="74"/>
        <v>0.22563389322777372</v>
      </c>
      <c r="I53" s="63">
        <f t="shared" si="74"/>
        <v>8.9298184357541999E-2</v>
      </c>
      <c r="J53" s="62">
        <v>0.20499999999999999</v>
      </c>
      <c r="K53" s="62">
        <f>J53</f>
        <v>0.20499999999999999</v>
      </c>
      <c r="L53" s="62">
        <f t="shared" ref="L53:N53" si="75">K53</f>
        <v>0.20499999999999999</v>
      </c>
      <c r="M53" s="62">
        <f t="shared" si="75"/>
        <v>0.20499999999999999</v>
      </c>
      <c r="N53" s="62">
        <f t="shared" si="75"/>
        <v>0.20499999999999999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6">J54*(1+K55)</f>
        <v>9558.2249999999985</v>
      </c>
      <c r="L54" s="3">
        <f t="shared" si="76"/>
        <v>11230.914374999998</v>
      </c>
      <c r="M54" s="3">
        <f t="shared" si="76"/>
        <v>13477.097249999997</v>
      </c>
      <c r="N54" s="3">
        <f t="shared" si="76"/>
        <v>16509.444131249998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7">G54/F54-1</f>
        <v>-6.3721595423486432E-2</v>
      </c>
      <c r="H55" s="62">
        <f t="shared" si="77"/>
        <v>0.18295994568907004</v>
      </c>
      <c r="I55" s="62">
        <f t="shared" si="77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8">AVERAGE(F56:J56)</f>
        <v>7.2400000000000006E-2</v>
      </c>
      <c r="L56" s="49">
        <f t="shared" si="78"/>
        <v>7.288E-2</v>
      </c>
      <c r="M56" s="49">
        <f t="shared" si="78"/>
        <v>9.9456000000000017E-2</v>
      </c>
      <c r="N56" s="49">
        <f t="shared" si="78"/>
        <v>8.3347199999999996E-2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79">G55-G56</f>
        <v>-3.7215954234864346E-3</v>
      </c>
      <c r="H57" s="63">
        <f t="shared" si="79"/>
        <v>2.9599456890700426E-3</v>
      </c>
      <c r="I57" s="63">
        <f t="shared" si="79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5">
        <f>I58*(1+J59)</f>
        <v>4979.7000000000007</v>
      </c>
      <c r="K58" s="85">
        <f t="shared" ref="K58:N58" si="80">J58*(1+K59)</f>
        <v>5328.2790000000014</v>
      </c>
      <c r="L58" s="85">
        <f t="shared" si="80"/>
        <v>5594.6929500000015</v>
      </c>
      <c r="M58" s="85">
        <f t="shared" si="80"/>
        <v>5706.5868090000013</v>
      </c>
      <c r="N58" s="85">
        <f t="shared" si="80"/>
        <v>5706.5868090000013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1">G58/F58-1</f>
        <v>-1.1013929381276322E-2</v>
      </c>
      <c r="H59" s="62">
        <f t="shared" si="81"/>
        <v>0.30887651490337364</v>
      </c>
      <c r="I59" s="62">
        <f t="shared" si="81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2">AVERAGE(G60,F60,I60,J600)</f>
        <v>6.6666666666666666E-2</v>
      </c>
      <c r="L60" s="65">
        <f t="shared" si="82"/>
        <v>0.16555555555555557</v>
      </c>
      <c r="M60" s="65">
        <f t="shared" si="82"/>
        <v>0.17888888888888888</v>
      </c>
      <c r="N60" s="65">
        <f t="shared" si="82"/>
        <v>0.17407407407407408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3">G59-G60</f>
        <v>-1.0139293812763215E-3</v>
      </c>
      <c r="H61" s="62">
        <f t="shared" si="83"/>
        <v>-1.1234850966263532E-3</v>
      </c>
      <c r="I61" s="62">
        <f t="shared" si="83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5">
        <f>I62*(1+J63)</f>
        <v>608.01893639031346</v>
      </c>
      <c r="K62" s="85">
        <f t="shared" ref="K62:N62" si="84">J62*(1+K63)</f>
        <v>665.55716616322854</v>
      </c>
      <c r="L62" s="85">
        <f t="shared" si="84"/>
        <v>755.84098399511436</v>
      </c>
      <c r="M62" s="85">
        <f t="shared" si="84"/>
        <v>842.64024175675092</v>
      </c>
      <c r="N62" s="85">
        <f t="shared" si="84"/>
        <v>931.78516078644657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5">G62/F62-1</f>
        <v>-6.944444444444442E-2</v>
      </c>
      <c r="H63" s="62">
        <f t="shared" si="85"/>
        <v>0.21890547263681581</v>
      </c>
      <c r="I63" s="62">
        <f t="shared" si="85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6">AVERAGE(F64:J64)</f>
        <v>8.3600000000000008E-2</v>
      </c>
      <c r="L64" s="65">
        <f t="shared" si="86"/>
        <v>9.8320000000000005E-2</v>
      </c>
      <c r="M64" s="65">
        <f t="shared" si="86"/>
        <v>0.13198400000000002</v>
      </c>
      <c r="N64" s="65">
        <f t="shared" si="86"/>
        <v>0.11438080000000002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7">G63-G64</f>
        <v>5.5555555555558689E-4</v>
      </c>
      <c r="H65" s="62">
        <f t="shared" si="87"/>
        <v>-1.094527363184189E-3</v>
      </c>
      <c r="I65" s="62">
        <f t="shared" si="87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88">F69+F73</f>
        <v>2106</v>
      </c>
      <c r="G66" s="59">
        <f t="shared" si="88"/>
        <v>1673</v>
      </c>
      <c r="H66" s="59">
        <f t="shared" si="88"/>
        <v>2571</v>
      </c>
      <c r="I66" s="59">
        <f t="shared" si="88"/>
        <v>3427</v>
      </c>
      <c r="J66" s="48">
        <f>I66*(1+J67)</f>
        <v>4568.0003889537147</v>
      </c>
      <c r="K66" s="48">
        <f t="shared" ref="K66:N66" si="89">J66*(1+K67)</f>
        <v>6088.8904445524622</v>
      </c>
      <c r="L66" s="48">
        <f t="shared" si="89"/>
        <v>8116.152296180976</v>
      </c>
      <c r="M66" s="48">
        <f t="shared" si="89"/>
        <v>10818.379587324856</v>
      </c>
      <c r="N66" s="48">
        <f t="shared" si="89"/>
        <v>14420.298267507695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0">G66/F66-1</f>
        <v>-0.20560303893637222</v>
      </c>
      <c r="H67" s="66">
        <f t="shared" si="90"/>
        <v>0.53676031081888831</v>
      </c>
      <c r="I67" s="66">
        <f t="shared" si="90"/>
        <v>0.33294437961882539</v>
      </c>
      <c r="J67" s="67">
        <f>I67</f>
        <v>0.33294437961882539</v>
      </c>
      <c r="K67" s="67">
        <f t="shared" ref="K67:N67" si="91">J67</f>
        <v>0.33294437961882539</v>
      </c>
      <c r="L67" s="67">
        <f t="shared" si="91"/>
        <v>0.33294437961882539</v>
      </c>
      <c r="M67" s="67">
        <f t="shared" si="91"/>
        <v>0.33294437961882539</v>
      </c>
      <c r="N67" s="67">
        <f t="shared" si="91"/>
        <v>0.33294437961882539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2">F66/F52</f>
        <v>0.21463514064410924</v>
      </c>
      <c r="G68" s="66">
        <f t="shared" si="92"/>
        <v>0.17898791055953783</v>
      </c>
      <c r="H68" s="66">
        <f t="shared" si="92"/>
        <v>0.22442388268156424</v>
      </c>
      <c r="I68" s="66">
        <f t="shared" si="92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3">J69*(1+K70)</f>
        <v>130.08780276816609</v>
      </c>
      <c r="L69" s="48">
        <f t="shared" si="93"/>
        <v>128.17474684510483</v>
      </c>
      <c r="M69" s="48">
        <f t="shared" si="93"/>
        <v>126.28982409738271</v>
      </c>
      <c r="N69" s="48">
        <f t="shared" si="93"/>
        <v>124.43262080183297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4">J70</f>
        <v>-1.4705882352941124E-2</v>
      </c>
      <c r="L70" s="67">
        <f t="shared" si="94"/>
        <v>-1.4705882352941124E-2</v>
      </c>
      <c r="M70" s="67">
        <f t="shared" si="94"/>
        <v>-1.4705882352941124E-2</v>
      </c>
      <c r="N70" s="67">
        <f t="shared" si="94"/>
        <v>-1.4705882352941124E-2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5">F69/F52</f>
        <v>1.1312678353037097E-2</v>
      </c>
      <c r="G71" s="63">
        <f t="shared" si="95"/>
        <v>1.4122178239007167E-2</v>
      </c>
      <c r="H71" s="63">
        <f t="shared" si="95"/>
        <v>1.1871508379888268E-2</v>
      </c>
      <c r="I71" s="63">
        <f t="shared" si="95"/>
        <v>1.0738039907043834E-2</v>
      </c>
      <c r="J71" s="63">
        <f>AVERAGE(E71:I71)</f>
        <v>1.2119160136150175E-2</v>
      </c>
      <c r="K71" s="63">
        <f t="shared" ref="K71:N72" si="96">AVERAGE(F71:J71)</f>
        <v>1.2032713003025308E-2</v>
      </c>
      <c r="L71" s="63">
        <f t="shared" si="96"/>
        <v>1.2176719933022951E-2</v>
      </c>
      <c r="M71" s="63">
        <f t="shared" si="96"/>
        <v>1.1787628271826108E-2</v>
      </c>
      <c r="N71" s="63">
        <f t="shared" si="96"/>
        <v>1.1770852250213676E-2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97">F69/F79</f>
        <v>0.11948331539289558</v>
      </c>
      <c r="G72" s="63">
        <f t="shared" si="97"/>
        <v>0.14915254237288136</v>
      </c>
      <c r="H72" s="63">
        <f t="shared" si="97"/>
        <v>0.1384928716904277</v>
      </c>
      <c r="I72" s="63">
        <f t="shared" si="97"/>
        <v>0.14565217391304347</v>
      </c>
      <c r="J72" s="63">
        <f>AVERAGE(E72:I72)</f>
        <v>0.13788244686937373</v>
      </c>
      <c r="K72" s="63">
        <f t="shared" si="96"/>
        <v>0.13813267004772439</v>
      </c>
      <c r="L72" s="63">
        <f t="shared" si="96"/>
        <v>0.14186254097869014</v>
      </c>
      <c r="M72" s="63">
        <f t="shared" si="96"/>
        <v>0.14040454069985189</v>
      </c>
      <c r="N72" s="63">
        <f t="shared" si="96"/>
        <v>0.14078687450173671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I73*(1+J74)</f>
        <v>4453.3260780287474</v>
      </c>
      <c r="K73" s="59">
        <f t="shared" ref="K73:N73" si="98">J73*(1+K74)</f>
        <v>6022.5062730795335</v>
      </c>
      <c r="L73" s="59">
        <f t="shared" si="98"/>
        <v>8144.6049927108434</v>
      </c>
      <c r="M73" s="59">
        <f t="shared" si="98"/>
        <v>11014.449380286163</v>
      </c>
      <c r="N73" s="59">
        <f t="shared" si="98"/>
        <v>14895.516143442437</v>
      </c>
    </row>
    <row r="74" spans="1:14" x14ac:dyDescent="0.2">
      <c r="A74" s="46" t="s">
        <v>128</v>
      </c>
      <c r="E74" s="62" t="s">
        <v>193</v>
      </c>
      <c r="F74" s="66">
        <f t="shared" ref="F74:I74" si="99">F73/E73-1</f>
        <v>0.25708884688090738</v>
      </c>
      <c r="G74" s="66">
        <f t="shared" si="99"/>
        <v>-0.22756892230576442</v>
      </c>
      <c r="H74" s="66">
        <f t="shared" si="99"/>
        <v>0.58014276443867629</v>
      </c>
      <c r="I74" s="66">
        <f t="shared" si="99"/>
        <v>0.3523613963039014</v>
      </c>
      <c r="J74" s="47">
        <f>I74</f>
        <v>0.3523613963039014</v>
      </c>
      <c r="K74" s="47">
        <f t="shared" ref="K74:N74" si="100">J74</f>
        <v>0.3523613963039014</v>
      </c>
      <c r="L74" s="47">
        <f t="shared" si="100"/>
        <v>0.3523613963039014</v>
      </c>
      <c r="M74" s="47">
        <f t="shared" si="100"/>
        <v>0.3523613963039014</v>
      </c>
      <c r="N74" s="47">
        <f t="shared" si="100"/>
        <v>0.3523613963039014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N75" si="101">F73/F52</f>
        <v>0.20332246229107215</v>
      </c>
      <c r="G75" s="66">
        <f t="shared" si="101"/>
        <v>0.16486573232053064</v>
      </c>
      <c r="H75" s="66">
        <f t="shared" si="101"/>
        <v>0.21255237430167598</v>
      </c>
      <c r="I75" s="66">
        <f t="shared" si="101"/>
        <v>0.26388332398429359</v>
      </c>
      <c r="J75" s="66">
        <f t="shared" si="101"/>
        <v>0.29615404189602829</v>
      </c>
      <c r="K75" s="66">
        <f t="shared" si="101"/>
        <v>0.33237119802452852</v>
      </c>
      <c r="L75" s="66">
        <f t="shared" si="101"/>
        <v>0.37301740867357008</v>
      </c>
      <c r="M75" s="66">
        <f t="shared" si="101"/>
        <v>0.41863431007423424</v>
      </c>
      <c r="N75" s="66">
        <f t="shared" si="101"/>
        <v>0.46982977602714671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5">
        <f>I76*(1+J77)</f>
        <v>253.65359477124184</v>
      </c>
      <c r="K76" s="85">
        <f t="shared" ref="K76:N76" si="102">J76*(1+K77)</f>
        <v>326.59972660088005</v>
      </c>
      <c r="L76" s="85">
        <f t="shared" si="102"/>
        <v>420.52383098283252</v>
      </c>
      <c r="M76" s="85">
        <f t="shared" si="102"/>
        <v>541.45878891253608</v>
      </c>
      <c r="N76" s="85">
        <f t="shared" si="102"/>
        <v>697.17242755404982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3">G76/F76-1</f>
        <v>-0.40343347639484983</v>
      </c>
      <c r="H77" s="66">
        <f t="shared" si="103"/>
        <v>0.10071942446043169</v>
      </c>
      <c r="I77" s="66">
        <f t="shared" si="103"/>
        <v>0.28758169934640532</v>
      </c>
      <c r="J77" s="67">
        <f>I77</f>
        <v>0.28758169934640532</v>
      </c>
      <c r="K77" s="67">
        <f t="shared" ref="K77:N77" si="104">J77</f>
        <v>0.28758169934640532</v>
      </c>
      <c r="L77" s="67">
        <f t="shared" si="104"/>
        <v>0.28758169934640532</v>
      </c>
      <c r="M77" s="67">
        <f t="shared" si="104"/>
        <v>0.28758169934640532</v>
      </c>
      <c r="N77" s="67">
        <f t="shared" si="104"/>
        <v>0.28758169934640532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N78" si="105">F76/F52</f>
        <v>2.3746432939258051E-2</v>
      </c>
      <c r="G78" s="63">
        <f t="shared" si="105"/>
        <v>1.4871081630469669E-2</v>
      </c>
      <c r="H78" s="63">
        <f t="shared" si="105"/>
        <v>1.3355446927374302E-2</v>
      </c>
      <c r="I78" s="63">
        <f t="shared" si="105"/>
        <v>1.5786521355877874E-2</v>
      </c>
      <c r="J78" s="63">
        <f t="shared" si="105"/>
        <v>1.6868411613418715E-2</v>
      </c>
      <c r="K78" s="63">
        <f t="shared" si="105"/>
        <v>1.8024446548116437E-2</v>
      </c>
      <c r="L78" s="63">
        <f t="shared" si="105"/>
        <v>1.9259707482325486E-2</v>
      </c>
      <c r="M78" s="63">
        <f t="shared" si="105"/>
        <v>2.057962397427994E-2</v>
      </c>
      <c r="N78" s="63">
        <f t="shared" si="105"/>
        <v>2.1989997683579579E-2</v>
      </c>
    </row>
    <row r="79" spans="1:14" ht="16" x14ac:dyDescent="0.2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6">J79*(1+K80)</f>
        <v>946.74811374703972</v>
      </c>
      <c r="L79" s="69">
        <f t="shared" si="106"/>
        <v>964.59696819545513</v>
      </c>
      <c r="M79" s="69">
        <f t="shared" si="106"/>
        <v>960.89761552920413</v>
      </c>
      <c r="N79" s="69">
        <f t="shared" si="106"/>
        <v>971.45807661601464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7">G79/F79-1</f>
        <v>-4.7362755651237931E-2</v>
      </c>
      <c r="H80" s="63">
        <f t="shared" si="107"/>
        <v>0.1096045197740112</v>
      </c>
      <c r="I80" s="63">
        <f t="shared" si="107"/>
        <v>-6.313645621181263E-2</v>
      </c>
      <c r="J80" s="47">
        <f>AVERAGE(F80:I80)</f>
        <v>2.3333453008364424E-2</v>
      </c>
      <c r="K80" s="47">
        <f t="shared" ref="K80:N80" si="108">AVERAGE(G80:J80)</f>
        <v>5.6096902298312656E-3</v>
      </c>
      <c r="L80" s="47">
        <f t="shared" si="108"/>
        <v>1.8852801700098565E-2</v>
      </c>
      <c r="M80" s="47">
        <f t="shared" si="108"/>
        <v>-3.8351278183795939E-3</v>
      </c>
      <c r="N80" s="47">
        <f t="shared" si="108"/>
        <v>1.0990204279978665E-2</v>
      </c>
    </row>
    <row r="81" spans="1:15" x14ac:dyDescent="0.2">
      <c r="A81" s="46" t="s">
        <v>132</v>
      </c>
      <c r="E81" s="63">
        <f>E79/E52</f>
        <v>9.1863233066435832E-2</v>
      </c>
      <c r="F81" s="63">
        <f t="shared" ref="F81:I81" si="109">F79/F52</f>
        <v>9.4679983693436609E-2</v>
      </c>
      <c r="G81" s="63">
        <f t="shared" si="109"/>
        <v>9.4682785920616241E-2</v>
      </c>
      <c r="H81" s="63">
        <f t="shared" si="109"/>
        <v>8.5719273743016758E-2</v>
      </c>
      <c r="I81" s="63">
        <f t="shared" si="109"/>
        <v>7.37238560782114E-2</v>
      </c>
      <c r="J81" s="63">
        <f>I81</f>
        <v>7.37238560782114E-2</v>
      </c>
      <c r="K81" s="63">
        <f t="shared" ref="K81:N81" si="110">J81</f>
        <v>7.37238560782114E-2</v>
      </c>
      <c r="L81" s="63">
        <f t="shared" si="110"/>
        <v>7.37238560782114E-2</v>
      </c>
      <c r="M81" s="63">
        <f t="shared" si="110"/>
        <v>7.37238560782114E-2</v>
      </c>
      <c r="N81" s="63">
        <f t="shared" si="110"/>
        <v>7.37238560782114E-2</v>
      </c>
    </row>
    <row r="82" spans="1:15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1">J83*(1+K84)</f>
        <v>8320.567500000001</v>
      </c>
      <c r="L83" s="69">
        <f t="shared" si="111"/>
        <v>8736.5958750000009</v>
      </c>
      <c r="M83" s="69">
        <f t="shared" si="111"/>
        <v>9173.4256687500019</v>
      </c>
      <c r="N83" s="69">
        <f t="shared" si="111"/>
        <v>9632.0969521875031</v>
      </c>
    </row>
    <row r="84" spans="1:15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2">D83/C83-1</f>
        <v>0.11941875825627468</v>
      </c>
      <c r="E84" s="63">
        <f t="shared" si="112"/>
        <v>0.21170639603493036</v>
      </c>
      <c r="F84" s="62">
        <f>F83/E83-1</f>
        <v>0.20919361121932223</v>
      </c>
      <c r="G84" s="62">
        <f t="shared" ref="G84:I84" si="113">G83/F83-1</f>
        <v>7.5869845360824639E-2</v>
      </c>
      <c r="H84" s="62">
        <f t="shared" si="113"/>
        <v>0.24120377301991325</v>
      </c>
      <c r="I84" s="62">
        <f t="shared" si="113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4">J85*(1+K86)</f>
        <v>7131.6983898485332</v>
      </c>
      <c r="L85" s="69">
        <f t="shared" si="114"/>
        <v>8131.5186207727893</v>
      </c>
      <c r="M85" s="69">
        <f t="shared" si="114"/>
        <v>9205.2165364965331</v>
      </c>
      <c r="N85" s="69">
        <f t="shared" si="114"/>
        <v>10306.192584500022</v>
      </c>
    </row>
    <row r="86" spans="1:15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5">D85/C85-1</f>
        <v>0.12350904193920731</v>
      </c>
      <c r="E86" s="63">
        <f t="shared" si="115"/>
        <v>0.19726027397260282</v>
      </c>
      <c r="F86" s="62">
        <f>F85/E85-1</f>
        <v>0.21910755148741412</v>
      </c>
      <c r="G86" s="62">
        <f t="shared" ref="G86:I86" si="116">G85/F85-1</f>
        <v>8.7517597372125833E-2</v>
      </c>
      <c r="H86" s="62">
        <f t="shared" si="116"/>
        <v>0.24012944983818763</v>
      </c>
      <c r="I86" s="62">
        <f t="shared" si="116"/>
        <v>-5.7759220598469052E-2</v>
      </c>
      <c r="J86" s="64">
        <f>AVERAGE(C86:I86)</f>
        <v>0.15699302884965377</v>
      </c>
      <c r="K86" s="64">
        <f t="shared" ref="K86:N86" si="117">AVERAGE(D86:J86)</f>
        <v>0.13810824612296035</v>
      </c>
      <c r="L86" s="64">
        <f t="shared" si="117"/>
        <v>0.14019384672063936</v>
      </c>
      <c r="M86" s="64">
        <f t="shared" si="117"/>
        <v>0.13204149997035888</v>
      </c>
      <c r="N86" s="64">
        <f t="shared" si="117"/>
        <v>0.11960349261077954</v>
      </c>
    </row>
    <row r="87" spans="1:15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8">D86-D87</f>
        <v>3.5090419392073136E-3</v>
      </c>
      <c r="E88" s="63">
        <f t="shared" si="118"/>
        <v>-2.7397260273971935E-3</v>
      </c>
      <c r="F88" s="62">
        <f>F86-F87</f>
        <v>-8.9244851258588054E-4</v>
      </c>
      <c r="G88" s="62">
        <f t="shared" ref="G88:H88" si="119">G86-G87</f>
        <v>-2.482402627874164E-3</v>
      </c>
      <c r="H88" s="62">
        <f t="shared" si="119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0">J89*(1+K90)</f>
        <v>2429.4272139095406</v>
      </c>
      <c r="L89" s="69">
        <f t="shared" si="120"/>
        <v>2713.9618993860108</v>
      </c>
      <c r="M89" s="69">
        <f t="shared" si="120"/>
        <v>2972.7964356601233</v>
      </c>
      <c r="N89" s="69">
        <f t="shared" si="120"/>
        <v>3212.3328079079351</v>
      </c>
    </row>
    <row r="90" spans="1:15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1">G89/F89-1</f>
        <v>4.8672566371681381E-2</v>
      </c>
      <c r="H90" s="62">
        <f t="shared" si="121"/>
        <v>0.2378691983122363</v>
      </c>
      <c r="I90" s="62">
        <f t="shared" si="121"/>
        <v>-0.17426501917341286</v>
      </c>
      <c r="J90" s="64">
        <f>AVERAGE(C90:I90)</f>
        <v>0.12102612830923651</v>
      </c>
      <c r="K90" s="64">
        <f t="shared" ref="K90:N90" si="122">AVERAGE(D90:J90)</f>
        <v>0.11823835513333594</v>
      </c>
      <c r="L90" s="64">
        <f t="shared" si="122"/>
        <v>0.11712007005082671</v>
      </c>
      <c r="M90" s="64">
        <f t="shared" si="122"/>
        <v>9.5371470149477749E-2</v>
      </c>
      <c r="N90" s="64">
        <f t="shared" si="122"/>
        <v>8.057610987905453E-2</v>
      </c>
    </row>
    <row r="91" spans="1:15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3">AVERAGE(C91:J91)</f>
        <v>0.11625000000000001</v>
      </c>
      <c r="L91" s="65">
        <f t="shared" si="123"/>
        <v>0.11328125000000001</v>
      </c>
      <c r="M91" s="65">
        <f t="shared" si="123"/>
        <v>0.11119140625</v>
      </c>
      <c r="N91" s="65">
        <f t="shared" si="123"/>
        <v>9.1340332031249999E-2</v>
      </c>
    </row>
    <row r="92" spans="1:15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4">G90-G91</f>
        <v>-1.3274336283186222E-3</v>
      </c>
      <c r="H92" s="68">
        <f t="shared" si="124"/>
        <v>-2.1308016877636948E-3</v>
      </c>
      <c r="I92" s="68">
        <f t="shared" si="124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5">J93*(1+K94)</f>
        <v>213.52771923600403</v>
      </c>
      <c r="L93" s="69">
        <f t="shared" si="125"/>
        <v>232.29699573473255</v>
      </c>
      <c r="M93" s="69">
        <f t="shared" si="125"/>
        <v>253.79220321109923</v>
      </c>
      <c r="N93" s="69">
        <f t="shared" si="125"/>
        <v>278.18306187940033</v>
      </c>
    </row>
    <row r="94" spans="1:15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6">G93/F93-1</f>
        <v>7.2463768115942129E-2</v>
      </c>
      <c r="H94" s="62">
        <f t="shared" si="126"/>
        <v>0.31756756756756754</v>
      </c>
      <c r="I94" s="62">
        <f t="shared" si="126"/>
        <v>-1.025641025641022E-2</v>
      </c>
      <c r="J94" s="64">
        <f>AVERAGE(C94,D94,E94,F94,G94,I94)</f>
        <v>2.5985520248751708E-2</v>
      </c>
      <c r="K94" s="64">
        <f t="shared" ref="K94:N94" si="127">AVERAGE(D94,E94,F94,G94,H94,J94)</f>
        <v>7.8340013313783333E-2</v>
      </c>
      <c r="L94" s="64">
        <f t="shared" si="127"/>
        <v>8.7900889710640084E-2</v>
      </c>
      <c r="M94" s="64">
        <f t="shared" si="127"/>
        <v>9.2533299487492129E-2</v>
      </c>
      <c r="N94" s="64">
        <f t="shared" si="127"/>
        <v>9.6105626412854431E-2</v>
      </c>
    </row>
    <row r="95" spans="1:15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8">AVERAGE(C95:J95)</f>
        <v>5.9062499999999997E-2</v>
      </c>
      <c r="L95" s="65">
        <f t="shared" si="128"/>
        <v>6.1445312500000002E-2</v>
      </c>
      <c r="M95" s="65">
        <f t="shared" si="128"/>
        <v>7.1625976562499999E-2</v>
      </c>
      <c r="N95" s="65">
        <f t="shared" si="128"/>
        <v>7.9329223632812501E-2</v>
      </c>
    </row>
    <row r="96" spans="1:15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29">D94-D95</f>
        <v>4.732824427480891E-3</v>
      </c>
      <c r="E96" s="63">
        <f t="shared" si="129"/>
        <v>-2.2480620155038624E-3</v>
      </c>
      <c r="F96" s="62">
        <f>F94-F95</f>
        <v>1.5384615384615441E-3</v>
      </c>
      <c r="G96" s="62">
        <f t="shared" ref="G96:I96" si="130">G94-G95</f>
        <v>2.4637681159421221E-3</v>
      </c>
      <c r="H96" s="62">
        <f t="shared" si="130"/>
        <v>-2.4324324324324631E-3</v>
      </c>
      <c r="I96" s="62">
        <f t="shared" si="130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1">C100+C104</f>
        <v>1420</v>
      </c>
      <c r="D97" s="59">
        <f t="shared" si="131"/>
        <v>1561</v>
      </c>
      <c r="E97" s="59">
        <f t="shared" si="131"/>
        <v>1863</v>
      </c>
      <c r="F97" s="59">
        <f t="shared" si="131"/>
        <v>2426</v>
      </c>
      <c r="G97" s="59">
        <f t="shared" si="131"/>
        <v>2534</v>
      </c>
      <c r="H97" s="59">
        <f t="shared" si="131"/>
        <v>3289</v>
      </c>
      <c r="I97" s="59">
        <f t="shared" si="131"/>
        <v>2406</v>
      </c>
      <c r="J97" s="48">
        <f>I97*(1+J98)</f>
        <v>1760.0595925813316</v>
      </c>
      <c r="K97" s="48">
        <f t="shared" ref="K97:N97" si="132">J97*(1+K98)</f>
        <v>1287.5352325176905</v>
      </c>
      <c r="L97" s="48">
        <f t="shared" si="132"/>
        <v>941.8697991600983</v>
      </c>
      <c r="M97" s="48">
        <f t="shared" si="132"/>
        <v>689.00539275743279</v>
      </c>
      <c r="N97" s="48">
        <f t="shared" si="132"/>
        <v>504.02766037530654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3">D97/C97-1</f>
        <v>9.9295774647887303E-2</v>
      </c>
      <c r="E98" s="63">
        <f t="shared" si="133"/>
        <v>0.19346572709801402</v>
      </c>
      <c r="F98" s="63">
        <f t="shared" si="133"/>
        <v>0.3022007514761138</v>
      </c>
      <c r="G98" s="63">
        <f t="shared" si="133"/>
        <v>4.4517724649629109E-2</v>
      </c>
      <c r="H98" s="63">
        <f t="shared" si="133"/>
        <v>0.29794790844514596</v>
      </c>
      <c r="I98" s="63">
        <f t="shared" si="133"/>
        <v>-0.26847065977500761</v>
      </c>
      <c r="J98" s="67">
        <f>I98</f>
        <v>-0.26847065977500761</v>
      </c>
      <c r="K98" s="67">
        <f t="shared" ref="K98:N98" si="134">J98</f>
        <v>-0.26847065977500761</v>
      </c>
      <c r="L98" s="67">
        <f t="shared" si="134"/>
        <v>-0.26847065977500761</v>
      </c>
      <c r="M98" s="67">
        <f t="shared" si="134"/>
        <v>-0.26847065977500761</v>
      </c>
      <c r="N98" s="67">
        <f t="shared" si="134"/>
        <v>-0.26847065977500761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5">C97/C83</f>
        <v>0.37516512549537651</v>
      </c>
      <c r="D99" s="63">
        <f t="shared" si="135"/>
        <v>0.36842105263157893</v>
      </c>
      <c r="E99" s="63">
        <f t="shared" si="135"/>
        <v>0.36287495130502534</v>
      </c>
      <c r="F99" s="63">
        <f t="shared" si="135"/>
        <v>0.3907860824742268</v>
      </c>
      <c r="G99" s="63">
        <f t="shared" si="135"/>
        <v>0.37939811349004343</v>
      </c>
      <c r="H99" s="63">
        <f t="shared" si="135"/>
        <v>0.39674306393244874</v>
      </c>
      <c r="I99" s="63">
        <f t="shared" si="135"/>
        <v>0.31880217304889358</v>
      </c>
      <c r="J99" s="66">
        <f>AVERAGE(B99:I99)</f>
        <v>0.36636976095582324</v>
      </c>
      <c r="K99" s="66">
        <f t="shared" ref="K99:N99" si="136">AVERAGE(C99:J99)</f>
        <v>0.3698200404166771</v>
      </c>
      <c r="L99" s="66">
        <f t="shared" si="136"/>
        <v>0.36915190478183968</v>
      </c>
      <c r="M99" s="66">
        <f t="shared" si="136"/>
        <v>0.36924326130062224</v>
      </c>
      <c r="N99" s="66">
        <f t="shared" si="136"/>
        <v>0.37003930005007191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7">J100*(1+K101)</f>
        <v>39.690128462970179</v>
      </c>
      <c r="L100" s="48">
        <f t="shared" si="137"/>
        <v>38.071121000501257</v>
      </c>
      <c r="M100" s="48">
        <f t="shared" si="137"/>
        <v>36.094867953974763</v>
      </c>
      <c r="N100" s="48">
        <f t="shared" si="137"/>
        <v>34.506007017977296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8">D100/C100-1</f>
        <v>0.125</v>
      </c>
      <c r="E101" s="63">
        <f t="shared" si="138"/>
        <v>3.7037037037036979E-2</v>
      </c>
      <c r="F101" s="63">
        <f t="shared" si="138"/>
        <v>-0.1071428571428571</v>
      </c>
      <c r="G101" s="63">
        <f t="shared" si="138"/>
        <v>-0.12</v>
      </c>
      <c r="H101" s="63">
        <f t="shared" si="138"/>
        <v>4.5454545454545414E-2</v>
      </c>
      <c r="I101" s="63">
        <f t="shared" si="138"/>
        <v>-0.10869565217391308</v>
      </c>
      <c r="J101" s="67">
        <f>AVERAGE(C101:I101)</f>
        <v>-1.2124095136517512E-2</v>
      </c>
      <c r="K101" s="67">
        <f t="shared" ref="K101:N101" si="139">AVERAGE(D101:J101)</f>
        <v>-2.0067288851672187E-2</v>
      </c>
      <c r="L101" s="67">
        <f t="shared" si="139"/>
        <v>-4.0791187259053931E-2</v>
      </c>
      <c r="M101" s="67">
        <f t="shared" si="139"/>
        <v>-5.1909505015638346E-2</v>
      </c>
      <c r="N101" s="67">
        <f t="shared" si="139"/>
        <v>-4.4019026140321382E-2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0">C100/C83</f>
        <v>1.2681638044914135E-2</v>
      </c>
      <c r="D102" s="63">
        <f t="shared" si="140"/>
        <v>1.2744866650932263E-2</v>
      </c>
      <c r="E102" s="63">
        <f t="shared" si="140"/>
        <v>1.090767432800935E-2</v>
      </c>
      <c r="F102" s="63">
        <f t="shared" si="140"/>
        <v>8.0541237113402053E-3</v>
      </c>
      <c r="G102" s="63">
        <f t="shared" si="140"/>
        <v>6.5878125467884411E-3</v>
      </c>
      <c r="H102" s="63">
        <f t="shared" si="140"/>
        <v>5.5488540410132689E-3</v>
      </c>
      <c r="I102" s="63">
        <f t="shared" si="140"/>
        <v>5.4326222340002651E-3</v>
      </c>
      <c r="J102" s="63">
        <f>AVERAGE(B102:I102)</f>
        <v>9.6194951624271538E-3</v>
      </c>
      <c r="K102" s="63">
        <f t="shared" ref="K102:N103" si="141">AVERAGE(C102:J102)</f>
        <v>8.9471358399281359E-3</v>
      </c>
      <c r="L102" s="63">
        <f t="shared" si="141"/>
        <v>8.4803230643048857E-3</v>
      </c>
      <c r="M102" s="63">
        <f t="shared" si="141"/>
        <v>7.9472551159764631E-3</v>
      </c>
      <c r="N102" s="63">
        <f t="shared" si="141"/>
        <v>7.5772027144723527E-3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2">C100/C110</f>
        <v>0.20512820512820512</v>
      </c>
      <c r="D103" s="63">
        <f t="shared" si="142"/>
        <v>0.24</v>
      </c>
      <c r="E103" s="63">
        <f t="shared" si="142"/>
        <v>0.21875</v>
      </c>
      <c r="F103" s="63">
        <f t="shared" si="142"/>
        <v>0.2109704641350211</v>
      </c>
      <c r="G103" s="63">
        <f t="shared" si="142"/>
        <v>0.20560747663551401</v>
      </c>
      <c r="H103" s="63">
        <f t="shared" si="142"/>
        <v>0.15972222222222221</v>
      </c>
      <c r="I103" s="63">
        <f t="shared" si="142"/>
        <v>0.13531353135313531</v>
      </c>
      <c r="J103" s="63">
        <f>AVERAGE(B103:I103)</f>
        <v>0.19457428270985277</v>
      </c>
      <c r="K103" s="63">
        <f t="shared" si="141"/>
        <v>0.19625827277299379</v>
      </c>
      <c r="L103" s="63">
        <f t="shared" si="141"/>
        <v>0.19514953122859241</v>
      </c>
      <c r="M103" s="63">
        <f t="shared" si="141"/>
        <v>0.18954322263216644</v>
      </c>
      <c r="N103" s="63">
        <f t="shared" si="141"/>
        <v>0.18589237546118725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I104*(1+J105)</f>
        <v>2524.6374999999998</v>
      </c>
      <c r="K104" s="59">
        <f t="shared" ref="K104:N104" si="143">J104*(1+K105)</f>
        <v>2695.0505312499995</v>
      </c>
      <c r="L104" s="59">
        <f t="shared" si="143"/>
        <v>2876.9664421093744</v>
      </c>
      <c r="M104" s="59">
        <f t="shared" si="143"/>
        <v>3071.1616769517568</v>
      </c>
      <c r="N104" s="59">
        <f t="shared" si="143"/>
        <v>3278.465090146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4">D104/C104-1</f>
        <v>9.8396501457725938E-2</v>
      </c>
      <c r="E105" s="63">
        <f t="shared" si="144"/>
        <v>0.19907100199071004</v>
      </c>
      <c r="F105" s="63">
        <f t="shared" si="144"/>
        <v>0.31488655229662421</v>
      </c>
      <c r="G105" s="63">
        <f t="shared" si="144"/>
        <v>4.7979797979798011E-2</v>
      </c>
      <c r="H105" s="63">
        <f t="shared" si="144"/>
        <v>0.30240963855421676</v>
      </c>
      <c r="I105" s="63">
        <f t="shared" si="144"/>
        <v>-0.27073697193956214</v>
      </c>
      <c r="J105" s="47">
        <v>6.7500000000000004E-2</v>
      </c>
      <c r="K105" s="47">
        <v>6.7500000000000004E-2</v>
      </c>
      <c r="L105" s="47">
        <v>6.7500000000000004E-2</v>
      </c>
      <c r="M105" s="47">
        <v>6.7500000000000004E-2</v>
      </c>
      <c r="N105" s="47">
        <v>6.7500000000000004E-2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5">C104/C83</f>
        <v>0.36248348745046233</v>
      </c>
      <c r="D106" s="63">
        <f t="shared" si="145"/>
        <v>0.35567618598064671</v>
      </c>
      <c r="E106" s="63">
        <f t="shared" si="145"/>
        <v>0.35196727697701596</v>
      </c>
      <c r="F106" s="63">
        <f t="shared" si="145"/>
        <v>0.38273195876288657</v>
      </c>
      <c r="G106" s="63">
        <f t="shared" si="145"/>
        <v>0.37281030094325496</v>
      </c>
      <c r="H106" s="63">
        <f t="shared" si="145"/>
        <v>0.39119420989143544</v>
      </c>
      <c r="I106" s="63">
        <f t="shared" si="145"/>
        <v>0.31336955081489332</v>
      </c>
      <c r="J106" s="63">
        <f>I106</f>
        <v>0.31336955081489332</v>
      </c>
      <c r="K106" s="63">
        <f t="shared" ref="K106:N106" si="146">J106</f>
        <v>0.31336955081489332</v>
      </c>
      <c r="L106" s="63">
        <f t="shared" si="146"/>
        <v>0.31336955081489332</v>
      </c>
      <c r="M106" s="63">
        <f t="shared" si="146"/>
        <v>0.31336955081489332</v>
      </c>
      <c r="N106" s="63">
        <f t="shared" si="146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7">J107*(1+K108)</f>
        <v>53.706654594839293</v>
      </c>
      <c r="L107" s="69">
        <f t="shared" si="147"/>
        <v>44.565096365930479</v>
      </c>
      <c r="M107" s="69">
        <f t="shared" si="147"/>
        <v>36.979548048325292</v>
      </c>
      <c r="N107" s="69">
        <f t="shared" si="147"/>
        <v>30.68515689116354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48">G107/F107-1</f>
        <v>-0.4285714285714286</v>
      </c>
      <c r="H108" s="63">
        <f t="shared" si="148"/>
        <v>2.3571428571428572</v>
      </c>
      <c r="I108" s="63">
        <f t="shared" si="148"/>
        <v>-0.17021276595744683</v>
      </c>
      <c r="J108" s="67">
        <f>I108</f>
        <v>-0.17021276595744683</v>
      </c>
      <c r="K108" s="67">
        <f t="shared" ref="K108:N108" si="149">J108</f>
        <v>-0.17021276595744683</v>
      </c>
      <c r="L108" s="67">
        <f t="shared" si="149"/>
        <v>-0.17021276595744683</v>
      </c>
      <c r="M108" s="67">
        <f t="shared" si="149"/>
        <v>-0.17021276595744683</v>
      </c>
      <c r="N108" s="67">
        <f t="shared" si="149"/>
        <v>-0.17021276595744683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0">F107/F83</f>
        <v>7.8930412371134018E-3</v>
      </c>
      <c r="G109" s="63">
        <f t="shared" si="150"/>
        <v>4.1922443479562805E-3</v>
      </c>
      <c r="H109" s="63">
        <f t="shared" si="150"/>
        <v>1.1338962605548853E-2</v>
      </c>
      <c r="I109" s="63">
        <f>I107/I83</f>
        <v>1.0335232542732211E-2</v>
      </c>
      <c r="J109" s="63">
        <f t="shared" ref="J109:N109" si="151">J107/J83</f>
        <v>8.1676609760193766E-3</v>
      </c>
      <c r="K109" s="63">
        <f t="shared" si="151"/>
        <v>6.4546864856080176E-3</v>
      </c>
      <c r="L109" s="63">
        <f t="shared" si="151"/>
        <v>5.1009680433376434E-3</v>
      </c>
      <c r="M109" s="63">
        <f t="shared" si="151"/>
        <v>4.0311601558291402E-3</v>
      </c>
      <c r="N109" s="63">
        <f t="shared" si="151"/>
        <v>3.1857192720838186E-3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2">J110*(1+K111)</f>
        <v>335.38444010416663</v>
      </c>
      <c r="L110" s="69">
        <f t="shared" si="152"/>
        <v>352.8523796929253</v>
      </c>
      <c r="M110" s="69">
        <f t="shared" si="152"/>
        <v>371.23010780193181</v>
      </c>
      <c r="N110" s="69">
        <f t="shared" si="152"/>
        <v>390.56500924994907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3">D110/C110-1</f>
        <v>-3.8461538461538436E-2</v>
      </c>
      <c r="E111" s="63">
        <f t="shared" si="153"/>
        <v>0.13777777777777778</v>
      </c>
      <c r="F111" s="63">
        <f t="shared" si="153"/>
        <v>-7.421875E-2</v>
      </c>
      <c r="G111" s="63">
        <f t="shared" si="153"/>
        <v>-9.7046413502109741E-2</v>
      </c>
      <c r="H111" s="63">
        <f t="shared" si="153"/>
        <v>0.34579439252336441</v>
      </c>
      <c r="I111" s="63">
        <f t="shared" si="153"/>
        <v>5.2083333333333259E-2</v>
      </c>
      <c r="J111" s="47">
        <f>I111</f>
        <v>5.2083333333333259E-2</v>
      </c>
      <c r="K111" s="47">
        <f t="shared" ref="K111:N111" si="154">J111</f>
        <v>5.2083333333333259E-2</v>
      </c>
      <c r="L111" s="47">
        <f t="shared" si="154"/>
        <v>5.2083333333333259E-2</v>
      </c>
      <c r="M111" s="47">
        <f t="shared" si="154"/>
        <v>5.2083333333333259E-2</v>
      </c>
      <c r="N111" s="47">
        <f t="shared" si="154"/>
        <v>5.2083333333333259E-2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N112" si="155">C110/C83</f>
        <v>6.1822985468956405E-2</v>
      </c>
      <c r="D112" s="63">
        <f t="shared" si="155"/>
        <v>5.31036110455511E-2</v>
      </c>
      <c r="E112" s="63">
        <f t="shared" si="155"/>
        <v>4.9863654070899883E-2</v>
      </c>
      <c r="F112" s="63">
        <f t="shared" si="155"/>
        <v>3.817654639175258E-2</v>
      </c>
      <c r="G112" s="63">
        <f t="shared" si="155"/>
        <v>3.2040724659380147E-2</v>
      </c>
      <c r="H112" s="63">
        <f t="shared" si="155"/>
        <v>3.4740651387213509E-2</v>
      </c>
      <c r="I112" s="63">
        <f t="shared" si="155"/>
        <v>4.0148403339075128E-2</v>
      </c>
      <c r="J112" s="63">
        <f t="shared" si="155"/>
        <v>4.0228062869509799E-2</v>
      </c>
      <c r="K112" s="63">
        <f t="shared" si="155"/>
        <v>4.0307880454568346E-2</v>
      </c>
      <c r="L112" s="63">
        <f t="shared" si="155"/>
        <v>4.0387856407851218E-2</v>
      </c>
      <c r="M112" s="63">
        <f t="shared" si="155"/>
        <v>4.0467991043581078E-2</v>
      </c>
      <c r="N112" s="63">
        <f t="shared" si="155"/>
        <v>4.0548284676604048E-2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6">J114*(1+K115)</f>
        <v>7472.9978621256641</v>
      </c>
      <c r="L114" s="69">
        <f t="shared" si="156"/>
        <v>8037.088054639471</v>
      </c>
      <c r="M114" s="69">
        <f t="shared" si="156"/>
        <v>8834.2347043412465</v>
      </c>
      <c r="N114" s="69">
        <f t="shared" si="156"/>
        <v>9774.99576777334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7">G114/F114-1</f>
        <v>-4.3014845831747195E-2</v>
      </c>
      <c r="H115" s="63">
        <f t="shared" si="157"/>
        <v>6.2649164677804237E-2</v>
      </c>
      <c r="I115" s="63">
        <f t="shared" si="157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58">AVERAGE(G115:K115)</f>
        <v>7.5483788824924652E-2</v>
      </c>
      <c r="M115" s="62">
        <f t="shared" si="158"/>
        <v>9.9183515756259027E-2</v>
      </c>
      <c r="N115" s="62">
        <f t="shared" si="158"/>
        <v>0.10649038597195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59">J116*(1+K117)</f>
        <v>5189.4055428773854</v>
      </c>
      <c r="L116" s="69">
        <f t="shared" si="159"/>
        <v>5830.4580996908799</v>
      </c>
      <c r="M116" s="69">
        <f t="shared" si="159"/>
        <v>6550.7005323392195</v>
      </c>
      <c r="N116" s="69">
        <f t="shared" si="159"/>
        <v>7359.9152469107757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0">G116/F116-1</f>
        <v>-4.7763666482606326E-2</v>
      </c>
      <c r="H117" s="63">
        <f t="shared" si="160"/>
        <v>6.0887213685126174E-2</v>
      </c>
      <c r="I117" s="63">
        <f t="shared" si="160"/>
        <v>0.12353101940420874</v>
      </c>
      <c r="J117" s="63">
        <f>I117</f>
        <v>0.12353101940420874</v>
      </c>
      <c r="K117" s="63">
        <f t="shared" ref="K117:N117" si="161">J117</f>
        <v>0.12353101940420874</v>
      </c>
      <c r="L117" s="63">
        <f t="shared" si="161"/>
        <v>0.12353101940420874</v>
      </c>
      <c r="M117" s="63">
        <f t="shared" si="161"/>
        <v>0.12353101940420874</v>
      </c>
      <c r="N117" s="63">
        <f t="shared" si="161"/>
        <v>0.12353101940420874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2">G117-G118</f>
        <v>2.2363335173936766E-3</v>
      </c>
      <c r="H119" s="63">
        <f t="shared" si="162"/>
        <v>8.8721368512617582E-4</v>
      </c>
      <c r="I119" s="63">
        <f t="shared" si="162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3">J120*(1+K121)</f>
        <v>1869.7193952068876</v>
      </c>
      <c r="L120" s="69">
        <f t="shared" si="163"/>
        <v>2014.8917177262981</v>
      </c>
      <c r="M120" s="69">
        <f t="shared" si="163"/>
        <v>2171.3357868402545</v>
      </c>
      <c r="N120" s="69">
        <f t="shared" si="163"/>
        <v>2339.9267850152678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4">G120/F120-1</f>
        <v>-2.1505376344086002E-2</v>
      </c>
      <c r="H121" s="63">
        <f t="shared" si="164"/>
        <v>9.4505494505494614E-2</v>
      </c>
      <c r="I121" s="63">
        <f t="shared" si="164"/>
        <v>7.7643908969210251E-2</v>
      </c>
      <c r="J121" s="64">
        <f>I121</f>
        <v>7.7643908969210251E-2</v>
      </c>
      <c r="K121" s="64">
        <f t="shared" ref="K121:N121" si="165">J121</f>
        <v>7.7643908969210251E-2</v>
      </c>
      <c r="L121" s="64">
        <f t="shared" si="165"/>
        <v>7.7643908969210251E-2</v>
      </c>
      <c r="M121" s="64">
        <f t="shared" si="165"/>
        <v>7.7643908969210251E-2</v>
      </c>
      <c r="N121" s="64">
        <f t="shared" si="165"/>
        <v>7.7643908969210251E-2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6">AVERAGE(F122:J122)</f>
        <v>6.08E-2</v>
      </c>
      <c r="L122" s="65">
        <f t="shared" si="166"/>
        <v>6.4960000000000004E-2</v>
      </c>
      <c r="M122" s="65">
        <f t="shared" si="166"/>
        <v>8.1951999999999997E-2</v>
      </c>
      <c r="N122" s="65">
        <f t="shared" si="166"/>
        <v>8.0342400000000008E-2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7">G121-G122</f>
        <v>-1.505376344086002E-3</v>
      </c>
      <c r="H123" s="63">
        <f t="shared" si="167"/>
        <v>4.5054945054946172E-3</v>
      </c>
      <c r="I123" s="63">
        <f t="shared" si="167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68">J124*(1+K125)</f>
        <v>354.9280886426593</v>
      </c>
      <c r="L124" s="69">
        <f t="shared" si="168"/>
        <v>437.12196180201198</v>
      </c>
      <c r="M124" s="69">
        <f t="shared" si="168"/>
        <v>538.35020558774113</v>
      </c>
      <c r="N124" s="69">
        <f t="shared" si="168"/>
        <v>663.0207795133233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69">G124/F124-1</f>
        <v>-9.7046413502109741E-2</v>
      </c>
      <c r="H125" s="63">
        <f t="shared" si="169"/>
        <v>-0.11214953271028039</v>
      </c>
      <c r="I125" s="63">
        <f t="shared" si="169"/>
        <v>0.23157894736842111</v>
      </c>
      <c r="J125" s="64">
        <f>I125</f>
        <v>0.23157894736842111</v>
      </c>
      <c r="K125" s="64">
        <f t="shared" ref="K125:N125" si="170">J125</f>
        <v>0.23157894736842111</v>
      </c>
      <c r="L125" s="64">
        <f t="shared" si="170"/>
        <v>0.23157894736842111</v>
      </c>
      <c r="M125" s="64">
        <f t="shared" si="170"/>
        <v>0.23157894736842111</v>
      </c>
      <c r="N125" s="64">
        <f t="shared" si="170"/>
        <v>0.23157894736842111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1">J126*(1+K127)</f>
        <v>0.28000000000000003</v>
      </c>
      <c r="L126" s="65">
        <f t="shared" si="171"/>
        <v>0.28000000000000003</v>
      </c>
      <c r="M126" s="65">
        <f t="shared" si="171"/>
        <v>0.28000000000000003</v>
      </c>
      <c r="N126" s="65">
        <f t="shared" si="171"/>
        <v>0.28000000000000003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2">G125-G126</f>
        <v>2.9535864978902648E-3</v>
      </c>
      <c r="H127" s="63">
        <f t="shared" si="172"/>
        <v>-2.1495327102803857E-3</v>
      </c>
      <c r="I127" s="63">
        <f t="shared" si="172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3">F131+F135</f>
        <v>1376</v>
      </c>
      <c r="G128">
        <f t="shared" si="173"/>
        <v>1230</v>
      </c>
      <c r="H128">
        <f t="shared" si="173"/>
        <v>1573</v>
      </c>
      <c r="I128">
        <f t="shared" si="173"/>
        <v>1938</v>
      </c>
      <c r="J128" s="48">
        <f>I128*(1+J129)</f>
        <v>2387.6948506039416</v>
      </c>
      <c r="K128" s="48">
        <f t="shared" ref="K128:N128" si="174">J128*(1+K129)</f>
        <v>2941.7372030962738</v>
      </c>
      <c r="L128" s="48">
        <f t="shared" si="174"/>
        <v>3624.3399234587273</v>
      </c>
      <c r="M128" s="48">
        <f t="shared" si="174"/>
        <v>4465.334247719652</v>
      </c>
      <c r="N128" s="48">
        <f t="shared" si="174"/>
        <v>5501.4734723971296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5">H128/G128-1</f>
        <v>0.27886178861788613</v>
      </c>
      <c r="I129" s="63">
        <f t="shared" si="175"/>
        <v>0.23204068658614108</v>
      </c>
      <c r="J129" s="67">
        <f>I129</f>
        <v>0.23204068658614108</v>
      </c>
      <c r="K129" s="67">
        <f t="shared" ref="K129:N130" si="176">J129</f>
        <v>0.23204068658614108</v>
      </c>
      <c r="L129" s="67">
        <f t="shared" si="176"/>
        <v>0.23204068658614108</v>
      </c>
      <c r="M129" s="67">
        <f t="shared" si="176"/>
        <v>0.23204068658614108</v>
      </c>
      <c r="N129" s="67">
        <f t="shared" si="176"/>
        <v>0.23204068658614108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7">F128/F114</f>
        <v>0.26189569851541683</v>
      </c>
      <c r="G130" s="63">
        <f t="shared" si="177"/>
        <v>0.24463007159904535</v>
      </c>
      <c r="H130" s="63">
        <f t="shared" si="177"/>
        <v>0.2944038929440389</v>
      </c>
      <c r="I130" s="63">
        <f t="shared" si="177"/>
        <v>0.32544080604534004</v>
      </c>
      <c r="J130" s="66">
        <f>I130</f>
        <v>0.32544080604534004</v>
      </c>
      <c r="K130" s="66">
        <f t="shared" si="176"/>
        <v>0.32544080604534004</v>
      </c>
      <c r="L130" s="66">
        <f t="shared" si="176"/>
        <v>0.32544080604534004</v>
      </c>
      <c r="M130" s="66">
        <f t="shared" si="176"/>
        <v>0.32544080604534004</v>
      </c>
      <c r="N130" s="66">
        <f t="shared" si="176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78">J131*(1+K132)</f>
        <v>42</v>
      </c>
      <c r="L131" s="48">
        <f t="shared" si="178"/>
        <v>42</v>
      </c>
      <c r="M131" s="48">
        <f t="shared" si="178"/>
        <v>42</v>
      </c>
      <c r="N131" s="48">
        <f t="shared" si="178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79">H131/G131-1</f>
        <v>-6.5217391304347783E-2</v>
      </c>
      <c r="I132" s="63">
        <f t="shared" si="179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N133" si="180">F131/F114</f>
        <v>1.0087552341073468E-2</v>
      </c>
      <c r="G133" s="63">
        <f t="shared" si="180"/>
        <v>9.148766905330152E-3</v>
      </c>
      <c r="H133" s="63">
        <f t="shared" si="180"/>
        <v>8.0479131574022079E-3</v>
      </c>
      <c r="I133" s="63">
        <f t="shared" si="180"/>
        <v>7.0528967254408059E-3</v>
      </c>
      <c r="J133" s="63">
        <f t="shared" si="180"/>
        <v>5.9897212105654409E-3</v>
      </c>
      <c r="K133" s="63">
        <f t="shared" si="180"/>
        <v>5.6202344460531224E-3</v>
      </c>
      <c r="L133" s="63">
        <f t="shared" si="180"/>
        <v>5.2257732793850849E-3</v>
      </c>
      <c r="M133" s="63">
        <f t="shared" si="180"/>
        <v>4.7542318498013988E-3</v>
      </c>
      <c r="N133" s="63">
        <f t="shared" si="180"/>
        <v>4.2966770521239046E-3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N134" si="181">F131/F141</f>
        <v>0.16257668711656442</v>
      </c>
      <c r="G134" s="63">
        <f t="shared" si="181"/>
        <v>0.1554054054054054</v>
      </c>
      <c r="H134" s="63">
        <f t="shared" si="181"/>
        <v>0.14144736842105263</v>
      </c>
      <c r="I134" s="63">
        <f t="shared" si="181"/>
        <v>0.15328467153284672</v>
      </c>
      <c r="J134" s="63">
        <f t="shared" si="181"/>
        <v>0.16143851973761458</v>
      </c>
      <c r="K134" s="63">
        <f t="shared" si="181"/>
        <v>0.17057219939885229</v>
      </c>
      <c r="L134" s="63">
        <f t="shared" si="181"/>
        <v>0.17840936270400537</v>
      </c>
      <c r="M134" s="63">
        <f t="shared" si="181"/>
        <v>0.19013432568104177</v>
      </c>
      <c r="N134" s="63">
        <f t="shared" si="181"/>
        <v>0.20065091475647462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I135*(1+J136)</f>
        <v>2114.04</v>
      </c>
      <c r="K135" s="59">
        <f t="shared" ref="K135:N135" si="182">J135*(1+K136)</f>
        <v>2357.1545999999998</v>
      </c>
      <c r="L135" s="59">
        <f t="shared" si="182"/>
        <v>2628.2273789999999</v>
      </c>
      <c r="M135" s="59">
        <f t="shared" si="182"/>
        <v>2930.4735275849998</v>
      </c>
      <c r="N135" s="59">
        <f t="shared" si="182"/>
        <v>3267.4779832572749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N136" si="183">H135/G135-1</f>
        <v>0.29222972972972983</v>
      </c>
      <c r="I136" s="63">
        <f t="shared" si="183"/>
        <v>0.23921568627450984</v>
      </c>
      <c r="J136" s="63">
        <v>0.115</v>
      </c>
      <c r="K136" s="63">
        <v>0.115</v>
      </c>
      <c r="L136" s="63">
        <v>0.115</v>
      </c>
      <c r="M136" s="63">
        <v>0.115</v>
      </c>
      <c r="N136" s="63">
        <v>0.115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N137" si="184">F135/F114</f>
        <v>0.25180814617434338</v>
      </c>
      <c r="G137" s="63">
        <f t="shared" si="184"/>
        <v>0.2354813046937152</v>
      </c>
      <c r="H137" s="63">
        <f t="shared" si="184"/>
        <v>0.28635597978663674</v>
      </c>
      <c r="I137" s="63">
        <f t="shared" si="184"/>
        <v>0.31838790931989924</v>
      </c>
      <c r="J137" s="63">
        <f t="shared" si="184"/>
        <v>0.3014883387615182</v>
      </c>
      <c r="K137" s="63">
        <f t="shared" si="184"/>
        <v>0.31542289232363258</v>
      </c>
      <c r="L137" s="63">
        <f t="shared" si="184"/>
        <v>0.32701239069824989</v>
      </c>
      <c r="M137" s="63">
        <f t="shared" si="184"/>
        <v>0.33171787094867772</v>
      </c>
      <c r="N137" s="63">
        <f t="shared" si="184"/>
        <v>0.33426899211861022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5">J138*(1+K139)</f>
        <v>60.224965706447179</v>
      </c>
      <c r="L138" s="69">
        <f t="shared" si="185"/>
        <v>62.455519991871142</v>
      </c>
      <c r="M138" s="69">
        <f t="shared" si="185"/>
        <v>64.768687398977477</v>
      </c>
      <c r="N138" s="69">
        <f t="shared" si="185"/>
        <v>67.16752767301368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6">H138/G138-1</f>
        <v>0.31707317073170738</v>
      </c>
      <c r="I139" s="63">
        <f t="shared" si="186"/>
        <v>3.7037037037036979E-2</v>
      </c>
      <c r="J139" s="67">
        <f>I139</f>
        <v>3.7037037037036979E-2</v>
      </c>
      <c r="K139" s="67">
        <f t="shared" ref="K139:N139" si="187">J139</f>
        <v>3.7037037037036979E-2</v>
      </c>
      <c r="L139" s="67">
        <f t="shared" si="187"/>
        <v>3.7037037037036979E-2</v>
      </c>
      <c r="M139" s="67">
        <f t="shared" si="187"/>
        <v>3.7037037037036979E-2</v>
      </c>
      <c r="N139" s="67">
        <f t="shared" si="187"/>
        <v>3.7037037037036979E-2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N140" si="188">F138/F114</f>
        <v>8.9455652835934533E-3</v>
      </c>
      <c r="G140" s="63">
        <f t="shared" si="188"/>
        <v>8.1543357199681775E-3</v>
      </c>
      <c r="H140" s="63">
        <f t="shared" si="188"/>
        <v>1.0106681639528355E-2</v>
      </c>
      <c r="I140" s="63">
        <f t="shared" si="188"/>
        <v>9.4038623005877411E-3</v>
      </c>
      <c r="J140" s="63">
        <f t="shared" si="188"/>
        <v>8.2820836491769041E-3</v>
      </c>
      <c r="K140" s="63">
        <f t="shared" si="188"/>
        <v>8.0590101613272017E-3</v>
      </c>
      <c r="L140" s="63">
        <f t="shared" si="188"/>
        <v>7.770913988657647E-3</v>
      </c>
      <c r="M140" s="63">
        <f t="shared" si="188"/>
        <v>7.3315561071916491E-3</v>
      </c>
      <c r="N140" s="63">
        <f t="shared" si="188"/>
        <v>6.8713613047746477E-3</v>
      </c>
    </row>
    <row r="141" spans="1:14" x14ac:dyDescent="0.2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89">J141*(1+K142)</f>
        <v>246.23004304347734</v>
      </c>
      <c r="L141" s="69">
        <f t="shared" si="189"/>
        <v>235.4136541011089</v>
      </c>
      <c r="M141" s="69">
        <f t="shared" si="189"/>
        <v>220.89646280102386</v>
      </c>
      <c r="N141" s="69">
        <f t="shared" si="189"/>
        <v>209.31875666240759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0">G141/F141-1</f>
        <v>-9.2024539877300637E-2</v>
      </c>
      <c r="H142" s="63">
        <f t="shared" si="190"/>
        <v>2.7027027027026973E-2</v>
      </c>
      <c r="I142" s="63">
        <f t="shared" si="190"/>
        <v>-9.8684210526315819E-2</v>
      </c>
      <c r="J142" s="47">
        <f>AVERAGE(F142:I142)</f>
        <v>-5.0507451493114919E-2</v>
      </c>
      <c r="K142" s="47">
        <f t="shared" ref="K142:N142" si="191">AVERAGE(G142:J142)</f>
        <v>-5.35472937174261E-2</v>
      </c>
      <c r="L142" s="47">
        <f t="shared" si="191"/>
        <v>-4.392798217745747E-2</v>
      </c>
      <c r="M142" s="47">
        <f t="shared" si="191"/>
        <v>-6.166673447857858E-2</v>
      </c>
      <c r="N142" s="47">
        <f t="shared" si="191"/>
        <v>-5.2412365466644267E-2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N143" si="192">F141/F114</f>
        <v>6.2047963456414161E-2</v>
      </c>
      <c r="G143" s="63">
        <f t="shared" si="192"/>
        <v>5.88703261734288E-2</v>
      </c>
      <c r="H143" s="63">
        <f t="shared" si="192"/>
        <v>5.6896874415122589E-2</v>
      </c>
      <c r="I143" s="63">
        <f t="shared" si="192"/>
        <v>4.6011754827875735E-2</v>
      </c>
      <c r="J143" s="63">
        <f t="shared" si="192"/>
        <v>3.7102181191332226E-2</v>
      </c>
      <c r="K143" s="63">
        <f t="shared" si="192"/>
        <v>3.2949299275383197E-2</v>
      </c>
      <c r="L143" s="63">
        <f t="shared" si="192"/>
        <v>2.9290913885808997E-2</v>
      </c>
      <c r="M143" s="63">
        <f t="shared" si="192"/>
        <v>2.500459521326423E-2</v>
      </c>
      <c r="N143" s="63">
        <f t="shared" si="192"/>
        <v>2.1413692817392249E-2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2">
      <c r="A155" s="45" t="s">
        <v>114</v>
      </c>
      <c r="B155">
        <v>277</v>
      </c>
      <c r="C155">
        <v>271</v>
      </c>
      <c r="D155">
        <v>275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2">
      <c r="A159" s="9" t="s">
        <v>129</v>
      </c>
      <c r="B159">
        <f>B162+B166</f>
        <v>1350</v>
      </c>
      <c r="C159">
        <f t="shared" ref="C159:D159" si="193">C162+C166</f>
        <v>1506</v>
      </c>
      <c r="D159">
        <f t="shared" si="193"/>
        <v>1294</v>
      </c>
      <c r="J159" s="48"/>
      <c r="K159" s="48"/>
      <c r="L159" s="48"/>
      <c r="M159" s="48"/>
      <c r="N159" s="48"/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194">C159/C145</f>
        <v>0.2559483344663494</v>
      </c>
      <c r="D161" s="63">
        <f t="shared" si="194"/>
        <v>0.20834004186121396</v>
      </c>
      <c r="J161" s="66"/>
      <c r="K161" s="66"/>
      <c r="L161" s="66"/>
      <c r="M161" s="66"/>
      <c r="N161" s="66"/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195">C162/C145</f>
        <v>1.2236573759347382E-2</v>
      </c>
      <c r="D164" s="63">
        <f t="shared" si="195"/>
        <v>1.4651424891321848E-2</v>
      </c>
      <c r="J164" s="63"/>
      <c r="K164" s="63"/>
      <c r="L164" s="63"/>
      <c r="M164" s="63"/>
      <c r="N164" s="63"/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196">C162/C172</f>
        <v>1.44</v>
      </c>
      <c r="D165" s="63">
        <f t="shared" si="196"/>
        <v>1.8958333333333333</v>
      </c>
      <c r="J165" s="63"/>
      <c r="K165" s="63"/>
      <c r="L165" s="63"/>
      <c r="M165" s="63"/>
      <c r="N165" s="63"/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197">C166/C145</f>
        <v>0.24371176070700204</v>
      </c>
      <c r="D168" s="63">
        <f t="shared" si="197"/>
        <v>0.19368861696989212</v>
      </c>
      <c r="J168" s="63"/>
      <c r="K168" s="63"/>
      <c r="L168" s="63"/>
      <c r="M168" s="63"/>
      <c r="N168" s="63"/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2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2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2">
      <c r="A172" s="72" t="s">
        <v>140</v>
      </c>
      <c r="B172">
        <v>47</v>
      </c>
      <c r="C172">
        <v>50</v>
      </c>
      <c r="D172">
        <v>48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198">C172/C145</f>
        <v>8.4976206662134603E-3</v>
      </c>
      <c r="D174" s="63">
        <f t="shared" si="198"/>
        <v>7.7282241184994365E-3</v>
      </c>
      <c r="J174" s="63"/>
      <c r="K174" s="63"/>
      <c r="L174" s="63"/>
      <c r="M174" s="63"/>
      <c r="N174" s="63"/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2">
      <c r="A178" s="45" t="s">
        <v>112</v>
      </c>
      <c r="B178">
        <v>827</v>
      </c>
      <c r="C178">
        <v>882</v>
      </c>
      <c r="D178">
        <v>927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2">
      <c r="A182" s="45" t="s">
        <v>113</v>
      </c>
      <c r="B182">
        <v>499</v>
      </c>
      <c r="C182">
        <v>463</v>
      </c>
      <c r="D182">
        <v>471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2">
      <c r="A186" s="45" t="s">
        <v>114</v>
      </c>
      <c r="B186">
        <v>95</v>
      </c>
      <c r="C186">
        <v>86</v>
      </c>
      <c r="D186">
        <v>89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2">
      <c r="A190" s="9" t="s">
        <v>129</v>
      </c>
      <c r="B190">
        <f>B193+B197</f>
        <v>261</v>
      </c>
      <c r="C190">
        <f t="shared" ref="C190:D190" si="199">C193+C197</f>
        <v>301</v>
      </c>
      <c r="D190">
        <f t="shared" si="199"/>
        <v>257</v>
      </c>
      <c r="J190" s="48"/>
      <c r="K190" s="48"/>
      <c r="L190" s="48"/>
      <c r="M190" s="48"/>
      <c r="N190" s="48"/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00">C190/C176</f>
        <v>0.21034241788958771</v>
      </c>
      <c r="D192" s="63">
        <f t="shared" si="200"/>
        <v>0.17283120376597175</v>
      </c>
      <c r="J192" s="66"/>
      <c r="K192" s="66"/>
      <c r="L192" s="66"/>
      <c r="M192" s="66"/>
      <c r="N192" s="66"/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01">C193/C176</f>
        <v>8.385744234800839E-3</v>
      </c>
      <c r="D195" s="63">
        <f t="shared" si="201"/>
        <v>8.7424344317417624E-3</v>
      </c>
      <c r="J195" s="63"/>
      <c r="K195" s="63"/>
      <c r="L195" s="63"/>
      <c r="M195" s="63"/>
      <c r="N195" s="63"/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02">C193/C203</f>
        <v>0.24</v>
      </c>
      <c r="D196" s="63">
        <f t="shared" si="202"/>
        <v>0.27083333333333331</v>
      </c>
      <c r="J196" s="63"/>
      <c r="K196" s="63"/>
      <c r="L196" s="63"/>
      <c r="M196" s="63"/>
      <c r="N196" s="63"/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03">C197/C176</f>
        <v>0.20195667365478687</v>
      </c>
      <c r="D199" s="63">
        <f t="shared" si="203"/>
        <v>0.16408876933423</v>
      </c>
      <c r="J199" s="63"/>
      <c r="K199" s="63"/>
      <c r="L199" s="63"/>
      <c r="M199" s="63"/>
      <c r="N199" s="63"/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2">
      <c r="A201" s="46" t="s">
        <v>128</v>
      </c>
      <c r="J201" s="67"/>
      <c r="K201" s="67"/>
      <c r="L201" s="67"/>
      <c r="M201" s="67"/>
      <c r="N201" s="67"/>
    </row>
    <row r="202" spans="1:14" x14ac:dyDescent="0.2">
      <c r="A202" s="46" t="s">
        <v>132</v>
      </c>
      <c r="J202" s="63"/>
      <c r="K202" s="63"/>
      <c r="L202" s="63"/>
      <c r="M202" s="63"/>
      <c r="N202" s="63"/>
    </row>
    <row r="203" spans="1:14" x14ac:dyDescent="0.2">
      <c r="A203" s="72" t="s">
        <v>140</v>
      </c>
      <c r="B203">
        <v>47</v>
      </c>
      <c r="C203">
        <v>50</v>
      </c>
      <c r="D203">
        <v>48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04">C203/C176</f>
        <v>3.494060097833683E-2</v>
      </c>
      <c r="D205" s="63">
        <f t="shared" si="204"/>
        <v>3.2279757901815739E-2</v>
      </c>
      <c r="J205" s="63"/>
      <c r="K205" s="63"/>
      <c r="L205" s="63"/>
      <c r="M205" s="63"/>
      <c r="N205" s="63"/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2">
      <c r="A209" s="45" t="s">
        <v>112</v>
      </c>
      <c r="B209">
        <v>452</v>
      </c>
      <c r="C209">
        <v>570</v>
      </c>
      <c r="D209">
        <v>666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2">
      <c r="A213" s="45" t="s">
        <v>113</v>
      </c>
      <c r="B213">
        <v>230</v>
      </c>
      <c r="C213">
        <v>228</v>
      </c>
      <c r="D213">
        <v>275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2">
      <c r="A217" s="45" t="s">
        <v>114</v>
      </c>
      <c r="B217">
        <v>73</v>
      </c>
      <c r="C217">
        <v>71</v>
      </c>
      <c r="D217">
        <v>73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2">
      <c r="A221" s="9" t="s">
        <v>129</v>
      </c>
      <c r="B221">
        <f>B224+B228</f>
        <v>122</v>
      </c>
      <c r="C221">
        <f t="shared" ref="C221:D221" si="205">C224+C228</f>
        <v>192</v>
      </c>
      <c r="D221">
        <f t="shared" si="205"/>
        <v>242</v>
      </c>
      <c r="J221" s="48"/>
      <c r="K221" s="48"/>
      <c r="L221" s="48"/>
      <c r="M221" s="48"/>
      <c r="N221" s="48"/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06">C221/C207</f>
        <v>0.22094361334867663</v>
      </c>
      <c r="D223" s="63">
        <f t="shared" si="206"/>
        <v>0.23865877712031558</v>
      </c>
      <c r="J223" s="66"/>
      <c r="K223" s="66"/>
      <c r="L223" s="66"/>
      <c r="M223" s="66"/>
      <c r="N223" s="66"/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07">C224/C207</f>
        <v>2.0713463751438434E-2</v>
      </c>
      <c r="D226" s="63">
        <f t="shared" si="207"/>
        <v>1.7751479289940829E-2</v>
      </c>
      <c r="J226" s="63"/>
      <c r="K226" s="63"/>
      <c r="L226" s="63"/>
      <c r="M226" s="63"/>
      <c r="N226" s="63"/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08">C224/C234</f>
        <v>8.0717488789237665E-2</v>
      </c>
      <c r="D227" s="63">
        <f t="shared" si="208"/>
        <v>8.0717488789237665E-2</v>
      </c>
      <c r="J227" s="63"/>
      <c r="K227" s="63"/>
      <c r="L227" s="63"/>
      <c r="M227" s="63"/>
      <c r="N227" s="63"/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09">C228/C207</f>
        <v>0.2002301495972382</v>
      </c>
      <c r="D230" s="63">
        <f t="shared" si="209"/>
        <v>0.22090729783037474</v>
      </c>
      <c r="J230" s="63"/>
      <c r="K230" s="63"/>
      <c r="L230" s="63"/>
      <c r="M230" s="63"/>
      <c r="N230" s="63"/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2">
      <c r="A232" s="46" t="s">
        <v>128</v>
      </c>
      <c r="J232" s="67"/>
      <c r="K232" s="67"/>
      <c r="L232" s="67"/>
      <c r="M232" s="67"/>
      <c r="N232" s="67"/>
    </row>
    <row r="233" spans="1:14" x14ac:dyDescent="0.2">
      <c r="A233" s="46" t="s">
        <v>132</v>
      </c>
      <c r="J233" s="63"/>
      <c r="K233" s="63"/>
      <c r="L233" s="63"/>
      <c r="M233" s="63"/>
      <c r="N233" s="63"/>
    </row>
    <row r="234" spans="1:14" x14ac:dyDescent="0.2">
      <c r="A234" s="72" t="s">
        <v>140</v>
      </c>
      <c r="B234">
        <v>205</v>
      </c>
      <c r="C234">
        <v>223</v>
      </c>
      <c r="D234">
        <v>223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10">C234/C207</f>
        <v>0.25661680092059841</v>
      </c>
      <c r="D236" s="63">
        <f t="shared" si="210"/>
        <v>0.21992110453648916</v>
      </c>
      <c r="J236" s="63"/>
      <c r="K236" s="63"/>
      <c r="L236" s="63"/>
      <c r="M236" s="63"/>
      <c r="N236" s="63"/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2">
      <c r="A248" s="45" t="s">
        <v>114</v>
      </c>
      <c r="B248">
        <v>236</v>
      </c>
      <c r="C248">
        <v>218</v>
      </c>
      <c r="D248">
        <v>213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2">
      <c r="A252" s="9" t="s">
        <v>129</v>
      </c>
      <c r="B252">
        <f>B255+B259</f>
        <v>845</v>
      </c>
      <c r="C252">
        <f t="shared" ref="C252:D252" si="211">C255+C259</f>
        <v>917</v>
      </c>
      <c r="D252">
        <f t="shared" si="211"/>
        <v>854</v>
      </c>
      <c r="J252" s="48"/>
      <c r="K252" s="48"/>
      <c r="L252" s="48"/>
      <c r="M252" s="48"/>
      <c r="N252" s="48"/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12">C252/C238</f>
        <v>0.24777087273709808</v>
      </c>
      <c r="D254" s="63">
        <f t="shared" si="212"/>
        <v>0.21376720901126409</v>
      </c>
      <c r="J254" s="66"/>
      <c r="K254" s="66"/>
      <c r="L254" s="66"/>
      <c r="M254" s="66"/>
      <c r="N254" s="66"/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13">C255/C238</f>
        <v>6.754931099702783E-3</v>
      </c>
      <c r="D257" s="63">
        <f t="shared" si="213"/>
        <v>9.5118898623279095E-3</v>
      </c>
      <c r="J257" s="63"/>
      <c r="K257" s="63"/>
      <c r="L257" s="63"/>
      <c r="M257" s="63"/>
      <c r="N257" s="63"/>
    </row>
    <row r="258" spans="1:14" x14ac:dyDescent="0.2">
      <c r="A258" s="46" t="s">
        <v>139</v>
      </c>
      <c r="J258" s="63"/>
      <c r="K258" s="63"/>
      <c r="L258" s="63"/>
      <c r="M258" s="63"/>
      <c r="N258" s="63"/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14">C259/C238</f>
        <v>0.24101594163739529</v>
      </c>
      <c r="D261" s="63">
        <f t="shared" si="214"/>
        <v>0.20425531914893616</v>
      </c>
      <c r="J261" s="63"/>
      <c r="K261" s="63"/>
      <c r="L261" s="63"/>
      <c r="M261" s="63"/>
      <c r="N261" s="63"/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2">
      <c r="A263" s="46" t="s">
        <v>128</v>
      </c>
      <c r="J263" s="67"/>
      <c r="K263" s="67"/>
      <c r="L263" s="67"/>
      <c r="M263" s="67"/>
      <c r="N263" s="67"/>
    </row>
    <row r="264" spans="1:14" x14ac:dyDescent="0.2">
      <c r="A264" s="46" t="s">
        <v>132</v>
      </c>
      <c r="J264" s="63"/>
      <c r="K264" s="63"/>
      <c r="L264" s="63"/>
      <c r="M264" s="63"/>
      <c r="N264" s="63"/>
    </row>
    <row r="265" spans="1:14" x14ac:dyDescent="0.2">
      <c r="A265" s="72" t="s">
        <v>140</v>
      </c>
      <c r="B265">
        <v>103</v>
      </c>
      <c r="C265">
        <v>109</v>
      </c>
      <c r="D265">
        <v>120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215">C265/C238</f>
        <v>2.9451499594704136E-2</v>
      </c>
      <c r="D267" s="63">
        <f t="shared" si="215"/>
        <v>3.0037546933667083E-2</v>
      </c>
      <c r="J267" s="63"/>
      <c r="K267" s="63"/>
      <c r="L267" s="63"/>
      <c r="M267" s="63"/>
      <c r="N267" s="63"/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6">J269*(1+K270)</f>
        <v>178.53824867299718</v>
      </c>
      <c r="L269" s="69">
        <f t="shared" si="216"/>
        <v>253.98342156442098</v>
      </c>
      <c r="M269" s="69">
        <f t="shared" si="216"/>
        <v>369.18639854509235</v>
      </c>
      <c r="N269" s="69">
        <f t="shared" si="216"/>
        <v>588.13525784182741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17">D269/C269-1</f>
        <v>0</v>
      </c>
      <c r="E270" s="63">
        <f t="shared" si="217"/>
        <v>0.20547945205479445</v>
      </c>
      <c r="F270" s="63">
        <f t="shared" si="217"/>
        <v>-0.52272727272727271</v>
      </c>
      <c r="G270" s="63">
        <f t="shared" si="217"/>
        <v>-0.2857142857142857</v>
      </c>
      <c r="H270" s="63">
        <f t="shared" si="217"/>
        <v>-0.16666666666666663</v>
      </c>
      <c r="I270" s="63">
        <f t="shared" si="217"/>
        <v>3.08</v>
      </c>
      <c r="J270" s="62">
        <f>AVERAGE(C270:I270)</f>
        <v>0.27787911937746024</v>
      </c>
      <c r="K270" s="62">
        <f t="shared" ref="K270:N270" si="218">AVERAGE(D270:J270)</f>
        <v>0.3697500494748614</v>
      </c>
      <c r="L270" s="62">
        <f t="shared" si="218"/>
        <v>0.42257148511412729</v>
      </c>
      <c r="M270" s="62">
        <f t="shared" si="218"/>
        <v>0.45358463269403199</v>
      </c>
      <c r="N270" s="62">
        <f t="shared" si="218"/>
        <v>0.59305776203993255</v>
      </c>
    </row>
    <row r="271" spans="1:14" x14ac:dyDescent="0.2">
      <c r="A271" s="45" t="s">
        <v>112</v>
      </c>
    </row>
    <row r="272" spans="1:14" x14ac:dyDescent="0.2">
      <c r="A272" s="46" t="s">
        <v>128</v>
      </c>
      <c r="J272" s="64"/>
      <c r="K272" s="64"/>
      <c r="L272" s="64"/>
      <c r="M272" s="64"/>
      <c r="N272" s="64"/>
    </row>
    <row r="273" spans="1:14" x14ac:dyDescent="0.2">
      <c r="A273" s="44" t="s">
        <v>136</v>
      </c>
      <c r="J273" s="49"/>
      <c r="K273" s="49"/>
      <c r="L273" s="49"/>
      <c r="M273" s="49"/>
      <c r="N273" s="49"/>
    </row>
    <row r="274" spans="1:14" x14ac:dyDescent="0.2">
      <c r="A274" s="44" t="s">
        <v>137</v>
      </c>
      <c r="J274" s="49"/>
      <c r="K274" s="49"/>
      <c r="L274" s="49"/>
      <c r="M274" s="49"/>
      <c r="N274" s="49"/>
    </row>
    <row r="275" spans="1:14" x14ac:dyDescent="0.2">
      <c r="A275" s="45" t="s">
        <v>113</v>
      </c>
    </row>
    <row r="276" spans="1:14" x14ac:dyDescent="0.2">
      <c r="A276" s="44" t="s">
        <v>128</v>
      </c>
      <c r="J276" s="64"/>
      <c r="K276" s="64"/>
      <c r="L276" s="64"/>
      <c r="M276" s="64"/>
      <c r="N276" s="64"/>
    </row>
    <row r="277" spans="1:14" x14ac:dyDescent="0.2">
      <c r="A277" s="44" t="s">
        <v>136</v>
      </c>
      <c r="J277" s="65"/>
      <c r="K277" s="65"/>
      <c r="L277" s="65"/>
      <c r="M277" s="65"/>
      <c r="N277" s="65"/>
    </row>
    <row r="278" spans="1:14" x14ac:dyDescent="0.2">
      <c r="A278" s="44" t="s">
        <v>137</v>
      </c>
      <c r="J278" s="65"/>
      <c r="K278" s="65"/>
      <c r="L278" s="65"/>
      <c r="M278" s="65"/>
      <c r="N278" s="65"/>
    </row>
    <row r="279" spans="1:14" x14ac:dyDescent="0.2">
      <c r="A279" s="45" t="s">
        <v>114</v>
      </c>
    </row>
    <row r="280" spans="1:14" x14ac:dyDescent="0.2">
      <c r="A280" s="44" t="s">
        <v>128</v>
      </c>
      <c r="J280" s="64"/>
      <c r="K280" s="64"/>
      <c r="L280" s="64"/>
      <c r="M280" s="64"/>
      <c r="N280" s="64"/>
    </row>
    <row r="281" spans="1:14" x14ac:dyDescent="0.2">
      <c r="A281" s="44" t="s">
        <v>136</v>
      </c>
      <c r="J281" s="65"/>
      <c r="K281" s="65"/>
      <c r="L281" s="65"/>
      <c r="M281" s="65"/>
      <c r="N281" s="65"/>
    </row>
    <row r="282" spans="1:14" x14ac:dyDescent="0.2">
      <c r="A282" s="44" t="s">
        <v>137</v>
      </c>
      <c r="J282" s="65"/>
      <c r="K282" s="65"/>
      <c r="L282" s="65"/>
      <c r="M282" s="65"/>
      <c r="N282" s="65"/>
    </row>
    <row r="283" spans="1:14" x14ac:dyDescent="0.2">
      <c r="A283" s="9" t="s">
        <v>129</v>
      </c>
      <c r="B283">
        <f>B286+B290</f>
        <v>-2057</v>
      </c>
      <c r="C283">
        <f t="shared" ref="C283:I283" si="219">C286+C290</f>
        <v>-2366</v>
      </c>
      <c r="D283">
        <f t="shared" si="219"/>
        <v>-2444</v>
      </c>
      <c r="E283">
        <f t="shared" si="219"/>
        <v>-2441</v>
      </c>
      <c r="F283">
        <f t="shared" si="219"/>
        <v>-3067</v>
      </c>
      <c r="G283">
        <f t="shared" si="219"/>
        <v>-3254</v>
      </c>
      <c r="H283">
        <f t="shared" si="219"/>
        <v>-3434</v>
      </c>
      <c r="I283">
        <f t="shared" si="219"/>
        <v>-4042</v>
      </c>
      <c r="J283" s="48">
        <f>I283*(1+J284)</f>
        <v>-3619.4656367791085</v>
      </c>
      <c r="K283" s="48">
        <f t="shared" ref="K283:N283" si="220">J283*(1+K284)</f>
        <v>-3264.7223576322422</v>
      </c>
      <c r="L283" s="48">
        <f t="shared" si="220"/>
        <v>-2914.4121657926971</v>
      </c>
      <c r="M283" s="48">
        <f t="shared" si="220"/>
        <v>-2556.5053102949055</v>
      </c>
      <c r="N283" s="48">
        <f t="shared" si="220"/>
        <v>-2291.3611949674755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1">-(D283/C283-1)</f>
        <v>-3.2967032967033072E-2</v>
      </c>
      <c r="E284" s="63">
        <f t="shared" si="221"/>
        <v>1.2274959083469206E-3</v>
      </c>
      <c r="F284" s="63">
        <f t="shared" si="221"/>
        <v>-0.25645227365833678</v>
      </c>
      <c r="G284" s="63">
        <f t="shared" si="221"/>
        <v>-6.0971633518095869E-2</v>
      </c>
      <c r="H284" s="63">
        <f t="shared" si="221"/>
        <v>-5.5316533497234088E-2</v>
      </c>
      <c r="I284" s="63">
        <f t="shared" si="221"/>
        <v>-0.1770529994175889</v>
      </c>
      <c r="J284" s="67">
        <f>AVERAGE(C284:I284)</f>
        <v>-0.10453596319170987</v>
      </c>
      <c r="K284" s="67">
        <f t="shared" ref="K284:N284" si="222">AVERAGE(D284:J284)</f>
        <v>-9.8009848620235956E-2</v>
      </c>
      <c r="L284" s="67">
        <f t="shared" si="222"/>
        <v>-0.10730167942783637</v>
      </c>
      <c r="M284" s="67">
        <f t="shared" si="222"/>
        <v>-0.12280584733300541</v>
      </c>
      <c r="N284" s="67">
        <f t="shared" si="222"/>
        <v>-0.10371350071510092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N285" si="223">C283/C269</f>
        <v>-32.410958904109592</v>
      </c>
      <c r="D285" s="63">
        <f t="shared" si="223"/>
        <v>-33.479452054794521</v>
      </c>
      <c r="E285" s="63">
        <f t="shared" si="223"/>
        <v>-27.738636363636363</v>
      </c>
      <c r="F285" s="63">
        <f t="shared" si="223"/>
        <v>-73.023809523809518</v>
      </c>
      <c r="G285" s="63">
        <f t="shared" si="223"/>
        <v>-108.46666666666667</v>
      </c>
      <c r="H285" s="63">
        <f t="shared" si="223"/>
        <v>-137.36000000000001</v>
      </c>
      <c r="I285" s="63">
        <f t="shared" si="223"/>
        <v>-39.627450980392155</v>
      </c>
      <c r="J285" s="63">
        <f t="shared" si="223"/>
        <v>-27.7686337347868</v>
      </c>
      <c r="K285" s="63">
        <f t="shared" si="223"/>
        <v>-18.285842848227801</v>
      </c>
      <c r="L285" s="63">
        <f t="shared" si="223"/>
        <v>-11.474812599347073</v>
      </c>
      <c r="M285" s="63">
        <f t="shared" si="223"/>
        <v>-6.9247006942013725</v>
      </c>
      <c r="N285" s="63">
        <f t="shared" si="223"/>
        <v>-3.8959765877251864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4">J286*(1+K287)</f>
        <v>216.0538917295674</v>
      </c>
      <c r="L286" s="48">
        <f t="shared" si="224"/>
        <v>214.10746027254427</v>
      </c>
      <c r="M286" s="48">
        <f t="shared" si="224"/>
        <v>212.17856423405289</v>
      </c>
      <c r="N286" s="48">
        <f t="shared" si="224"/>
        <v>210.2670456373497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5">D286/C286-1</f>
        <v>1.304347826086949E-2</v>
      </c>
      <c r="E287" s="63">
        <f t="shared" si="225"/>
        <v>-6.8669527896995763E-2</v>
      </c>
      <c r="F287" s="63">
        <f t="shared" si="225"/>
        <v>-0.10138248847926268</v>
      </c>
      <c r="G287" s="63">
        <f t="shared" si="225"/>
        <v>9.7435897435897534E-2</v>
      </c>
      <c r="H287" s="63">
        <f t="shared" si="225"/>
        <v>3.7383177570093462E-2</v>
      </c>
      <c r="I287" s="63">
        <f t="shared" si="225"/>
        <v>-9.009009009009028E-3</v>
      </c>
      <c r="J287" s="67">
        <f>I287</f>
        <v>-9.009009009009028E-3</v>
      </c>
      <c r="K287" s="67">
        <f t="shared" ref="K287:N287" si="226">J287</f>
        <v>-9.009009009009028E-3</v>
      </c>
      <c r="L287" s="67">
        <f t="shared" si="226"/>
        <v>-9.009009009009028E-3</v>
      </c>
      <c r="M287" s="67">
        <f t="shared" si="226"/>
        <v>-9.009009009009028E-3</v>
      </c>
      <c r="N287" s="67">
        <f t="shared" si="226"/>
        <v>-9.009009009009028E-3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N288" si="227">C286/C269</f>
        <v>3.1506849315068495</v>
      </c>
      <c r="D288" s="63">
        <f t="shared" si="227"/>
        <v>3.1917808219178081</v>
      </c>
      <c r="E288" s="63">
        <f t="shared" si="227"/>
        <v>2.4659090909090908</v>
      </c>
      <c r="F288" s="63">
        <f t="shared" si="227"/>
        <v>4.6428571428571432</v>
      </c>
      <c r="G288" s="63">
        <f t="shared" si="227"/>
        <v>7.1333333333333337</v>
      </c>
      <c r="H288" s="63">
        <f t="shared" si="227"/>
        <v>8.8800000000000008</v>
      </c>
      <c r="I288" s="63">
        <f t="shared" si="227"/>
        <v>2.1568627450980391</v>
      </c>
      <c r="J288" s="63">
        <f t="shared" si="227"/>
        <v>1.6726398583283368</v>
      </c>
      <c r="K288" s="63">
        <f t="shared" si="227"/>
        <v>1.2101266442087837</v>
      </c>
      <c r="L288" s="63">
        <f t="shared" si="227"/>
        <v>0.84299777896423655</v>
      </c>
      <c r="M288" s="63">
        <f t="shared" si="227"/>
        <v>0.57471934250616075</v>
      </c>
      <c r="N288" s="63">
        <f t="shared" si="227"/>
        <v>0.3575147771431495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N289" si="228">C286/C296</f>
        <v>0.45009784735812131</v>
      </c>
      <c r="D289" s="63">
        <f t="shared" si="228"/>
        <v>0.43714821763602252</v>
      </c>
      <c r="E289" s="63">
        <f t="shared" si="228"/>
        <v>0.36348408710217756</v>
      </c>
      <c r="F289" s="63">
        <f t="shared" si="228"/>
        <v>0.2932330827067669</v>
      </c>
      <c r="G289" s="63">
        <f t="shared" si="228"/>
        <v>0.25783132530120484</v>
      </c>
      <c r="H289" s="63">
        <f t="shared" si="228"/>
        <v>0.2846153846153846</v>
      </c>
      <c r="I289" s="63">
        <f t="shared" si="228"/>
        <v>0.27883396704689478</v>
      </c>
      <c r="J289" s="63">
        <f t="shared" si="228"/>
        <v>0.27316998792659852</v>
      </c>
      <c r="K289" s="63">
        <f t="shared" si="228"/>
        <v>0.26762106171687455</v>
      </c>
      <c r="L289" s="63">
        <f t="shared" si="228"/>
        <v>0.26218485133773894</v>
      </c>
      <c r="M289" s="63">
        <f t="shared" si="228"/>
        <v>0.25685906718252094</v>
      </c>
      <c r="N289" s="63">
        <f t="shared" si="228"/>
        <v>0.25164146615353333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I290*(J291)</f>
        <v>-706.44748358862114</v>
      </c>
      <c r="K290" s="59">
        <f t="shared" ref="K290:N290" si="229">J290*(K291)</f>
        <v>-117.09714853793881</v>
      </c>
      <c r="L290" s="59">
        <f t="shared" si="229"/>
        <v>-19.409428887853089</v>
      </c>
      <c r="M290" s="59">
        <f t="shared" si="229"/>
        <v>-3.2172083988071574</v>
      </c>
      <c r="N290" s="59">
        <f t="shared" si="229"/>
        <v>-0.53326813174976384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0">D290/C290-1</f>
        <v>3.1201848998459125E-2</v>
      </c>
      <c r="E291" s="63">
        <f t="shared" si="230"/>
        <v>-7.097497198356395E-3</v>
      </c>
      <c r="F291" s="63">
        <f t="shared" si="230"/>
        <v>0.22723852520692245</v>
      </c>
      <c r="G291" s="63">
        <f t="shared" si="230"/>
        <v>6.3151440833844275E-2</v>
      </c>
      <c r="H291" s="63">
        <f t="shared" si="230"/>
        <v>5.4209919261822392E-2</v>
      </c>
      <c r="I291" s="63">
        <f t="shared" si="230"/>
        <v>0.16575492341356668</v>
      </c>
      <c r="J291" s="47">
        <f>I291</f>
        <v>0.16575492341356668</v>
      </c>
      <c r="K291" s="47">
        <f t="shared" ref="K291:N291" si="231">J291</f>
        <v>0.16575492341356668</v>
      </c>
      <c r="L291" s="47">
        <f t="shared" si="231"/>
        <v>0.16575492341356668</v>
      </c>
      <c r="M291" s="47">
        <f t="shared" si="231"/>
        <v>0.16575492341356668</v>
      </c>
      <c r="N291" s="47">
        <f t="shared" si="231"/>
        <v>0.16575492341356668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N292" si="232">C290/C269</f>
        <v>-35.561643835616437</v>
      </c>
      <c r="D292" s="63">
        <f t="shared" si="232"/>
        <v>-36.671232876712331</v>
      </c>
      <c r="E292" s="63">
        <f t="shared" si="232"/>
        <v>-30.204545454545453</v>
      </c>
      <c r="F292" s="63">
        <f t="shared" si="232"/>
        <v>-77.666666666666671</v>
      </c>
      <c r="G292" s="63">
        <f t="shared" si="232"/>
        <v>-115.6</v>
      </c>
      <c r="H292" s="63">
        <f t="shared" si="232"/>
        <v>-146.24</v>
      </c>
      <c r="I292" s="63">
        <f t="shared" si="232"/>
        <v>-41.784313725490193</v>
      </c>
      <c r="J292" s="63">
        <f t="shared" si="232"/>
        <v>-5.4198833179394637</v>
      </c>
      <c r="K292" s="63">
        <f t="shared" si="232"/>
        <v>-0.655865896569921</v>
      </c>
      <c r="L292" s="63">
        <f t="shared" si="232"/>
        <v>-7.6420062255638341E-2</v>
      </c>
      <c r="M292" s="63">
        <f t="shared" si="232"/>
        <v>-8.7143199518879572E-3</v>
      </c>
      <c r="N292" s="63">
        <f t="shared" si="232"/>
        <v>-9.0671002059390313E-4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3">J293</f>
        <v>222</v>
      </c>
      <c r="L293">
        <f t="shared" si="233"/>
        <v>222</v>
      </c>
      <c r="M293">
        <f t="shared" si="233"/>
        <v>222</v>
      </c>
      <c r="N293">
        <f t="shared" si="233"/>
        <v>222</v>
      </c>
    </row>
    <row r="294" spans="1:14" x14ac:dyDescent="0.2">
      <c r="A294" s="46" t="s">
        <v>128</v>
      </c>
      <c r="J294" s="67"/>
      <c r="K294" s="67"/>
      <c r="L294" s="67"/>
      <c r="M294" s="67"/>
      <c r="N294" s="67"/>
    </row>
    <row r="295" spans="1:14" x14ac:dyDescent="0.2">
      <c r="A295" s="46" t="s">
        <v>132</v>
      </c>
      <c r="J295" s="63"/>
      <c r="K295" s="63"/>
      <c r="L295" s="63"/>
      <c r="M295" s="63"/>
      <c r="N295" s="63"/>
    </row>
    <row r="296" spans="1:14" x14ac:dyDescent="0.2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4">J296*(1+K297)</f>
        <v>807.31273668639051</v>
      </c>
      <c r="L296" s="69">
        <f t="shared" si="234"/>
        <v>816.62788364815651</v>
      </c>
      <c r="M296" s="69">
        <f t="shared" si="234"/>
        <v>826.05051307486599</v>
      </c>
      <c r="N296" s="69">
        <f t="shared" si="234"/>
        <v>835.58186514880674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5">D296/C296-1</f>
        <v>4.3052837573385627E-2</v>
      </c>
      <c r="E297" s="63">
        <f t="shared" si="235"/>
        <v>0.12007504690431525</v>
      </c>
      <c r="F297" s="63">
        <f t="shared" si="235"/>
        <v>0.11390284757118918</v>
      </c>
      <c r="G297" s="63">
        <f t="shared" si="235"/>
        <v>0.24812030075187974</v>
      </c>
      <c r="H297" s="63">
        <f t="shared" si="235"/>
        <v>-6.0240963855421659E-2</v>
      </c>
      <c r="I297" s="63">
        <f t="shared" si="235"/>
        <v>1.1538461538461497E-2</v>
      </c>
      <c r="J297" s="47">
        <f>I297</f>
        <v>1.1538461538461497E-2</v>
      </c>
      <c r="K297" s="47">
        <f t="shared" ref="K297:N297" si="236">J297</f>
        <v>1.1538461538461497E-2</v>
      </c>
      <c r="L297" s="47">
        <f t="shared" si="236"/>
        <v>1.1538461538461497E-2</v>
      </c>
      <c r="M297" s="47">
        <f t="shared" si="236"/>
        <v>1.1538461538461497E-2</v>
      </c>
      <c r="N297" s="47">
        <f t="shared" si="236"/>
        <v>1.1538461538461497E-2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N298" si="237">C296/C269</f>
        <v>7</v>
      </c>
      <c r="D298" s="63">
        <f t="shared" si="237"/>
        <v>7.3013698630136989</v>
      </c>
      <c r="E298" s="63">
        <f t="shared" si="237"/>
        <v>6.7840909090909092</v>
      </c>
      <c r="F298" s="63">
        <f t="shared" si="237"/>
        <v>15.833333333333334</v>
      </c>
      <c r="G298" s="63">
        <f t="shared" si="237"/>
        <v>27.666666666666668</v>
      </c>
      <c r="H298" s="63">
        <f t="shared" si="237"/>
        <v>31.2</v>
      </c>
      <c r="I298" s="63">
        <f t="shared" si="237"/>
        <v>7.7352941176470589</v>
      </c>
      <c r="J298" s="63">
        <f t="shared" si="237"/>
        <v>6.1230732959499905</v>
      </c>
      <c r="K298" s="63">
        <f t="shared" si="237"/>
        <v>4.5217915079083646</v>
      </c>
      <c r="L298" s="63">
        <f t="shared" si="237"/>
        <v>3.2152802675785082</v>
      </c>
      <c r="M298" s="63">
        <f t="shared" si="237"/>
        <v>2.2374890199915431</v>
      </c>
      <c r="N298" s="63">
        <f t="shared" si="237"/>
        <v>1.4207307826009088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38">J300*(1+K301)</f>
        <v>2490.6159143734862</v>
      </c>
      <c r="L300" s="69">
        <f t="shared" si="238"/>
        <v>2569.5611506951313</v>
      </c>
      <c r="M300" s="69">
        <f t="shared" si="238"/>
        <v>2690.6874296643637</v>
      </c>
      <c r="N300" s="69">
        <f t="shared" si="238"/>
        <v>2831.5667203415419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39">D300/C300-1</f>
        <v>4.4501278772378416E-2</v>
      </c>
      <c r="E301" s="63">
        <f t="shared" si="239"/>
        <v>-7.6395690499510338E-2</v>
      </c>
      <c r="F301" s="63">
        <f t="shared" si="239"/>
        <v>1.0604453870625585E-2</v>
      </c>
      <c r="G301" s="63">
        <f t="shared" si="239"/>
        <v>-3.147953830010497E-2</v>
      </c>
      <c r="H301" s="63">
        <f t="shared" si="239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0">AVERAGE(D301:J301)</f>
        <v>3.3297599378087114E-2</v>
      </c>
      <c r="L301" s="62">
        <f t="shared" si="240"/>
        <v>3.1697073750331213E-2</v>
      </c>
      <c r="M301" s="62">
        <f t="shared" si="240"/>
        <v>4.7138897214594293E-2</v>
      </c>
      <c r="N301" s="62">
        <f t="shared" si="240"/>
        <v>5.235810340658982E-2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1">J302*(1+K303)</f>
        <v>2327.9387190697421</v>
      </c>
      <c r="L302" s="69">
        <f t="shared" si="241"/>
        <v>2454.5335738832023</v>
      </c>
      <c r="M302" s="69">
        <f t="shared" si="241"/>
        <v>2588.0127410430136</v>
      </c>
      <c r="N302" s="69">
        <f t="shared" si="241"/>
        <v>2728.7505940302472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2">G302/F302-1</f>
        <v>-9.6501809408926498E-3</v>
      </c>
      <c r="H303" s="63">
        <f t="shared" si="242"/>
        <v>0.2095006090133984</v>
      </c>
      <c r="I303" s="63">
        <f t="shared" si="242"/>
        <v>5.4380664652567967E-2</v>
      </c>
      <c r="J303" s="64">
        <f>I303</f>
        <v>5.4380664652567967E-2</v>
      </c>
      <c r="K303" s="64">
        <f t="shared" ref="K303:N303" si="243">J303</f>
        <v>5.4380664652567967E-2</v>
      </c>
      <c r="L303" s="64">
        <f t="shared" si="243"/>
        <v>5.4380664652567967E-2</v>
      </c>
      <c r="M303" s="64">
        <f t="shared" si="243"/>
        <v>5.4380664652567967E-2</v>
      </c>
      <c r="N303" s="64">
        <f t="shared" si="243"/>
        <v>5.4380664652567967E-2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4">G303-G304</f>
        <v>3.4981905910735044E-4</v>
      </c>
      <c r="H305" s="70">
        <f t="shared" si="244"/>
        <v>-4.9939098660159442E-4</v>
      </c>
      <c r="I305" s="70">
        <f t="shared" si="244"/>
        <v>-5.6193353474320307E-3</v>
      </c>
      <c r="J305" s="3">
        <f>J323+J354+J385+J416+J571+J602+J637</f>
        <v>0.54237065781357696</v>
      </c>
      <c r="K305" s="3">
        <f t="shared" ref="K305:N305" si="245">K323+K354+K385+K416+K571+K602+K637</f>
        <v>-0.14669560493934103</v>
      </c>
      <c r="L305" s="3">
        <f t="shared" si="245"/>
        <v>4.9006808938709345E-2</v>
      </c>
      <c r="M305" s="3">
        <f t="shared" si="245"/>
        <v>-8.1585199180801028E-3</v>
      </c>
      <c r="N305" s="3">
        <f t="shared" si="245"/>
        <v>6.8583346540176966E-3</v>
      </c>
    </row>
    <row r="306" spans="1:15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6">(K305-J305)/J305</f>
        <v>-1.2704711304455618</v>
      </c>
      <c r="L306" s="47">
        <f t="shared" si="246"/>
        <v>-1.3340714192424086</v>
      </c>
      <c r="M306" s="47">
        <f t="shared" si="246"/>
        <v>-1.1664772731536877</v>
      </c>
      <c r="N306" s="47">
        <f t="shared" si="246"/>
        <v>-1.8406346644835585</v>
      </c>
      <c r="O306" t="s">
        <v>214</v>
      </c>
    </row>
    <row r="307" spans="1:15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47">G306/F306-1</f>
        <v>-0.24576271186440679</v>
      </c>
      <c r="H307" s="63">
        <f t="shared" si="247"/>
        <v>0.1685393258426966</v>
      </c>
      <c r="I307" s="63">
        <f t="shared" si="247"/>
        <v>-9.6153846153845812E-3</v>
      </c>
      <c r="J307" s="59">
        <f>J337+J368+J399+J430+J585+J620+J651</f>
        <v>0</v>
      </c>
      <c r="K307" s="59">
        <f t="shared" ref="K307:N307" si="248">K337+K368+K399+K430+K585+K620+K651</f>
        <v>0</v>
      </c>
      <c r="L307" s="59">
        <f t="shared" si="248"/>
        <v>0</v>
      </c>
      <c r="M307" s="59">
        <f t="shared" si="248"/>
        <v>0</v>
      </c>
      <c r="N307" s="59">
        <f t="shared" si="248"/>
        <v>0</v>
      </c>
    </row>
    <row r="308" spans="1:15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49">(K307-J307)/J307</f>
        <v>#DIV/0!</v>
      </c>
      <c r="L308" s="47" t="e">
        <f t="shared" si="249"/>
        <v>#DIV/0!</v>
      </c>
      <c r="M308" s="47" t="e">
        <f t="shared" si="249"/>
        <v>#DIV/0!</v>
      </c>
      <c r="N308" s="47" t="e">
        <f t="shared" si="249"/>
        <v>#DIV/0!</v>
      </c>
    </row>
    <row r="309" spans="1:15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0">G307-G308</f>
        <v>4.237288135593209E-3</v>
      </c>
      <c r="H309" s="63">
        <f t="shared" si="250"/>
        <v>-1.4606741573034154E-3</v>
      </c>
      <c r="I309" s="63">
        <f t="shared" si="250"/>
        <v>2.0384615384615418E-2</v>
      </c>
      <c r="J309" s="47">
        <f t="shared" ref="J309:O309" si="251">+IFERROR(J307/J$3,"nm")</f>
        <v>0</v>
      </c>
      <c r="K309" s="47">
        <f t="shared" si="251"/>
        <v>0</v>
      </c>
      <c r="L309" s="47">
        <f t="shared" si="251"/>
        <v>0</v>
      </c>
      <c r="M309" s="47">
        <f t="shared" si="251"/>
        <v>0</v>
      </c>
      <c r="N309" s="47">
        <f t="shared" si="251"/>
        <v>0</v>
      </c>
    </row>
    <row r="310" spans="1:15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4">
        <f>J340+J371+J402+J433+J588+J623+J654</f>
        <v>0</v>
      </c>
      <c r="K310" s="84">
        <f t="shared" ref="K310:N310" si="252">K340+K371+K402+K433+K588+K623+K654</f>
        <v>0</v>
      </c>
      <c r="L310" s="84">
        <f t="shared" si="252"/>
        <v>0</v>
      </c>
      <c r="M310" s="84">
        <f t="shared" si="252"/>
        <v>0</v>
      </c>
      <c r="N310" s="84">
        <f t="shared" si="252"/>
        <v>0</v>
      </c>
    </row>
    <row r="311" spans="1:15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3">G310/F310-1</f>
        <v>4.1666666666666741E-2</v>
      </c>
      <c r="H311" s="63">
        <f t="shared" si="253"/>
        <v>0.15999999999999992</v>
      </c>
      <c r="I311" s="63">
        <f t="shared" si="253"/>
        <v>-0.10344827586206895</v>
      </c>
      <c r="J311" s="63">
        <f>(J310-I310)/I310</f>
        <v>-1</v>
      </c>
      <c r="K311" s="63" t="e">
        <f t="shared" ref="K311:N311" si="254">(K310-J310)/J310</f>
        <v>#DIV/0!</v>
      </c>
      <c r="L311" s="63" t="e">
        <f t="shared" si="254"/>
        <v>#DIV/0!</v>
      </c>
      <c r="M311" s="63" t="e">
        <f t="shared" si="254"/>
        <v>#DIV/0!</v>
      </c>
      <c r="N311" s="63" t="e">
        <f t="shared" si="254"/>
        <v>#DIV/0!</v>
      </c>
    </row>
    <row r="312" spans="1:15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O312" si="255">+IFERROR(J310/J$3,"nm")</f>
        <v>0</v>
      </c>
      <c r="K312" s="47">
        <f t="shared" si="255"/>
        <v>0</v>
      </c>
      <c r="L312" s="47">
        <f t="shared" si="255"/>
        <v>0</v>
      </c>
      <c r="M312" s="47">
        <f t="shared" si="255"/>
        <v>0</v>
      </c>
      <c r="N312" s="47">
        <f t="shared" si="255"/>
        <v>0</v>
      </c>
    </row>
    <row r="313" spans="1:15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6">G311-G312</f>
        <v>1.6666666666667398E-3</v>
      </c>
      <c r="H313" s="63">
        <f t="shared" si="256"/>
        <v>0</v>
      </c>
      <c r="I313" s="63">
        <f t="shared" si="256"/>
        <v>5.6551724137931053E-2</v>
      </c>
      <c r="J313" s="59">
        <f>J344+J375+J406+J437+J592+J627+J658</f>
        <v>0</v>
      </c>
      <c r="K313" s="59">
        <f t="shared" ref="K313:N313" si="257">K344+K375+K406+K437+K592+K627+K658</f>
        <v>0</v>
      </c>
      <c r="L313" s="59">
        <f t="shared" si="257"/>
        <v>0</v>
      </c>
      <c r="M313" s="59">
        <f t="shared" si="257"/>
        <v>0</v>
      </c>
      <c r="N313" s="59">
        <f t="shared" si="257"/>
        <v>0</v>
      </c>
    </row>
    <row r="314" spans="1:15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58">(K313-J313)/J313</f>
        <v>#DIV/0!</v>
      </c>
      <c r="L314" s="47" t="e">
        <f t="shared" si="258"/>
        <v>#DIV/0!</v>
      </c>
      <c r="M314" s="47" t="e">
        <f t="shared" si="258"/>
        <v>#DIV/0!</v>
      </c>
      <c r="N314" s="47" t="e">
        <f t="shared" si="258"/>
        <v>#DIV/0!</v>
      </c>
    </row>
    <row r="315" spans="1:15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59">G314/F314-1</f>
        <v>-0.15094339622641506</v>
      </c>
      <c r="H315" s="63">
        <f t="shared" si="259"/>
        <v>-4.4444444444444398E-2</v>
      </c>
      <c r="I315" s="63">
        <f t="shared" si="259"/>
        <v>0.43023255813953498</v>
      </c>
      <c r="J315" s="47">
        <f t="shared" ref="J315:O315" si="260">+IFERROR(J313/J$3,"nm")</f>
        <v>0</v>
      </c>
      <c r="K315" s="47">
        <f t="shared" si="260"/>
        <v>0</v>
      </c>
      <c r="L315" s="47">
        <f t="shared" si="260"/>
        <v>0</v>
      </c>
      <c r="M315" s="47">
        <f t="shared" si="260"/>
        <v>0</v>
      </c>
      <c r="N315" s="47">
        <f t="shared" si="260"/>
        <v>0</v>
      </c>
    </row>
    <row r="316" spans="1:15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1">K347+K378+K409+K440+K595+K630+K661</f>
        <v>0</v>
      </c>
      <c r="L316" s="59">
        <f t="shared" si="261"/>
        <v>0</v>
      </c>
      <c r="M316" s="59">
        <f t="shared" si="261"/>
        <v>0</v>
      </c>
      <c r="N316" s="59">
        <f t="shared" si="261"/>
        <v>0</v>
      </c>
    </row>
    <row r="317" spans="1:15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2">G315-G316</f>
        <v>-9.4339622641506637E-4</v>
      </c>
      <c r="H317" s="63">
        <f t="shared" si="262"/>
        <v>-4.4444444444443967E-3</v>
      </c>
      <c r="I317" s="63">
        <f t="shared" si="262"/>
        <v>1.0232558139534997E-2</v>
      </c>
      <c r="J317" s="47">
        <f>(J316-I316)/I316</f>
        <v>-1</v>
      </c>
      <c r="K317" s="47" t="e">
        <f t="shared" ref="K317:N317" si="263">(K316-J316)/J316</f>
        <v>#DIV/0!</v>
      </c>
      <c r="L317" s="47" t="e">
        <f t="shared" si="263"/>
        <v>#DIV/0!</v>
      </c>
      <c r="M317" s="47" t="e">
        <f t="shared" si="263"/>
        <v>#DIV/0!</v>
      </c>
      <c r="N317" s="47" t="e">
        <f t="shared" si="263"/>
        <v>#DIV/0!</v>
      </c>
    </row>
    <row r="318" spans="1:15" x14ac:dyDescent="0.2">
      <c r="A318" s="9" t="s">
        <v>129</v>
      </c>
      <c r="B318">
        <f>B321+B325</f>
        <v>535</v>
      </c>
      <c r="C318">
        <f t="shared" ref="C318:I318" si="264">C321+C325</f>
        <v>514</v>
      </c>
      <c r="D318">
        <f t="shared" si="264"/>
        <v>505</v>
      </c>
      <c r="E318">
        <f t="shared" si="264"/>
        <v>343</v>
      </c>
      <c r="F318">
        <f t="shared" si="264"/>
        <v>334</v>
      </c>
      <c r="G318">
        <f t="shared" si="264"/>
        <v>322</v>
      </c>
      <c r="H318">
        <f t="shared" si="264"/>
        <v>569</v>
      </c>
      <c r="I318">
        <f t="shared" si="264"/>
        <v>691</v>
      </c>
      <c r="J318" s="47">
        <f t="shared" ref="J318:O318" si="265">+IFERROR(J316/J$3,"nm")</f>
        <v>0</v>
      </c>
      <c r="K318" s="47">
        <f t="shared" si="265"/>
        <v>0</v>
      </c>
      <c r="L318" s="47">
        <f t="shared" si="265"/>
        <v>0</v>
      </c>
      <c r="M318" s="47">
        <f t="shared" si="265"/>
        <v>0</v>
      </c>
      <c r="N318" s="47">
        <f t="shared" si="265"/>
        <v>0</v>
      </c>
    </row>
    <row r="319" spans="1:15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6">D318/C318-1</f>
        <v>-1.7509727626459193E-2</v>
      </c>
      <c r="E319" s="63">
        <f t="shared" si="266"/>
        <v>-0.32079207920792074</v>
      </c>
      <c r="F319" s="63">
        <f t="shared" si="266"/>
        <v>-2.6239067055393583E-2</v>
      </c>
      <c r="G319" s="63">
        <f t="shared" si="266"/>
        <v>-3.59281437125748E-2</v>
      </c>
      <c r="H319" s="63">
        <f t="shared" si="266"/>
        <v>0.76708074534161486</v>
      </c>
      <c r="I319" s="63">
        <f t="shared" si="266"/>
        <v>0.21441124780316345</v>
      </c>
      <c r="J319" s="67">
        <f>I319</f>
        <v>0.21441124780316345</v>
      </c>
      <c r="K319" s="67">
        <f t="shared" ref="K319:N319" si="267">J319</f>
        <v>0.21441124780316345</v>
      </c>
      <c r="L319" s="67">
        <f t="shared" si="267"/>
        <v>0.21441124780316345</v>
      </c>
      <c r="M319" s="67">
        <f t="shared" si="267"/>
        <v>0.21441124780316345</v>
      </c>
      <c r="N319" s="67">
        <f t="shared" si="267"/>
        <v>0.21441124780316345</v>
      </c>
    </row>
    <row r="320" spans="1:15" x14ac:dyDescent="0.2">
      <c r="A320" s="46" t="s">
        <v>130</v>
      </c>
      <c r="B320" s="63">
        <f>B318/B300</f>
        <v>0.26992936427850656</v>
      </c>
      <c r="C320" s="63">
        <f t="shared" ref="C320:N320" si="268">C318/C300</f>
        <v>0.26291560102301792</v>
      </c>
      <c r="D320" s="63">
        <f t="shared" si="268"/>
        <v>0.24730656219392752</v>
      </c>
      <c r="E320" s="63">
        <f t="shared" si="268"/>
        <v>0.18186638388123011</v>
      </c>
      <c r="F320" s="63">
        <f t="shared" si="268"/>
        <v>0.17523609653725078</v>
      </c>
      <c r="G320" s="63">
        <f t="shared" si="268"/>
        <v>0.17443120260021669</v>
      </c>
      <c r="H320" s="63">
        <f t="shared" si="268"/>
        <v>0.25804988662131517</v>
      </c>
      <c r="I320" s="63">
        <f t="shared" si="268"/>
        <v>0.29454390451832907</v>
      </c>
      <c r="J320" s="63">
        <f t="shared" si="268"/>
        <v>0</v>
      </c>
      <c r="K320" s="63">
        <f t="shared" si="268"/>
        <v>0</v>
      </c>
      <c r="L320" s="63">
        <f t="shared" si="268"/>
        <v>0</v>
      </c>
      <c r="M320" s="63">
        <f t="shared" si="268"/>
        <v>0</v>
      </c>
      <c r="N320" s="63">
        <f t="shared" si="268"/>
        <v>0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69">J321*(1+K322)</f>
        <v>15.75147928994083</v>
      </c>
      <c r="L321" s="48">
        <f t="shared" si="269"/>
        <v>13.328174783796086</v>
      </c>
      <c r="M321" s="48">
        <f t="shared" si="269"/>
        <v>11.277686355519766</v>
      </c>
      <c r="N321" s="48">
        <f t="shared" si="269"/>
        <v>9.5426576854398011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270">D321/C321-1</f>
        <v>3.7037037037036979E-2</v>
      </c>
      <c r="E322" s="63">
        <f t="shared" si="270"/>
        <v>0.1785714285714286</v>
      </c>
      <c r="F322" s="63">
        <f t="shared" si="270"/>
        <v>-6.0606060606060552E-2</v>
      </c>
      <c r="G322" s="63">
        <f t="shared" si="270"/>
        <v>-0.19354838709677424</v>
      </c>
      <c r="H322" s="63">
        <f t="shared" si="270"/>
        <v>4.0000000000000036E-2</v>
      </c>
      <c r="I322" s="63">
        <f t="shared" si="270"/>
        <v>-0.15384615384615385</v>
      </c>
      <c r="J322" s="67">
        <f>I322</f>
        <v>-0.15384615384615385</v>
      </c>
      <c r="K322" s="67">
        <f t="shared" ref="K322:N322" si="271">J322</f>
        <v>-0.15384615384615385</v>
      </c>
      <c r="L322" s="67">
        <f t="shared" si="271"/>
        <v>-0.15384615384615385</v>
      </c>
      <c r="M322" s="67">
        <f t="shared" si="271"/>
        <v>-0.15384615384615385</v>
      </c>
      <c r="N322" s="67">
        <f t="shared" si="271"/>
        <v>-0.15384615384615385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N323" si="272">C321/C300</f>
        <v>1.3810741687979539E-2</v>
      </c>
      <c r="D323" s="63">
        <f t="shared" si="272"/>
        <v>1.3712047012732615E-2</v>
      </c>
      <c r="E323" s="63">
        <f t="shared" si="272"/>
        <v>1.7497348886532343E-2</v>
      </c>
      <c r="F323" s="63">
        <f t="shared" si="272"/>
        <v>1.6264428121720881E-2</v>
      </c>
      <c r="G323" s="63">
        <f t="shared" si="272"/>
        <v>1.3542795232936078E-2</v>
      </c>
      <c r="H323" s="63">
        <f t="shared" si="272"/>
        <v>1.1791383219954649E-2</v>
      </c>
      <c r="I323" s="63">
        <f t="shared" si="272"/>
        <v>9.3776641091219103E-3</v>
      </c>
      <c r="J323" s="63">
        <f t="shared" si="272"/>
        <v>7.723082520901388E-3</v>
      </c>
      <c r="K323" s="63">
        <f t="shared" si="272"/>
        <v>6.3243309412094198E-3</v>
      </c>
      <c r="L323" s="63">
        <f t="shared" si="272"/>
        <v>5.1869459421856829E-3</v>
      </c>
      <c r="M323" s="63">
        <f t="shared" si="272"/>
        <v>4.1913773525624805E-3</v>
      </c>
      <c r="N323" s="63">
        <f t="shared" si="272"/>
        <v>3.3700981216111944E-3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N324" si="273">C321/C331</f>
        <v>0.216</v>
      </c>
      <c r="D324" s="63">
        <f t="shared" si="273"/>
        <v>0.224</v>
      </c>
      <c r="E324" s="63">
        <f t="shared" si="273"/>
        <v>0.28695652173913044</v>
      </c>
      <c r="F324" s="63">
        <f t="shared" si="273"/>
        <v>0.31</v>
      </c>
      <c r="G324" s="63">
        <f t="shared" si="273"/>
        <v>0.3125</v>
      </c>
      <c r="H324" s="63">
        <f t="shared" si="273"/>
        <v>0.41269841269841268</v>
      </c>
      <c r="I324" s="63">
        <f t="shared" si="273"/>
        <v>0.44897959183673469</v>
      </c>
      <c r="J324" s="63">
        <f t="shared" si="273"/>
        <v>0.48845032518501907</v>
      </c>
      <c r="K324" s="63">
        <f t="shared" si="273"/>
        <v>0.53139101311337245</v>
      </c>
      <c r="L324" s="63">
        <f t="shared" si="273"/>
        <v>0.57810670657388863</v>
      </c>
      <c r="M324" s="63">
        <f t="shared" si="273"/>
        <v>0.62892927418477995</v>
      </c>
      <c r="N324" s="63">
        <f t="shared" si="273"/>
        <v>0.68421975982739791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I325*(1+J326)</f>
        <v>824.23756906077358</v>
      </c>
      <c r="K325" s="59">
        <f t="shared" ref="K325:N325" si="274">J325*(1+K326)</f>
        <v>1015.4971154726659</v>
      </c>
      <c r="L325" s="59">
        <f t="shared" si="274"/>
        <v>1251.1373301127321</v>
      </c>
      <c r="M325" s="59">
        <f t="shared" si="274"/>
        <v>1541.4564895864048</v>
      </c>
      <c r="N325" s="59">
        <f t="shared" si="274"/>
        <v>1899.1425258440238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5">D325/C325-1</f>
        <v>-2.0533880903490731E-2</v>
      </c>
      <c r="E326" s="63">
        <f t="shared" si="275"/>
        <v>-0.35010482180293501</v>
      </c>
      <c r="F326" s="63">
        <f t="shared" si="275"/>
        <v>-2.2580645161290325E-2</v>
      </c>
      <c r="G326" s="63">
        <f t="shared" si="275"/>
        <v>-1.980198019801982E-2</v>
      </c>
      <c r="H326" s="63">
        <f t="shared" si="275"/>
        <v>0.82828282828282829</v>
      </c>
      <c r="I326" s="63">
        <f t="shared" si="275"/>
        <v>0.2320441988950277</v>
      </c>
      <c r="J326" s="47">
        <f>I326</f>
        <v>0.2320441988950277</v>
      </c>
      <c r="K326" s="47">
        <f t="shared" ref="K326:N326" si="276">J326</f>
        <v>0.2320441988950277</v>
      </c>
      <c r="L326" s="47">
        <f t="shared" si="276"/>
        <v>0.2320441988950277</v>
      </c>
      <c r="M326" s="47">
        <f t="shared" si="276"/>
        <v>0.2320441988950277</v>
      </c>
      <c r="N326" s="47">
        <f t="shared" si="276"/>
        <v>0.2320441988950277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N327" si="277">C325/C300</f>
        <v>0.24910485933503837</v>
      </c>
      <c r="D327" s="63">
        <f t="shared" si="277"/>
        <v>0.23359451518119489</v>
      </c>
      <c r="E327" s="63">
        <f t="shared" si="277"/>
        <v>0.16436903499469777</v>
      </c>
      <c r="F327" s="63">
        <f t="shared" si="277"/>
        <v>0.1589716684155299</v>
      </c>
      <c r="G327" s="63">
        <f t="shared" si="277"/>
        <v>0.16088840736728061</v>
      </c>
      <c r="H327" s="63">
        <f t="shared" si="277"/>
        <v>0.24625850340136055</v>
      </c>
      <c r="I327" s="63">
        <f t="shared" si="277"/>
        <v>0.28516624040920718</v>
      </c>
      <c r="J327" s="63">
        <f t="shared" si="277"/>
        <v>0.34195666080531256</v>
      </c>
      <c r="K327" s="63">
        <f t="shared" si="277"/>
        <v>0.40772931290295472</v>
      </c>
      <c r="L327" s="63">
        <f t="shared" si="277"/>
        <v>0.48690700735970721</v>
      </c>
      <c r="M327" s="63">
        <f t="shared" si="277"/>
        <v>0.57288575127386165</v>
      </c>
      <c r="N327" s="63">
        <f t="shared" si="277"/>
        <v>0.67070378818937038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78">J328*(1+K329)</f>
        <v>14.877551020408166</v>
      </c>
      <c r="L328" s="69">
        <f t="shared" si="278"/>
        <v>19.128279883381929</v>
      </c>
      <c r="M328" s="69">
        <f t="shared" si="278"/>
        <v>24.593502707205339</v>
      </c>
      <c r="N328" s="69">
        <f t="shared" si="278"/>
        <v>31.620217766406867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79">G328/F328-1</f>
        <v>-0.33333333333333337</v>
      </c>
      <c r="H329" s="63">
        <f t="shared" si="279"/>
        <v>-0.41666666666666663</v>
      </c>
      <c r="I329" s="63">
        <f t="shared" si="279"/>
        <v>0.28571428571428581</v>
      </c>
      <c r="J329" s="67">
        <f>I329</f>
        <v>0.28571428571428581</v>
      </c>
      <c r="K329" s="67">
        <f t="shared" ref="K329:N329" si="280">J329</f>
        <v>0.28571428571428581</v>
      </c>
      <c r="L329" s="67">
        <f t="shared" si="280"/>
        <v>0.28571428571428581</v>
      </c>
      <c r="M329" s="67">
        <f t="shared" si="280"/>
        <v>0.28571428571428581</v>
      </c>
      <c r="N329" s="67">
        <f t="shared" si="280"/>
        <v>0.28571428571428581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N330" si="281">F328/F300</f>
        <v>9.4438614900314802E-3</v>
      </c>
      <c r="G330" s="63">
        <f t="shared" si="281"/>
        <v>6.5005417118093175E-3</v>
      </c>
      <c r="H330" s="63">
        <f t="shared" si="281"/>
        <v>3.1746031746031746E-3</v>
      </c>
      <c r="I330" s="63">
        <f t="shared" si="281"/>
        <v>3.8363171355498722E-3</v>
      </c>
      <c r="J330" s="63">
        <f t="shared" si="281"/>
        <v>4.8007118621659749E-3</v>
      </c>
      <c r="K330" s="63">
        <f t="shared" si="281"/>
        <v>5.9734425266252302E-3</v>
      </c>
      <c r="L330" s="63">
        <f t="shared" si="281"/>
        <v>7.4441816176304054E-3</v>
      </c>
      <c r="M330" s="63">
        <f t="shared" si="281"/>
        <v>9.1402302757526664E-3</v>
      </c>
      <c r="N330" s="63">
        <f t="shared" si="281"/>
        <v>1.1167039624831039E-2</v>
      </c>
    </row>
    <row r="331" spans="1:14" x14ac:dyDescent="0.2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2">J331*(1+K332)</f>
        <v>29.641975308641978</v>
      </c>
      <c r="L331" s="69">
        <f t="shared" si="282"/>
        <v>23.054869684499316</v>
      </c>
      <c r="M331" s="69">
        <f t="shared" si="282"/>
        <v>17.931565310166135</v>
      </c>
      <c r="N331" s="69">
        <f t="shared" si="282"/>
        <v>13.946773019018105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3">D331/C331-1</f>
        <v>0</v>
      </c>
      <c r="E332" s="63">
        <f t="shared" si="283"/>
        <v>-7.999999999999996E-2</v>
      </c>
      <c r="F332" s="63">
        <f t="shared" si="283"/>
        <v>-0.13043478260869568</v>
      </c>
      <c r="G332" s="63">
        <f t="shared" si="283"/>
        <v>-0.19999999999999996</v>
      </c>
      <c r="H332" s="63">
        <f t="shared" si="283"/>
        <v>-0.21250000000000002</v>
      </c>
      <c r="I332" s="63">
        <f t="shared" si="283"/>
        <v>-0.22222222222222221</v>
      </c>
      <c r="J332" s="47">
        <f>I332</f>
        <v>-0.22222222222222221</v>
      </c>
      <c r="K332" s="47">
        <f t="shared" ref="K332:N332" si="284">J332</f>
        <v>-0.22222222222222221</v>
      </c>
      <c r="L332" s="47">
        <f t="shared" si="284"/>
        <v>-0.22222222222222221</v>
      </c>
      <c r="M332" s="47">
        <f t="shared" si="284"/>
        <v>-0.22222222222222221</v>
      </c>
      <c r="N332" s="47">
        <f t="shared" si="284"/>
        <v>-0.22222222222222221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N333" si="285">C331/C300</f>
        <v>6.3938618925831206E-2</v>
      </c>
      <c r="D333" s="63">
        <f t="shared" si="285"/>
        <v>6.1214495592556317E-2</v>
      </c>
      <c r="E333" s="63">
        <f t="shared" si="285"/>
        <v>6.097560975609756E-2</v>
      </c>
      <c r="F333" s="63">
        <f t="shared" si="285"/>
        <v>5.2465897166841552E-2</v>
      </c>
      <c r="G333" s="63">
        <f t="shared" si="285"/>
        <v>4.3336944745395449E-2</v>
      </c>
      <c r="H333" s="63">
        <f t="shared" si="285"/>
        <v>2.8571428571428571E-2</v>
      </c>
      <c r="I333" s="63">
        <f t="shared" si="285"/>
        <v>2.0886615515771527E-2</v>
      </c>
      <c r="J333" s="63">
        <f t="shared" si="285"/>
        <v>1.5811398053580939E-2</v>
      </c>
      <c r="K333" s="63">
        <f t="shared" si="285"/>
        <v>1.1901463865856013E-2</v>
      </c>
      <c r="L333" s="63">
        <f t="shared" si="285"/>
        <v>8.9722985102971345E-3</v>
      </c>
      <c r="M333" s="63">
        <f t="shared" si="285"/>
        <v>6.6643063450900052E-3</v>
      </c>
      <c r="N333" s="63">
        <f t="shared" si="285"/>
        <v>4.9254615541377226E-3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6">-J335*(1+K336)</f>
        <v>-1039.6799999999998</v>
      </c>
      <c r="L335">
        <f t="shared" si="286"/>
        <v>3950.7839999999992</v>
      </c>
      <c r="M335">
        <f t="shared" si="286"/>
        <v>-15012.979199999996</v>
      </c>
      <c r="N335">
        <f t="shared" si="286"/>
        <v>57049.320959999983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87">-(D335/C335-1)</f>
        <v>1.8720930232558139</v>
      </c>
      <c r="E336" s="63">
        <f t="shared" si="287"/>
        <v>0.65333333333333332</v>
      </c>
      <c r="F336" s="63">
        <f t="shared" si="287"/>
        <v>1.2692307692307692</v>
      </c>
      <c r="G336" s="63">
        <f t="shared" si="287"/>
        <v>-0.5714285714285714</v>
      </c>
      <c r="H336" s="63">
        <f t="shared" si="287"/>
        <v>4.6363636363636367</v>
      </c>
      <c r="I336" s="63">
        <f t="shared" si="287"/>
        <v>2.8</v>
      </c>
      <c r="J336" s="62">
        <f>I336</f>
        <v>2.8</v>
      </c>
      <c r="K336" s="62">
        <f t="shared" ref="K336:N336" si="288">J336</f>
        <v>2.8</v>
      </c>
      <c r="L336" s="62">
        <f t="shared" si="288"/>
        <v>2.8</v>
      </c>
      <c r="M336" s="62">
        <f t="shared" si="288"/>
        <v>2.8</v>
      </c>
      <c r="N336" s="62">
        <f t="shared" si="288"/>
        <v>2.8</v>
      </c>
    </row>
    <row r="337" spans="1:14" x14ac:dyDescent="0.2">
      <c r="A337" s="45" t="s">
        <v>112</v>
      </c>
    </row>
    <row r="338" spans="1:14" x14ac:dyDescent="0.2">
      <c r="A338" s="46" t="s">
        <v>128</v>
      </c>
      <c r="J338" s="64"/>
      <c r="K338" s="64"/>
      <c r="L338" s="64"/>
      <c r="M338" s="64"/>
      <c r="N338" s="64"/>
    </row>
    <row r="339" spans="1:14" x14ac:dyDescent="0.2">
      <c r="A339" s="44" t="s">
        <v>136</v>
      </c>
      <c r="J339" s="49"/>
      <c r="K339" s="49"/>
      <c r="L339" s="49"/>
      <c r="M339" s="49"/>
      <c r="N339" s="49"/>
    </row>
    <row r="340" spans="1:14" x14ac:dyDescent="0.2">
      <c r="A340" s="44" t="s">
        <v>137</v>
      </c>
      <c r="J340" s="49"/>
      <c r="K340" s="49"/>
      <c r="L340" s="49"/>
      <c r="M340" s="49"/>
      <c r="N340" s="49"/>
    </row>
    <row r="341" spans="1:14" x14ac:dyDescent="0.2">
      <c r="A341" s="45" t="s">
        <v>113</v>
      </c>
    </row>
    <row r="342" spans="1:14" x14ac:dyDescent="0.2">
      <c r="A342" s="44" t="s">
        <v>128</v>
      </c>
      <c r="J342" s="64"/>
      <c r="K342" s="64"/>
      <c r="L342" s="64"/>
      <c r="M342" s="64"/>
      <c r="N342" s="64"/>
    </row>
    <row r="343" spans="1:14" x14ac:dyDescent="0.2">
      <c r="A343" s="44" t="s">
        <v>136</v>
      </c>
      <c r="J343" s="65"/>
      <c r="K343" s="65"/>
      <c r="L343" s="65"/>
      <c r="M343" s="65"/>
      <c r="N343" s="65"/>
    </row>
    <row r="344" spans="1:14" x14ac:dyDescent="0.2">
      <c r="A344" s="44" t="s">
        <v>137</v>
      </c>
      <c r="J344" s="65"/>
      <c r="K344" s="65"/>
      <c r="L344" s="65"/>
      <c r="M344" s="65"/>
      <c r="N344" s="65"/>
    </row>
    <row r="345" spans="1:14" x14ac:dyDescent="0.2">
      <c r="A345" s="45" t="s">
        <v>114</v>
      </c>
    </row>
    <row r="346" spans="1:14" x14ac:dyDescent="0.2">
      <c r="A346" s="44" t="s">
        <v>128</v>
      </c>
      <c r="J346" s="64"/>
      <c r="K346" s="64"/>
      <c r="L346" s="64"/>
      <c r="M346" s="64"/>
      <c r="N346" s="64"/>
    </row>
    <row r="347" spans="1:14" x14ac:dyDescent="0.2">
      <c r="A347" s="44" t="s">
        <v>136</v>
      </c>
      <c r="J347" s="65"/>
      <c r="K347" s="65"/>
      <c r="L347" s="65"/>
      <c r="M347" s="65"/>
      <c r="N347" s="65"/>
    </row>
    <row r="348" spans="1:14" x14ac:dyDescent="0.2">
      <c r="A348" s="44" t="s">
        <v>137</v>
      </c>
      <c r="J348" s="65"/>
      <c r="K348" s="65"/>
      <c r="L348" s="65"/>
      <c r="M348" s="65"/>
      <c r="N348" s="65"/>
    </row>
    <row r="349" spans="1:14" x14ac:dyDescent="0.2">
      <c r="A349" s="9" t="s">
        <v>129</v>
      </c>
      <c r="B349">
        <f>B352+B356</f>
        <v>-1022</v>
      </c>
      <c r="C349">
        <f t="shared" ref="C349:I349" si="289">C352+C356</f>
        <v>-1089</v>
      </c>
      <c r="D349">
        <f t="shared" si="289"/>
        <v>-633</v>
      </c>
      <c r="E349">
        <f t="shared" si="289"/>
        <v>-1346</v>
      </c>
      <c r="F349">
        <f t="shared" si="289"/>
        <v>-1694</v>
      </c>
      <c r="G349">
        <f t="shared" si="289"/>
        <v>-1855</v>
      </c>
      <c r="H349">
        <f t="shared" si="289"/>
        <v>-2120</v>
      </c>
      <c r="I349">
        <f t="shared" si="289"/>
        <v>-2085</v>
      </c>
      <c r="J349" s="48">
        <f>I349*(1+J350)</f>
        <v>-2119.4221698113206</v>
      </c>
      <c r="K349" s="48">
        <f t="shared" ref="K349:N349" si="290">J349*(1+K350)</f>
        <v>-2154.412630161979</v>
      </c>
      <c r="L349" s="48">
        <f t="shared" si="290"/>
        <v>-2189.9807632071056</v>
      </c>
      <c r="M349" s="48">
        <f t="shared" si="290"/>
        <v>-2226.1361059959017</v>
      </c>
      <c r="N349" s="48">
        <f t="shared" si="290"/>
        <v>-2262.8883530288526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1">-(D349/C349-1)</f>
        <v>0.41873278236914602</v>
      </c>
      <c r="E350" s="63">
        <f t="shared" si="291"/>
        <v>-1.126382306477093</v>
      </c>
      <c r="F350" s="63">
        <f t="shared" si="291"/>
        <v>-0.25854383358098065</v>
      </c>
      <c r="G350" s="63">
        <f t="shared" si="291"/>
        <v>-9.5041322314049603E-2</v>
      </c>
      <c r="H350" s="63">
        <f t="shared" si="291"/>
        <v>-0.14285714285714279</v>
      </c>
      <c r="I350" s="63">
        <f t="shared" si="291"/>
        <v>1.650943396226412E-2</v>
      </c>
      <c r="J350" s="67">
        <f>I350</f>
        <v>1.650943396226412E-2</v>
      </c>
      <c r="K350" s="67">
        <f t="shared" ref="K350:N350" si="292">J350</f>
        <v>1.650943396226412E-2</v>
      </c>
      <c r="L350" s="67">
        <f t="shared" si="292"/>
        <v>1.650943396226412E-2</v>
      </c>
      <c r="M350" s="67">
        <f t="shared" si="292"/>
        <v>1.650943396226412E-2</v>
      </c>
      <c r="N350" s="67">
        <f t="shared" si="292"/>
        <v>1.650943396226412E-2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N351" si="293">C349/C335</f>
        <v>12.662790697674419</v>
      </c>
      <c r="D351" s="63">
        <f t="shared" si="293"/>
        <v>-8.44</v>
      </c>
      <c r="E351" s="63">
        <f t="shared" si="293"/>
        <v>-51.769230769230766</v>
      </c>
      <c r="F351" s="63">
        <f t="shared" si="293"/>
        <v>242</v>
      </c>
      <c r="G351" s="63">
        <f t="shared" si="293"/>
        <v>168.63636363636363</v>
      </c>
      <c r="H351" s="63">
        <f t="shared" si="293"/>
        <v>-53</v>
      </c>
      <c r="I351" s="63">
        <f t="shared" si="293"/>
        <v>28.958333333333332</v>
      </c>
      <c r="J351" s="63">
        <f t="shared" si="293"/>
        <v>-7.7464260592519034</v>
      </c>
      <c r="K351" s="63">
        <f t="shared" si="293"/>
        <v>2.072188202294917</v>
      </c>
      <c r="L351" s="63">
        <f t="shared" si="293"/>
        <v>-0.55431548857318091</v>
      </c>
      <c r="M351" s="63">
        <f t="shared" si="293"/>
        <v>0.1482807693489579</v>
      </c>
      <c r="N351" s="63">
        <f t="shared" si="293"/>
        <v>-3.9665473925894271E-2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4">J352*(1+K353)</f>
        <v>159.09176693629067</v>
      </c>
      <c r="L352" s="48">
        <f t="shared" si="294"/>
        <v>173.12281360885771</v>
      </c>
      <c r="M352" s="48">
        <f t="shared" si="294"/>
        <v>185.40875084629383</v>
      </c>
      <c r="N352" s="48">
        <f t="shared" si="294"/>
        <v>199.00152552165591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5">D352/C352-1</f>
        <v>8.3333333333333259E-2</v>
      </c>
      <c r="E353" s="63">
        <f t="shared" si="295"/>
        <v>0.20879120879120872</v>
      </c>
      <c r="F353" s="63">
        <f t="shared" si="295"/>
        <v>5.4545454545454453E-2</v>
      </c>
      <c r="G353" s="63">
        <f t="shared" si="295"/>
        <v>-3.4482758620689613E-2</v>
      </c>
      <c r="H353" s="63">
        <f t="shared" si="295"/>
        <v>0.2589285714285714</v>
      </c>
      <c r="I353" s="63">
        <f t="shared" si="295"/>
        <v>-4.9645390070921946E-2</v>
      </c>
      <c r="J353" s="67">
        <f>AVERAGE(C353:I353)</f>
        <v>9.1638631343850904E-2</v>
      </c>
      <c r="K353" s="67">
        <f t="shared" ref="K353:N353" si="296">AVERAGE(D353:J353)</f>
        <v>8.7587007250115298E-2</v>
      </c>
      <c r="L353" s="67">
        <f t="shared" si="296"/>
        <v>8.8194674952512736E-2</v>
      </c>
      <c r="M353" s="67">
        <f t="shared" si="296"/>
        <v>7.0966598689841898E-2</v>
      </c>
      <c r="N353" s="67">
        <f t="shared" si="296"/>
        <v>7.3312476424754386E-2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N354" si="297">C352/C335</f>
        <v>-0.97674418604651159</v>
      </c>
      <c r="D354" s="63">
        <f t="shared" si="297"/>
        <v>1.2133333333333334</v>
      </c>
      <c r="E354" s="63">
        <f t="shared" si="297"/>
        <v>4.2307692307692308</v>
      </c>
      <c r="F354" s="63">
        <f t="shared" si="297"/>
        <v>-16.571428571428573</v>
      </c>
      <c r="G354" s="63">
        <f t="shared" si="297"/>
        <v>-10.181818181818182</v>
      </c>
      <c r="H354" s="63">
        <f t="shared" si="297"/>
        <v>3.5249999999999999</v>
      </c>
      <c r="I354" s="63">
        <f t="shared" si="297"/>
        <v>-1.8611111111111112</v>
      </c>
      <c r="J354" s="63">
        <f t="shared" si="297"/>
        <v>0.53464757529267559</v>
      </c>
      <c r="K354" s="63">
        <f t="shared" si="297"/>
        <v>-0.15301993588055046</v>
      </c>
      <c r="L354" s="63">
        <f t="shared" si="297"/>
        <v>4.3819862996523663E-2</v>
      </c>
      <c r="M354" s="63">
        <f t="shared" si="297"/>
        <v>-1.2349897270642583E-2</v>
      </c>
      <c r="N354" s="63">
        <f t="shared" si="297"/>
        <v>3.4882365324065017E-3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N355" si="298">C352/C362</f>
        <v>8.9647812166488788E-2</v>
      </c>
      <c r="D355" s="63">
        <f t="shared" si="298"/>
        <v>7.3505654281098551E-2</v>
      </c>
      <c r="E355" s="63">
        <f t="shared" si="298"/>
        <v>7.586206896551724E-2</v>
      </c>
      <c r="F355" s="63">
        <f t="shared" si="298"/>
        <v>6.9336521219366412E-2</v>
      </c>
      <c r="G355" s="63">
        <f t="shared" si="298"/>
        <v>5.845511482254697E-2</v>
      </c>
      <c r="H355" s="63">
        <f t="shared" si="298"/>
        <v>7.5401069518716571E-2</v>
      </c>
      <c r="I355" s="63">
        <f t="shared" si="298"/>
        <v>7.374793615850303E-2</v>
      </c>
      <c r="J355" s="63">
        <f t="shared" si="298"/>
        <v>8.2854375175001993E-2</v>
      </c>
      <c r="K355" s="63">
        <f t="shared" si="298"/>
        <v>9.273979604671255E-2</v>
      </c>
      <c r="L355" s="63">
        <f t="shared" si="298"/>
        <v>0.10386265307681973</v>
      </c>
      <c r="M355" s="63">
        <f t="shared" si="298"/>
        <v>0.11447799581431663</v>
      </c>
      <c r="N355" s="63">
        <f t="shared" si="298"/>
        <v>0.12645467056320572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I356*(1+J357)</f>
        <v>-2260.2198142414859</v>
      </c>
      <c r="K356" s="59">
        <f t="shared" ref="K356:N356" si="299">J356*(1+K357)</f>
        <v>-2302.2053216267768</v>
      </c>
      <c r="L356" s="59">
        <f t="shared" si="299"/>
        <v>-2344.9707455579241</v>
      </c>
      <c r="M356" s="59">
        <f t="shared" si="299"/>
        <v>-2388.5305736487835</v>
      </c>
      <c r="N356" s="59">
        <f t="shared" si="299"/>
        <v>-2432.8995626329715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0">-(D356/C356-1)</f>
        <v>0.38277919863597609</v>
      </c>
      <c r="E357" s="63">
        <f t="shared" si="300"/>
        <v>-1.0110497237569063</v>
      </c>
      <c r="F357" s="63">
        <f t="shared" si="300"/>
        <v>-0.24313186813186816</v>
      </c>
      <c r="G357" s="63">
        <f t="shared" si="300"/>
        <v>-8.6740331491712785E-2</v>
      </c>
      <c r="H357" s="63">
        <f t="shared" si="300"/>
        <v>-0.14946619217081847</v>
      </c>
      <c r="I357" s="63">
        <f t="shared" si="300"/>
        <v>1.8575851393188847E-2</v>
      </c>
      <c r="J357" s="47">
        <f>I357</f>
        <v>1.8575851393188847E-2</v>
      </c>
      <c r="K357" s="47">
        <f t="shared" ref="K357:N357" si="301">J357</f>
        <v>1.8575851393188847E-2</v>
      </c>
      <c r="L357" s="47">
        <f t="shared" si="301"/>
        <v>1.8575851393188847E-2</v>
      </c>
      <c r="M357" s="47">
        <f t="shared" si="301"/>
        <v>1.8575851393188847E-2</v>
      </c>
      <c r="N357" s="47">
        <f t="shared" si="301"/>
        <v>1.8575851393188847E-2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N358" si="302">C356/C335</f>
        <v>13.63953488372093</v>
      </c>
      <c r="D358" s="63">
        <f t="shared" si="302"/>
        <v>-9.6533333333333342</v>
      </c>
      <c r="E358" s="63">
        <f t="shared" si="302"/>
        <v>-56</v>
      </c>
      <c r="F358" s="63">
        <f t="shared" si="302"/>
        <v>258.57142857142856</v>
      </c>
      <c r="G358" s="63">
        <f t="shared" si="302"/>
        <v>178.81818181818181</v>
      </c>
      <c r="H358" s="63">
        <f t="shared" si="302"/>
        <v>-56.524999999999999</v>
      </c>
      <c r="I358" s="63">
        <f t="shared" si="302"/>
        <v>30.819444444444443</v>
      </c>
      <c r="J358" s="63">
        <f t="shared" si="302"/>
        <v>-8.2610373327539701</v>
      </c>
      <c r="K358" s="63">
        <f t="shared" si="302"/>
        <v>2.2143402985791565</v>
      </c>
      <c r="L358" s="63">
        <f t="shared" si="302"/>
        <v>-0.59354567234197686</v>
      </c>
      <c r="M358" s="63">
        <f t="shared" si="302"/>
        <v>0.15909770751222943</v>
      </c>
      <c r="N358" s="63">
        <f t="shared" si="302"/>
        <v>-4.2645548127361481E-2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3">J359*(1+K360)</f>
        <v>106.55487503377704</v>
      </c>
      <c r="L359" s="69">
        <f t="shared" si="303"/>
        <v>165.28777588119033</v>
      </c>
      <c r="M359" s="69">
        <f t="shared" si="303"/>
        <v>289.62426835521569</v>
      </c>
      <c r="N359" s="69">
        <f t="shared" si="303"/>
        <v>481.88806819814187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4">D359/C359-1</f>
        <v>-3.3245844269466307E-2</v>
      </c>
      <c r="E360" s="63">
        <f t="shared" si="304"/>
        <v>-0.85610859728506794</v>
      </c>
      <c r="F360" s="63">
        <f t="shared" si="304"/>
        <v>1.3710691823899372</v>
      </c>
      <c r="G360" s="63">
        <f t="shared" si="304"/>
        <v>-0.156498673740053</v>
      </c>
      <c r="H360" s="63">
        <f t="shared" si="304"/>
        <v>-0.96540880503144655</v>
      </c>
      <c r="I360" s="63">
        <f t="shared" si="304"/>
        <v>3.5454545454545459</v>
      </c>
      <c r="J360" s="67">
        <f>AVERAGE(C360:I360)</f>
        <v>0.44173967076698811</v>
      </c>
      <c r="K360" s="67">
        <f t="shared" ref="K360:N360" si="305">AVERAGE(D360:J360)</f>
        <v>0.47814306832649106</v>
      </c>
      <c r="L360" s="67">
        <f t="shared" si="305"/>
        <v>0.55119862726877067</v>
      </c>
      <c r="M360" s="67">
        <f t="shared" si="305"/>
        <v>0.75224251649074769</v>
      </c>
      <c r="N360" s="67">
        <f t="shared" si="305"/>
        <v>0.66383870707657766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N361" si="306">C359/C335</f>
        <v>-13.290697674418604</v>
      </c>
      <c r="D361" s="63">
        <f t="shared" si="306"/>
        <v>14.733333333333333</v>
      </c>
      <c r="E361" s="63">
        <f t="shared" si="306"/>
        <v>6.115384615384615</v>
      </c>
      <c r="F361" s="63">
        <f t="shared" si="306"/>
        <v>-53.857142857142854</v>
      </c>
      <c r="G361" s="63">
        <f t="shared" si="306"/>
        <v>-28.90909090909091</v>
      </c>
      <c r="H361" s="63">
        <f t="shared" si="306"/>
        <v>0.27500000000000002</v>
      </c>
      <c r="I361" s="63">
        <f t="shared" si="306"/>
        <v>-0.69444444444444442</v>
      </c>
      <c r="J361" s="63">
        <f t="shared" si="306"/>
        <v>0.26347581702613088</v>
      </c>
      <c r="K361" s="63">
        <f t="shared" si="306"/>
        <v>-0.10248814542337743</v>
      </c>
      <c r="L361" s="63">
        <f t="shared" si="306"/>
        <v>4.1836702761069794E-2</v>
      </c>
      <c r="M361" s="63">
        <f t="shared" si="306"/>
        <v>-1.9291591928350622E-2</v>
      </c>
      <c r="N361" s="63">
        <f t="shared" si="306"/>
        <v>8.4468677293462746E-3</v>
      </c>
    </row>
    <row r="362" spans="1:14" x14ac:dyDescent="0.2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07">J362*(1+K363)</f>
        <v>1715.4638431181904</v>
      </c>
      <c r="L362" s="69">
        <f t="shared" si="307"/>
        <v>1666.8437448907764</v>
      </c>
      <c r="M362" s="69">
        <f t="shared" si="307"/>
        <v>1619.6016494473481</v>
      </c>
      <c r="N362" s="69">
        <f t="shared" si="307"/>
        <v>1573.6985010940275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08">D362/C362-1</f>
        <v>0.32123799359658478</v>
      </c>
      <c r="E363" s="63">
        <f t="shared" si="308"/>
        <v>0.17124394184168024</v>
      </c>
      <c r="F363" s="63">
        <f t="shared" si="308"/>
        <v>0.15379310344827579</v>
      </c>
      <c r="G363" s="63">
        <f t="shared" si="308"/>
        <v>0.14524805738194857</v>
      </c>
      <c r="H363" s="63">
        <f t="shared" si="308"/>
        <v>-2.4008350730688965E-2</v>
      </c>
      <c r="I363" s="63">
        <f t="shared" si="308"/>
        <v>-2.8342245989304793E-2</v>
      </c>
      <c r="J363" s="47">
        <f>I363</f>
        <v>-2.8342245989304793E-2</v>
      </c>
      <c r="K363" s="47">
        <f t="shared" ref="K363:N363" si="309">J363</f>
        <v>-2.8342245989304793E-2</v>
      </c>
      <c r="L363" s="47">
        <f t="shared" si="309"/>
        <v>-2.8342245989304793E-2</v>
      </c>
      <c r="M363" s="47">
        <f t="shared" si="309"/>
        <v>-2.8342245989304793E-2</v>
      </c>
      <c r="N363" s="47">
        <f t="shared" si="309"/>
        <v>-2.8342245989304793E-2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N364" si="310">C362/C335</f>
        <v>-10.895348837209303</v>
      </c>
      <c r="D364" s="63">
        <f t="shared" si="310"/>
        <v>16.506666666666668</v>
      </c>
      <c r="E364" s="63">
        <f t="shared" si="310"/>
        <v>55.769230769230766</v>
      </c>
      <c r="F364" s="63">
        <f t="shared" si="310"/>
        <v>-239</v>
      </c>
      <c r="G364" s="63">
        <f t="shared" si="310"/>
        <v>-174.18181818181819</v>
      </c>
      <c r="H364" s="63">
        <f t="shared" si="310"/>
        <v>46.75</v>
      </c>
      <c r="I364" s="63">
        <f t="shared" si="310"/>
        <v>-25.236111111111111</v>
      </c>
      <c r="J364" s="63">
        <f t="shared" si="310"/>
        <v>6.4528586953122566</v>
      </c>
      <c r="K364" s="63">
        <f t="shared" si="310"/>
        <v>-1.6499921544303928</v>
      </c>
      <c r="L364" s="63">
        <f t="shared" si="310"/>
        <v>0.42190201866029042</v>
      </c>
      <c r="M364" s="63">
        <f t="shared" si="310"/>
        <v>-0.10788009680632532</v>
      </c>
      <c r="N364" s="63">
        <f t="shared" si="310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workbookViewId="0">
      <selection activeCell="J7" sqref="J7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8626.011695453024</v>
      </c>
      <c r="K5" s="9">
        <f>'Segmental forecast'!K5</f>
        <v>11027.076440700039</v>
      </c>
      <c r="L5" s="9">
        <f>'Segmental forecast'!L5</f>
        <v>14272.995640367593</v>
      </c>
      <c r="M5" s="9">
        <f>'Segmental forecast'!M5</f>
        <v>18653.775784042675</v>
      </c>
      <c r="N5" s="9">
        <f>'Segmental forecast'!N5</f>
        <v>24225.547351707693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12498.263849259416</v>
      </c>
      <c r="K7" s="5">
        <f>'Segmental forecast'!K11</f>
        <v>16218.360249637481</v>
      </c>
      <c r="L7" s="5">
        <f>'Segmental forecast'!L11</f>
        <v>20393.501009487172</v>
      </c>
      <c r="M7" s="5">
        <f>'Segmental forecast'!M11</f>
        <v>25594.127340361734</v>
      </c>
      <c r="N7" s="5">
        <f>'Segmental forecast'!N11</f>
        <v>32221.169769525011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12293.263849259416</v>
      </c>
      <c r="K11" s="5">
        <f t="shared" si="6"/>
        <v>16013.360249637481</v>
      </c>
      <c r="L11" s="5">
        <f t="shared" si="6"/>
        <v>20188.501009487172</v>
      </c>
      <c r="M11" s="5">
        <f t="shared" si="6"/>
        <v>25389.127340361734</v>
      </c>
      <c r="N11" s="5">
        <f t="shared" si="6"/>
        <v>32016.169769525011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1966.9222158815066</v>
      </c>
      <c r="K12" s="3">
        <f t="shared" ref="K12:N12" si="7">K11*K13</f>
        <v>2428.1335396948402</v>
      </c>
      <c r="L12" s="3">
        <f t="shared" si="7"/>
        <v>3874.4469713088702</v>
      </c>
      <c r="M12" s="3">
        <f t="shared" si="7"/>
        <v>5016.9110604314055</v>
      </c>
      <c r="N12" s="3">
        <f t="shared" si="7"/>
        <v>6509.341896968006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0.16</v>
      </c>
      <c r="K13" s="57">
        <f>AVERAGE(C13,B13,D13,F13,G13,H13,I13,J13)</f>
        <v>0.15163173136942384</v>
      </c>
      <c r="L13" s="57">
        <f t="shared" ref="L13:N13" si="9">AVERAGE(D13,C13,E13,G13,H13,I13,J13,K13)</f>
        <v>0.19191355363571339</v>
      </c>
      <c r="M13" s="57">
        <f t="shared" si="9"/>
        <v>0.1976007679655809</v>
      </c>
      <c r="N13" s="57">
        <f t="shared" si="9"/>
        <v>0.2033141985386398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>
        <f>J11-J12</f>
        <v>10326.34163337791</v>
      </c>
      <c r="K14" s="7">
        <f t="shared" ref="K14:N14" si="11">K11-K12</f>
        <v>13585.226709942641</v>
      </c>
      <c r="L14" s="7">
        <f t="shared" si="11"/>
        <v>16314.054038178303</v>
      </c>
      <c r="M14" s="7">
        <f t="shared" si="11"/>
        <v>20372.21627993033</v>
      </c>
      <c r="N14" s="7">
        <f t="shared" si="11"/>
        <v>25506.827872557005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2">J15</f>
        <v>1610.8</v>
      </c>
      <c r="L15" s="3">
        <f t="shared" si="12"/>
        <v>1610.8</v>
      </c>
      <c r="M15" s="3">
        <f t="shared" si="12"/>
        <v>1610.8</v>
      </c>
      <c r="N15" s="3">
        <f t="shared" si="12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3">C14/C15</f>
        <v>2.1578192252510759</v>
      </c>
      <c r="D16" s="58">
        <f t="shared" si="13"/>
        <v>2.5059101654846336</v>
      </c>
      <c r="E16" s="58">
        <f t="shared" si="13"/>
        <v>1.165159734779988</v>
      </c>
      <c r="F16" s="58">
        <f t="shared" si="13"/>
        <v>2.4901112484548826</v>
      </c>
      <c r="G16" s="58">
        <f t="shared" si="13"/>
        <v>1.5952500628298569</v>
      </c>
      <c r="H16" s="58">
        <f t="shared" si="13"/>
        <v>3.5584689946563937</v>
      </c>
      <c r="I16" s="58">
        <f t="shared" si="13"/>
        <v>3.7534144524459898</v>
      </c>
      <c r="J16" s="58">
        <f t="shared" si="13"/>
        <v>6.4106913542202069</v>
      </c>
      <c r="K16" s="58">
        <f t="shared" si="13"/>
        <v>8.4338382852884539</v>
      </c>
      <c r="L16" s="58">
        <f t="shared" si="13"/>
        <v>10.12792031175708</v>
      </c>
      <c r="M16" s="58">
        <f t="shared" si="13"/>
        <v>12.647266128588484</v>
      </c>
      <c r="N16" s="58">
        <f t="shared" si="13"/>
        <v>15.834881967070404</v>
      </c>
      <c r="O16" s="58"/>
    </row>
    <row r="17" spans="1:15" x14ac:dyDescent="0.2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6.4179276793811573</v>
      </c>
      <c r="K17" s="58">
        <f t="shared" ref="K17:N17" si="14">K16*K19</f>
        <v>8.444780234156692</v>
      </c>
      <c r="L17" s="58">
        <f t="shared" si="14"/>
        <v>10.14142316047165</v>
      </c>
      <c r="M17" s="58">
        <f t="shared" si="14"/>
        <v>12.663655398064225</v>
      </c>
      <c r="N17" s="58">
        <f t="shared" si="14"/>
        <v>15.849744400928136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5">-(D17/C17-1)</f>
        <v>-0.16203703703703676</v>
      </c>
      <c r="E18" s="56">
        <f t="shared" si="15"/>
        <v>0.53386454183266929</v>
      </c>
      <c r="F18" s="56">
        <f t="shared" si="15"/>
        <v>-1.1282051282051286</v>
      </c>
      <c r="G18" s="56">
        <f t="shared" si="15"/>
        <v>0.35742971887550201</v>
      </c>
      <c r="H18" s="56">
        <f t="shared" si="15"/>
        <v>-1.2250000000000001</v>
      </c>
      <c r="I18" s="56">
        <f t="shared" si="15"/>
        <v>-5.3370786516854007E-2</v>
      </c>
      <c r="J18" s="57">
        <f>AVERAGE(C18:I18)</f>
        <v>-0.26355517980263082</v>
      </c>
      <c r="K18" s="57">
        <f t="shared" ref="K18:N18" si="16">AVERAGE(D18:J18)</f>
        <v>-0.2772676958362113</v>
      </c>
      <c r="L18" s="57">
        <f t="shared" si="16"/>
        <v>-0.29372921852180767</v>
      </c>
      <c r="M18" s="57">
        <f t="shared" si="16"/>
        <v>-0.41195689857244722</v>
      </c>
      <c r="N18" s="57">
        <f t="shared" si="16"/>
        <v>-0.30963572291063557</v>
      </c>
      <c r="O18" s="57"/>
    </row>
    <row r="19" spans="1:15" x14ac:dyDescent="0.2">
      <c r="A19" s="51" t="s">
        <v>149</v>
      </c>
      <c r="B19" s="56">
        <f>B17/B16</f>
        <v>0.99978001833180574</v>
      </c>
      <c r="C19" s="56">
        <f t="shared" ref="C19:I19" si="17">C17/C16</f>
        <v>1.0010106382978725</v>
      </c>
      <c r="D19" s="56">
        <f t="shared" si="17"/>
        <v>1.0016320754716981</v>
      </c>
      <c r="E19" s="56">
        <f t="shared" si="17"/>
        <v>1.0041541645111225</v>
      </c>
      <c r="F19" s="56">
        <f t="shared" si="17"/>
        <v>0.9999553239017126</v>
      </c>
      <c r="G19" s="56">
        <f t="shared" si="17"/>
        <v>1.0029775502166207</v>
      </c>
      <c r="H19" s="56">
        <f t="shared" si="17"/>
        <v>1.0004302427099703</v>
      </c>
      <c r="I19" s="56">
        <f t="shared" si="17"/>
        <v>0.99909030764141571</v>
      </c>
      <c r="J19" s="56">
        <f>AVERAGE(B19:I19)</f>
        <v>1.0011287901352772</v>
      </c>
      <c r="K19" s="56">
        <f t="shared" ref="K19:N19" si="18">AVERAGE(C19:J19)</f>
        <v>1.0012973866107113</v>
      </c>
      <c r="L19" s="56">
        <f t="shared" si="18"/>
        <v>1.0013332301498161</v>
      </c>
      <c r="M19" s="56">
        <f t="shared" si="18"/>
        <v>1.0012958744845808</v>
      </c>
      <c r="N19" s="56">
        <f t="shared" si="18"/>
        <v>1.0009385882312631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45663.185717508371</v>
      </c>
      <c r="K21" s="3">
        <f t="shared" ref="K21:N21" si="19">J21</f>
        <v>45663.185717508371</v>
      </c>
      <c r="L21" s="3">
        <f t="shared" si="19"/>
        <v>45663.185717508371</v>
      </c>
      <c r="M21" s="3">
        <f t="shared" si="19"/>
        <v>45663.185717508371</v>
      </c>
      <c r="N21" s="3">
        <f t="shared" si="19"/>
        <v>45663.185717508371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0">J22</f>
        <v>4423</v>
      </c>
      <c r="L22" s="3">
        <f t="shared" si="20"/>
        <v>4423</v>
      </c>
      <c r="M22" s="3">
        <f t="shared" si="20"/>
        <v>4423</v>
      </c>
      <c r="N22" s="3">
        <f t="shared" si="20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1">K24*K3</f>
        <v>11832.847166474896</v>
      </c>
      <c r="L23" s="3">
        <f t="shared" si="21"/>
        <v>14765.770364786835</v>
      </c>
      <c r="M23" s="3">
        <f t="shared" si="21"/>
        <v>13353.265098867167</v>
      </c>
      <c r="N23" s="3">
        <f t="shared" si="21"/>
        <v>30348.937325638224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2">C23/C3</f>
        <v>0.1818631084754139</v>
      </c>
      <c r="D24" s="56">
        <f t="shared" si="22"/>
        <v>0.19458515283842795</v>
      </c>
      <c r="E24" s="56">
        <f t="shared" si="22"/>
        <v>0.17803665137236585</v>
      </c>
      <c r="F24" s="56">
        <f t="shared" si="22"/>
        <v>0.18615947030702765</v>
      </c>
      <c r="G24" s="56">
        <f t="shared" si="22"/>
        <v>0.21035745795791783</v>
      </c>
      <c r="H24" s="56">
        <f t="shared" si="22"/>
        <v>0.19042166240064665</v>
      </c>
      <c r="I24" s="56">
        <f t="shared" si="22"/>
        <v>0.20828516377649325</v>
      </c>
      <c r="J24" s="56">
        <f>AVERAGE(B24:I24)</f>
        <v>0.19144159881536918</v>
      </c>
      <c r="K24" s="56">
        <f t="shared" ref="K24:N24" si="23">AVERAGE(C24:J24)</f>
        <v>0.19264378324295781</v>
      </c>
      <c r="L24" s="56">
        <f t="shared" si="23"/>
        <v>0.19399136758890076</v>
      </c>
      <c r="M24" s="56">
        <f t="shared" si="23"/>
        <v>0.19391714443270985</v>
      </c>
      <c r="N24" s="56">
        <f t="shared" si="23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J67+J52-J47</f>
        <v>9991.7534553743972</v>
      </c>
      <c r="K25" s="3">
        <f t="shared" ref="K25:N25" si="24">K67+K52-K47</f>
        <v>10099.835723663035</v>
      </c>
      <c r="L25" s="3">
        <f t="shared" si="24"/>
        <v>10262.184316610548</v>
      </c>
      <c r="M25" s="3">
        <f t="shared" si="24"/>
        <v>10535.511540072082</v>
      </c>
      <c r="N25" s="3">
        <f t="shared" si="24"/>
        <v>10900.080256412959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5">J26+K52-K47</f>
        <v>5104.5891790374326</v>
      </c>
      <c r="L26" s="3">
        <f t="shared" si="25"/>
        <v>5477.7734956479817</v>
      </c>
      <c r="M26" s="3">
        <f t="shared" si="25"/>
        <v>6124.2850357200632</v>
      </c>
      <c r="N26" s="3">
        <f t="shared" si="25"/>
        <v>7135.3652921330222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6">J27</f>
        <v>286</v>
      </c>
      <c r="L27" s="3">
        <f t="shared" si="26"/>
        <v>286</v>
      </c>
      <c r="M27" s="3">
        <f t="shared" si="26"/>
        <v>286</v>
      </c>
      <c r="N27" s="3">
        <f t="shared" si="26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7">J28</f>
        <v>284</v>
      </c>
      <c r="L28" s="3">
        <f t="shared" si="27"/>
        <v>284</v>
      </c>
      <c r="M28" s="3">
        <f t="shared" si="27"/>
        <v>284</v>
      </c>
      <c r="N28" s="3">
        <f t="shared" si="27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28">J29</f>
        <v>2926</v>
      </c>
      <c r="L29" s="3">
        <f t="shared" si="28"/>
        <v>2926</v>
      </c>
      <c r="M29" s="3">
        <f t="shared" si="28"/>
        <v>2926</v>
      </c>
      <c r="N29" s="3">
        <f t="shared" si="28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28"/>
        <v>3821</v>
      </c>
      <c r="L30" s="3">
        <f t="shared" si="28"/>
        <v>3821</v>
      </c>
      <c r="M30" s="3">
        <f t="shared" si="28"/>
        <v>3821</v>
      </c>
      <c r="N30" s="3">
        <f t="shared" si="28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29">C21+C22+C23+C25+C26+C27+C28+C29+C30</f>
        <v>19205</v>
      </c>
      <c r="D31" s="7">
        <f t="shared" si="29"/>
        <v>21211</v>
      </c>
      <c r="E31" s="7">
        <f t="shared" si="29"/>
        <v>20257</v>
      </c>
      <c r="F31" s="7">
        <f t="shared" si="29"/>
        <v>21105</v>
      </c>
      <c r="G31" s="7">
        <f t="shared" si="29"/>
        <v>29094</v>
      </c>
      <c r="H31" s="7">
        <f t="shared" si="29"/>
        <v>34904</v>
      </c>
      <c r="I31" s="7">
        <f t="shared" si="29"/>
        <v>36963</v>
      </c>
      <c r="J31" s="7">
        <f t="shared" si="29"/>
        <v>82737.966683254606</v>
      </c>
      <c r="K31" s="7">
        <f t="shared" si="29"/>
        <v>84440.457786683735</v>
      </c>
      <c r="L31" s="7">
        <f t="shared" si="29"/>
        <v>87908.913894553742</v>
      </c>
      <c r="M31" s="7">
        <f t="shared" si="29"/>
        <v>87416.247392167686</v>
      </c>
      <c r="N31" s="7">
        <f t="shared" si="29"/>
        <v>105787.56859169257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0">C33+C34</f>
        <v>45</v>
      </c>
      <c r="D32" s="3">
        <f t="shared" si="30"/>
        <v>331</v>
      </c>
      <c r="E32" s="3">
        <f t="shared" si="30"/>
        <v>342</v>
      </c>
      <c r="F32" s="3">
        <f t="shared" si="30"/>
        <v>15</v>
      </c>
      <c r="G32" s="3">
        <f t="shared" si="30"/>
        <v>251</v>
      </c>
      <c r="H32" s="3">
        <f t="shared" si="30"/>
        <v>2</v>
      </c>
      <c r="I32" s="3">
        <f t="shared" si="30"/>
        <v>510</v>
      </c>
      <c r="J32" s="3">
        <f t="shared" ref="J32:J40" si="31">I32</f>
        <v>510</v>
      </c>
      <c r="K32" s="3">
        <f t="shared" ref="K32:N39" si="32">J32</f>
        <v>510</v>
      </c>
      <c r="L32" s="3">
        <f t="shared" si="32"/>
        <v>510</v>
      </c>
      <c r="M32" s="3">
        <f t="shared" si="32"/>
        <v>510</v>
      </c>
      <c r="N32" s="3">
        <f t="shared" si="32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1"/>
        <v>500</v>
      </c>
      <c r="K33" s="3">
        <f t="shared" si="32"/>
        <v>500</v>
      </c>
      <c r="L33" s="3">
        <f t="shared" si="32"/>
        <v>500</v>
      </c>
      <c r="M33" s="3">
        <f t="shared" si="32"/>
        <v>500</v>
      </c>
      <c r="N33" s="3">
        <f t="shared" si="32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1"/>
        <v>10</v>
      </c>
      <c r="K34" s="3">
        <f t="shared" si="32"/>
        <v>10</v>
      </c>
      <c r="L34" s="3">
        <f t="shared" si="32"/>
        <v>10</v>
      </c>
      <c r="M34" s="3">
        <f t="shared" si="32"/>
        <v>10</v>
      </c>
      <c r="N34" s="3">
        <f t="shared" si="32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1"/>
        <v>6862</v>
      </c>
      <c r="K35" s="3">
        <f t="shared" si="32"/>
        <v>6862</v>
      </c>
      <c r="L35" s="3">
        <f t="shared" si="32"/>
        <v>6862</v>
      </c>
      <c r="M35" s="3">
        <f t="shared" si="32"/>
        <v>6862</v>
      </c>
      <c r="N35" s="3">
        <f t="shared" si="32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1"/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1"/>
        <v>2777</v>
      </c>
      <c r="K37" s="3">
        <f t="shared" si="32"/>
        <v>2777</v>
      </c>
      <c r="L37" s="3">
        <f t="shared" si="32"/>
        <v>2777</v>
      </c>
      <c r="M37" s="3">
        <f t="shared" si="32"/>
        <v>2777</v>
      </c>
      <c r="N37" s="3">
        <f t="shared" si="32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1"/>
        <v>2613</v>
      </c>
      <c r="K38" s="3">
        <f t="shared" si="32"/>
        <v>2613</v>
      </c>
      <c r="L38" s="3">
        <f t="shared" si="32"/>
        <v>2613</v>
      </c>
      <c r="M38" s="3">
        <f t="shared" si="32"/>
        <v>2613</v>
      </c>
      <c r="N38" s="3">
        <f t="shared" si="32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3">C40+C41+C42</f>
        <v>12258</v>
      </c>
      <c r="D39" s="3">
        <f t="shared" si="33"/>
        <v>12407</v>
      </c>
      <c r="E39" s="3">
        <f t="shared" si="33"/>
        <v>9812</v>
      </c>
      <c r="F39" s="3">
        <f t="shared" si="33"/>
        <v>9040</v>
      </c>
      <c r="G39" s="3">
        <f t="shared" si="33"/>
        <v>8055</v>
      </c>
      <c r="H39" s="3">
        <f t="shared" si="33"/>
        <v>12767</v>
      </c>
      <c r="I39" s="3">
        <f t="shared" si="33"/>
        <v>15281</v>
      </c>
      <c r="J39" s="3">
        <f t="shared" si="31"/>
        <v>15281</v>
      </c>
      <c r="K39" s="3">
        <f t="shared" si="32"/>
        <v>15281</v>
      </c>
      <c r="L39" s="3">
        <f t="shared" si="32"/>
        <v>15281</v>
      </c>
      <c r="M39" s="3">
        <f t="shared" si="32"/>
        <v>15281</v>
      </c>
      <c r="N39" s="3">
        <f t="shared" si="32"/>
        <v>15281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1"/>
        <v>3</v>
      </c>
      <c r="K40" s="3">
        <f t="shared" ref="K40:N40" si="34">J40</f>
        <v>3</v>
      </c>
      <c r="L40" s="3">
        <f t="shared" si="34"/>
        <v>3</v>
      </c>
      <c r="M40" s="3">
        <f t="shared" si="34"/>
        <v>3</v>
      </c>
      <c r="N40" s="3">
        <f t="shared" si="34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</f>
        <v>3464.3437274307416</v>
      </c>
      <c r="K41" s="3">
        <f t="shared" ref="K41:N41" si="35">J41+K14-K61</f>
        <v>3446.7184361937834</v>
      </c>
      <c r="L41" s="3">
        <f t="shared" si="35"/>
        <v>3424.9680474843535</v>
      </c>
      <c r="M41" s="3">
        <f t="shared" si="35"/>
        <v>3398.5682122128273</v>
      </c>
      <c r="N41" s="3">
        <f t="shared" si="35"/>
        <v>3374.6278037547927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6">J42</f>
        <v>11802</v>
      </c>
      <c r="L42" s="3">
        <f t="shared" si="36"/>
        <v>11802</v>
      </c>
      <c r="M42" s="3">
        <f t="shared" si="36"/>
        <v>11802</v>
      </c>
      <c r="N42" s="3">
        <f t="shared" si="36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37">C32+C35+C36+C38+C39</f>
        <v>19205</v>
      </c>
      <c r="D43" s="7">
        <f t="shared" si="37"/>
        <v>21211</v>
      </c>
      <c r="E43" s="7">
        <f t="shared" si="37"/>
        <v>20257</v>
      </c>
      <c r="F43" s="7">
        <f t="shared" si="37"/>
        <v>21105</v>
      </c>
      <c r="G43" s="7">
        <f>G32+G35+G36+G38+G39+G37</f>
        <v>29094</v>
      </c>
      <c r="H43" s="7">
        <f t="shared" ref="H43:N43" si="38">H32+H35+H36+H38+H39+H37</f>
        <v>34904</v>
      </c>
      <c r="I43" s="7">
        <f t="shared" si="38"/>
        <v>36963</v>
      </c>
      <c r="J43" s="7">
        <f t="shared" si="38"/>
        <v>36963</v>
      </c>
      <c r="K43" s="7">
        <f t="shared" si="38"/>
        <v>36963</v>
      </c>
      <c r="L43" s="7">
        <f t="shared" si="38"/>
        <v>36963</v>
      </c>
      <c r="M43" s="7">
        <f t="shared" si="38"/>
        <v>36963</v>
      </c>
      <c r="N43" s="7">
        <f t="shared" si="38"/>
        <v>36963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12498.263849259416</v>
      </c>
      <c r="K46" s="9">
        <f>'Segmental forecast'!K11</f>
        <v>16218.360249637481</v>
      </c>
      <c r="L46" s="9">
        <f>'Segmental forecast'!L11</f>
        <v>20393.501009487172</v>
      </c>
      <c r="M46" s="9">
        <f>'Segmental forecast'!M11</f>
        <v>25594.127340361734</v>
      </c>
      <c r="N46" s="9">
        <f>'Segmental forecast'!N11</f>
        <v>32221.169769525011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39">J48</f>
        <v>1231</v>
      </c>
      <c r="L48" s="3">
        <f t="shared" si="39"/>
        <v>1231</v>
      </c>
      <c r="M48" s="3">
        <f t="shared" si="39"/>
        <v>1231</v>
      </c>
      <c r="N48" s="3">
        <f t="shared" si="39"/>
        <v>1231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40">C46-C48</f>
        <v>3894</v>
      </c>
      <c r="D49" s="9">
        <f t="shared" si="40"/>
        <v>4242</v>
      </c>
      <c r="E49" s="9">
        <f t="shared" si="40"/>
        <v>3850</v>
      </c>
      <c r="F49" s="9">
        <f t="shared" si="40"/>
        <v>4093</v>
      </c>
      <c r="G49" s="9">
        <f t="shared" si="40"/>
        <v>1948</v>
      </c>
      <c r="H49" s="9">
        <f t="shared" si="40"/>
        <v>5746</v>
      </c>
      <c r="I49" s="9">
        <f t="shared" si="40"/>
        <v>5625</v>
      </c>
      <c r="J49" s="9">
        <f t="shared" si="40"/>
        <v>11267.263849259416</v>
      </c>
      <c r="K49" s="9">
        <f t="shared" si="40"/>
        <v>14987.360249637481</v>
      </c>
      <c r="L49" s="9">
        <f t="shared" si="40"/>
        <v>19162.501009487172</v>
      </c>
      <c r="M49" s="9">
        <f t="shared" si="40"/>
        <v>24363.127340361734</v>
      </c>
      <c r="N49" s="9">
        <f t="shared" si="40"/>
        <v>30990.169769525011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1">K70/K10</f>
        <v>32.453658536585365</v>
      </c>
      <c r="L50" s="3">
        <f t="shared" si="41"/>
        <v>32.453658536585365</v>
      </c>
      <c r="M50" s="3">
        <f t="shared" si="41"/>
        <v>32.453658536585365</v>
      </c>
      <c r="N50" s="3">
        <f t="shared" si="41"/>
        <v>32.453658536585365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2">C23-D23</f>
        <v>-796</v>
      </c>
      <c r="E51" s="3">
        <f t="shared" si="42"/>
        <v>204</v>
      </c>
      <c r="F51" s="3">
        <f t="shared" si="42"/>
        <v>-802</v>
      </c>
      <c r="G51" s="3">
        <f t="shared" si="42"/>
        <v>-586</v>
      </c>
      <c r="H51" s="3">
        <f t="shared" si="42"/>
        <v>-613</v>
      </c>
      <c r="I51" s="3">
        <f t="shared" si="42"/>
        <v>-1248</v>
      </c>
      <c r="J51" s="3">
        <f t="shared" ref="J51" si="43">I23-J23</f>
        <v>-720.27405499745873</v>
      </c>
      <c r="K51" s="3">
        <f t="shared" ref="K51" si="44">J23-K23</f>
        <v>-1383.5731114774371</v>
      </c>
      <c r="L51" s="3">
        <f t="shared" ref="L51" si="45">K23-L23</f>
        <v>-2932.9231983119389</v>
      </c>
      <c r="M51" s="3">
        <f t="shared" ref="M51" si="46">L23-M23</f>
        <v>1412.5052659196681</v>
      </c>
      <c r="N51" s="3">
        <f t="shared" ref="N51" si="47">M23-N23</f>
        <v>-16995.672226771057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48">C49+C47-C50+C51+C52</f>
        <v>3006</v>
      </c>
      <c r="D53" s="9">
        <f t="shared" si="48"/>
        <v>2949</v>
      </c>
      <c r="E53" s="9">
        <f t="shared" si="48"/>
        <v>3648</v>
      </c>
      <c r="F53" s="9">
        <f t="shared" si="48"/>
        <v>2724</v>
      </c>
      <c r="G53" s="9">
        <f t="shared" si="48"/>
        <v>857</v>
      </c>
      <c r="H53" s="9">
        <f t="shared" si="48"/>
        <v>4889</v>
      </c>
      <c r="I53" s="9">
        <f t="shared" si="48"/>
        <v>4046</v>
      </c>
      <c r="J53" s="9">
        <f t="shared" si="48"/>
        <v>12062.002125693703</v>
      </c>
      <c r="K53" s="9">
        <f t="shared" si="48"/>
        <v>15235.899381047413</v>
      </c>
      <c r="L53" s="9">
        <f t="shared" si="48"/>
        <v>18032.791260383805</v>
      </c>
      <c r="M53" s="9">
        <f t="shared" si="48"/>
        <v>27852.11643447532</v>
      </c>
      <c r="N53" s="9">
        <f t="shared" si="48"/>
        <v>16441.015370117097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>
        <f>J70/J10</f>
        <v>32.453658536585365</v>
      </c>
      <c r="K54" s="3">
        <f t="shared" ref="K54:N54" si="49">K70/K10</f>
        <v>32.453658536585365</v>
      </c>
      <c r="L54" s="3">
        <f t="shared" si="49"/>
        <v>32.453658536585365</v>
      </c>
      <c r="M54" s="3">
        <f t="shared" si="49"/>
        <v>32.453658536585365</v>
      </c>
      <c r="N54" s="3">
        <f t="shared" si="49"/>
        <v>32.453658536585365</v>
      </c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50">C49+C51+C47+C54</f>
        <v>3096</v>
      </c>
      <c r="D55" s="26">
        <f t="shared" si="50"/>
        <v>3640</v>
      </c>
      <c r="E55" s="26">
        <f t="shared" si="50"/>
        <v>4955</v>
      </c>
      <c r="F55" s="26">
        <f t="shared" si="50"/>
        <v>5813</v>
      </c>
      <c r="G55" s="26">
        <f t="shared" si="50"/>
        <v>2485</v>
      </c>
      <c r="H55" s="26">
        <f t="shared" si="50"/>
        <v>6657</v>
      </c>
      <c r="I55" s="26">
        <f>I49+I51+I47+I54</f>
        <v>5188</v>
      </c>
      <c r="J55" s="26">
        <f t="shared" ref="J55:M55" si="51">J49+J51+J47+J54</f>
        <v>11301.799720095511</v>
      </c>
      <c r="K55" s="26">
        <f t="shared" si="51"/>
        <v>14363.10588557709</v>
      </c>
      <c r="L55" s="26">
        <f t="shared" si="51"/>
        <v>16993.272865279123</v>
      </c>
      <c r="M55" s="26">
        <f t="shared" si="51"/>
        <v>26539.2992381472</v>
      </c>
      <c r="N55" s="26">
        <f t="shared" ref="N55" si="52">N49+N51+N47+N54</f>
        <v>14760.896816033925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I57</f>
        <v>-766</v>
      </c>
      <c r="K57" s="3">
        <f t="shared" ref="K57:N57" si="53">J57</f>
        <v>-766</v>
      </c>
      <c r="L57" s="3">
        <f t="shared" si="53"/>
        <v>-766</v>
      </c>
      <c r="M57" s="3">
        <f t="shared" si="53"/>
        <v>-766</v>
      </c>
      <c r="N57" s="3">
        <f t="shared" si="53"/>
        <v>-766</v>
      </c>
      <c r="O57" s="3"/>
    </row>
    <row r="58" spans="1:15" x14ac:dyDescent="0.2">
      <c r="A58" s="27" t="s">
        <v>178</v>
      </c>
      <c r="B58" s="26">
        <f>B52+B57</f>
        <v>-175</v>
      </c>
      <c r="C58" s="26">
        <f t="shared" ref="C58:N58" si="54">C52+C57</f>
        <v>-1034</v>
      </c>
      <c r="D58" s="26">
        <f t="shared" si="54"/>
        <v>-1008</v>
      </c>
      <c r="E58" s="26">
        <f t="shared" si="54"/>
        <v>276</v>
      </c>
      <c r="F58" s="26">
        <f t="shared" si="54"/>
        <v>-264</v>
      </c>
      <c r="G58" s="26">
        <f t="shared" si="54"/>
        <v>-1028</v>
      </c>
      <c r="H58" s="26">
        <f t="shared" si="54"/>
        <v>-3800</v>
      </c>
      <c r="I58" s="26">
        <f t="shared" si="54"/>
        <v>-1524</v>
      </c>
      <c r="J58" s="26">
        <f t="shared" si="54"/>
        <v>59.109722671364807</v>
      </c>
      <c r="K58" s="26">
        <f t="shared" si="54"/>
        <v>171.70081254349566</v>
      </c>
      <c r="L58" s="26">
        <f t="shared" si="54"/>
        <v>338.42571217785235</v>
      </c>
      <c r="M58" s="26">
        <f t="shared" si="54"/>
        <v>611.7245134012901</v>
      </c>
      <c r="N58" s="26">
        <f t="shared" si="54"/>
        <v>979.02587115634356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14533.278368794327</v>
      </c>
      <c r="K59" s="3">
        <f t="shared" ref="K59:N59" si="55">J59*(1+K60)</f>
        <v>-73774.425478471909</v>
      </c>
      <c r="L59" s="3">
        <f t="shared" si="55"/>
        <v>374496.77330649836</v>
      </c>
      <c r="M59" s="3">
        <f t="shared" si="55"/>
        <v>-1901035.9254902566</v>
      </c>
      <c r="N59" s="3">
        <f t="shared" si="55"/>
        <v>9650116.7636145465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6">D59/C59-1</f>
        <v>1.0984987184181616E-3</v>
      </c>
      <c r="E60" s="56">
        <f t="shared" si="56"/>
        <v>0.28785662033650339</v>
      </c>
      <c r="F60" s="56">
        <f t="shared" si="56"/>
        <v>1.8460664583924924E-2</v>
      </c>
      <c r="G60" s="56">
        <f t="shared" si="56"/>
        <v>-0.39152258784160621</v>
      </c>
      <c r="H60" s="56">
        <f t="shared" si="56"/>
        <v>-1.2584784601283228</v>
      </c>
      <c r="I60" s="56">
        <f t="shared" si="56"/>
        <v>-6.0762411347517729</v>
      </c>
      <c r="J60" s="56">
        <f>I60</f>
        <v>-6.0762411347517729</v>
      </c>
      <c r="K60" s="56">
        <f t="shared" ref="K60:N60" si="57">J60</f>
        <v>-6.0762411347517729</v>
      </c>
      <c r="L60" s="56">
        <f t="shared" si="57"/>
        <v>-6.0762411347517729</v>
      </c>
      <c r="M60" s="56">
        <f t="shared" si="57"/>
        <v>-6.0762411347517729</v>
      </c>
      <c r="N60" s="56">
        <f t="shared" si="57"/>
        <v>-6.0762411347517729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</f>
        <v>10337.997905947168</v>
      </c>
      <c r="K61" s="3">
        <f t="shared" ref="K61:N61" si="58">K17*K15</f>
        <v>13602.852001179599</v>
      </c>
      <c r="L61" s="3">
        <f t="shared" si="58"/>
        <v>16335.804426887733</v>
      </c>
      <c r="M61" s="3">
        <f t="shared" si="58"/>
        <v>20398.616115201854</v>
      </c>
      <c r="N61" s="3">
        <f t="shared" si="58"/>
        <v>25530.76828101504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J38-J37</f>
        <v>-164</v>
      </c>
      <c r="K62" s="3">
        <f t="shared" ref="K62:N62" si="59">K38-K37</f>
        <v>-164</v>
      </c>
      <c r="L62" s="3">
        <f t="shared" si="59"/>
        <v>-164</v>
      </c>
      <c r="M62" s="3">
        <f t="shared" si="59"/>
        <v>-164</v>
      </c>
      <c r="N62" s="3">
        <f t="shared" si="59"/>
        <v>-164</v>
      </c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>
        <f>I63</f>
        <v>-151</v>
      </c>
      <c r="K63" s="3">
        <f t="shared" ref="K63:N63" si="60">J63</f>
        <v>-151</v>
      </c>
      <c r="L63" s="3">
        <f t="shared" si="60"/>
        <v>-151</v>
      </c>
      <c r="M63" s="3">
        <f t="shared" si="60"/>
        <v>-151</v>
      </c>
      <c r="N63" s="3">
        <f t="shared" si="60"/>
        <v>-151</v>
      </c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1">C59+C61+C63+C62</f>
        <v>-2671</v>
      </c>
      <c r="D64" s="26">
        <f t="shared" si="61"/>
        <v>-1942</v>
      </c>
      <c r="E64" s="26">
        <f t="shared" si="61"/>
        <v>-4835</v>
      </c>
      <c r="F64" s="26">
        <f t="shared" si="61"/>
        <v>-5293</v>
      </c>
      <c r="G64" s="26">
        <f t="shared" si="61"/>
        <v>2491</v>
      </c>
      <c r="H64" s="26">
        <f t="shared" si="61"/>
        <v>-1459</v>
      </c>
      <c r="I64" s="26">
        <f t="shared" si="61"/>
        <v>-4836</v>
      </c>
      <c r="J64" s="26">
        <f t="shared" si="61"/>
        <v>24556.276274741496</v>
      </c>
      <c r="K64" s="26">
        <f t="shared" si="61"/>
        <v>-60486.57347729231</v>
      </c>
      <c r="L64" s="26">
        <f t="shared" si="61"/>
        <v>390517.57773338608</v>
      </c>
      <c r="M64" s="26">
        <f t="shared" si="61"/>
        <v>-1880952.3093750547</v>
      </c>
      <c r="N64" s="26">
        <f t="shared" si="61"/>
        <v>9675332.5318955611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I65</f>
        <v>-143</v>
      </c>
      <c r="K65" s="3">
        <f t="shared" ref="K65:N65" si="62">J65</f>
        <v>-143</v>
      </c>
      <c r="L65" s="3">
        <f t="shared" si="62"/>
        <v>-143</v>
      </c>
      <c r="M65" s="3">
        <f t="shared" si="62"/>
        <v>-143</v>
      </c>
      <c r="N65" s="3">
        <f t="shared" si="62"/>
        <v>-143</v>
      </c>
      <c r="O65" s="3"/>
    </row>
    <row r="66" spans="1:15" x14ac:dyDescent="0.2">
      <c r="A66" s="27" t="s">
        <v>185</v>
      </c>
      <c r="B66" s="26">
        <f>B55+B58+B64+B65</f>
        <v>1632</v>
      </c>
      <c r="C66" s="26">
        <f t="shared" ref="C66:H66" si="63">C58+C64+C65+C55</f>
        <v>-714</v>
      </c>
      <c r="D66" s="26">
        <f t="shared" si="63"/>
        <v>670</v>
      </c>
      <c r="E66" s="26">
        <f t="shared" si="63"/>
        <v>441</v>
      </c>
      <c r="F66" s="26">
        <v>217</v>
      </c>
      <c r="G66" s="26">
        <f t="shared" si="63"/>
        <v>3882</v>
      </c>
      <c r="H66" s="26">
        <f t="shared" si="63"/>
        <v>1541</v>
      </c>
      <c r="I66" s="26">
        <f>I58+I64+I65+I55</f>
        <v>-1315</v>
      </c>
      <c r="J66" s="26">
        <f>J58+J64+J65+J55</f>
        <v>35774.185717508371</v>
      </c>
      <c r="K66" s="26">
        <f>K58+K64+K65+K55</f>
        <v>-46094.766779171725</v>
      </c>
      <c r="L66" s="26">
        <f>L58+L64+L65+L55</f>
        <v>407706.27631084307</v>
      </c>
      <c r="M66" s="26">
        <f>M58+M64+M65+N55</f>
        <v>-1865722.6880456195</v>
      </c>
      <c r="N66" s="26" t="e">
        <f>N58+N64+N65+#REF!</f>
        <v>#REF!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4">C68</f>
        <v>3138</v>
      </c>
      <c r="E67" s="3">
        <f t="shared" si="64"/>
        <v>3808</v>
      </c>
      <c r="F67" s="3">
        <f t="shared" si="64"/>
        <v>4249</v>
      </c>
      <c r="G67" s="3">
        <f t="shared" si="64"/>
        <v>4466</v>
      </c>
      <c r="H67" s="3">
        <f t="shared" si="64"/>
        <v>8348</v>
      </c>
      <c r="I67" s="3">
        <f t="shared" si="64"/>
        <v>9889</v>
      </c>
      <c r="J67" s="3">
        <f>I67</f>
        <v>9889</v>
      </c>
      <c r="K67" s="3">
        <f t="shared" ref="K67:N67" si="65">J67</f>
        <v>9889</v>
      </c>
      <c r="L67" s="3">
        <f t="shared" si="65"/>
        <v>9889</v>
      </c>
      <c r="M67" s="3">
        <f t="shared" si="65"/>
        <v>9889</v>
      </c>
      <c r="N67" s="3">
        <f t="shared" si="65"/>
        <v>9889</v>
      </c>
      <c r="O67" s="3"/>
    </row>
    <row r="68" spans="1:15" ht="16" thickBot="1" x14ac:dyDescent="0.25">
      <c r="A68" s="6" t="s">
        <v>187</v>
      </c>
      <c r="B68" s="7">
        <f>B66+B67</f>
        <v>3852</v>
      </c>
      <c r="C68" s="7">
        <f t="shared" ref="C68:N68" si="66">C66+C67</f>
        <v>3138</v>
      </c>
      <c r="D68" s="7">
        <f t="shared" si="66"/>
        <v>3808</v>
      </c>
      <c r="E68" s="7">
        <f t="shared" si="66"/>
        <v>4249</v>
      </c>
      <c r="F68" s="7">
        <f t="shared" si="66"/>
        <v>4466</v>
      </c>
      <c r="G68" s="7">
        <f t="shared" si="66"/>
        <v>8348</v>
      </c>
      <c r="H68" s="7">
        <f t="shared" si="66"/>
        <v>9889</v>
      </c>
      <c r="I68" s="7">
        <f t="shared" si="66"/>
        <v>8574</v>
      </c>
      <c r="J68" s="7">
        <f t="shared" si="66"/>
        <v>45663.185717508371</v>
      </c>
      <c r="K68" s="7">
        <f t="shared" si="66"/>
        <v>-36205.766779171725</v>
      </c>
      <c r="L68" s="7">
        <f t="shared" si="66"/>
        <v>417595.27631084307</v>
      </c>
      <c r="M68" s="7">
        <f t="shared" si="66"/>
        <v>-1855833.6880456195</v>
      </c>
      <c r="N68" s="7" t="e">
        <f t="shared" si="66"/>
        <v>#REF!</v>
      </c>
      <c r="O68" s="41"/>
    </row>
    <row r="69" spans="1:15" ht="16" thickTop="1" x14ac:dyDescent="0.2">
      <c r="A69" s="60" t="s">
        <v>168</v>
      </c>
      <c r="B69" s="83">
        <f t="shared" ref="B69:I69" si="67">+B68-B21</f>
        <v>0</v>
      </c>
      <c r="C69" s="83">
        <f t="shared" si="67"/>
        <v>0</v>
      </c>
      <c r="D69" s="83">
        <f t="shared" si="67"/>
        <v>0</v>
      </c>
      <c r="E69" s="83">
        <f t="shared" si="67"/>
        <v>0</v>
      </c>
      <c r="F69" s="83">
        <f t="shared" si="67"/>
        <v>0</v>
      </c>
      <c r="G69" s="83">
        <f t="shared" si="67"/>
        <v>0</v>
      </c>
      <c r="H69" s="83">
        <f t="shared" si="67"/>
        <v>0</v>
      </c>
      <c r="I69" s="83">
        <f t="shared" si="67"/>
        <v>0</v>
      </c>
      <c r="J69" s="41"/>
      <c r="K69" s="41"/>
      <c r="L69" s="41"/>
      <c r="M69" s="41"/>
      <c r="N69" s="41"/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8">J70</f>
        <v>6653</v>
      </c>
      <c r="L70" s="48">
        <f t="shared" si="68"/>
        <v>6653</v>
      </c>
      <c r="M70" s="48">
        <f t="shared" si="68"/>
        <v>6653</v>
      </c>
      <c r="N70" s="48">
        <f t="shared" si="68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2023-12-11T19:51:23Z</dcterms:modified>
</cp:coreProperties>
</file>