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erinastylianaki/Desktop/"/>
    </mc:Choice>
  </mc:AlternateContent>
  <xr:revisionPtr revIDLastSave="0" documentId="13_ncr:1_{B2D1DF6B-ACCD-C245-89A1-7304A75B4885}" xr6:coauthVersionLast="36" xr6:coauthVersionMax="47" xr10:uidLastSave="{00000000-0000-0000-0000-000000000000}"/>
  <bookViews>
    <workbookView xWindow="4380" yWindow="1000" windowWidth="21900" windowHeight="1586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4" l="1"/>
  <c r="K18" i="4"/>
  <c r="L18" i="4"/>
  <c r="M18" i="4"/>
  <c r="N18" i="4"/>
  <c r="J17" i="4"/>
  <c r="K25" i="4"/>
  <c r="L25" i="4" s="1"/>
  <c r="M25" i="4" s="1"/>
  <c r="N25" i="4" s="1"/>
  <c r="J25" i="4"/>
  <c r="K5" i="4" l="1"/>
  <c r="L5" i="4"/>
  <c r="M5" i="4"/>
  <c r="N5" i="4"/>
  <c r="J5" i="4"/>
  <c r="K4" i="4"/>
  <c r="L4" i="4"/>
  <c r="M4" i="4"/>
  <c r="N4" i="4"/>
  <c r="J4" i="4"/>
  <c r="J363" i="3"/>
  <c r="K363" i="3" s="1"/>
  <c r="L363" i="3" s="1"/>
  <c r="M363" i="3" s="1"/>
  <c r="N363" i="3" s="1"/>
  <c r="K360" i="3"/>
  <c r="J360" i="3"/>
  <c r="J359" i="3"/>
  <c r="J357" i="3"/>
  <c r="J356" i="3" s="1"/>
  <c r="K353" i="3"/>
  <c r="J353" i="3"/>
  <c r="J352" i="3"/>
  <c r="J350" i="3"/>
  <c r="K350" i="3" s="1"/>
  <c r="L350" i="3" s="1"/>
  <c r="M350" i="3" s="1"/>
  <c r="N350" i="3" s="1"/>
  <c r="J349" i="3"/>
  <c r="J336" i="3"/>
  <c r="K336" i="3" s="1"/>
  <c r="L336" i="3" s="1"/>
  <c r="M336" i="3" s="1"/>
  <c r="N336" i="3" s="1"/>
  <c r="J335" i="3"/>
  <c r="J333" i="3"/>
  <c r="K332" i="3"/>
  <c r="L332" i="3" s="1"/>
  <c r="M332" i="3" s="1"/>
  <c r="N332" i="3" s="1"/>
  <c r="J332" i="3"/>
  <c r="K331" i="3"/>
  <c r="J331" i="3"/>
  <c r="J329" i="3"/>
  <c r="J328" i="3" s="1"/>
  <c r="J330" i="3" s="1"/>
  <c r="J326" i="3"/>
  <c r="J322" i="3"/>
  <c r="K322" i="3" s="1"/>
  <c r="L322" i="3" s="1"/>
  <c r="M322" i="3" s="1"/>
  <c r="N322" i="3" s="1"/>
  <c r="J321" i="3"/>
  <c r="L319" i="3"/>
  <c r="M319" i="3" s="1"/>
  <c r="N319" i="3" s="1"/>
  <c r="J319" i="3"/>
  <c r="K319" i="3" s="1"/>
  <c r="J317" i="3"/>
  <c r="N316" i="3"/>
  <c r="N317" i="3" s="1"/>
  <c r="M316" i="3"/>
  <c r="L316" i="3"/>
  <c r="L317" i="3" s="1"/>
  <c r="K316" i="3"/>
  <c r="J316" i="3"/>
  <c r="M314" i="3"/>
  <c r="N313" i="3"/>
  <c r="M313" i="3"/>
  <c r="L313" i="3"/>
  <c r="K313" i="3"/>
  <c r="J313" i="3"/>
  <c r="N310" i="3"/>
  <c r="M310" i="3"/>
  <c r="L310" i="3"/>
  <c r="K310" i="3"/>
  <c r="J310" i="3"/>
  <c r="J311" i="3" s="1"/>
  <c r="N307" i="3"/>
  <c r="M307" i="3"/>
  <c r="L307" i="3"/>
  <c r="K307" i="3"/>
  <c r="K308" i="3" s="1"/>
  <c r="J307" i="3"/>
  <c r="J308" i="3" s="1"/>
  <c r="J303" i="3"/>
  <c r="J302" i="3" s="1"/>
  <c r="L301" i="3"/>
  <c r="J301" i="3"/>
  <c r="K301" i="3" s="1"/>
  <c r="J300" i="3"/>
  <c r="K300" i="3" s="1"/>
  <c r="M297" i="3"/>
  <c r="N297" i="3" s="1"/>
  <c r="L297" i="3"/>
  <c r="K297" i="3"/>
  <c r="J297" i="3"/>
  <c r="J296" i="3"/>
  <c r="M293" i="3"/>
  <c r="N293" i="3" s="1"/>
  <c r="K293" i="3"/>
  <c r="L293" i="3" s="1"/>
  <c r="J293" i="3"/>
  <c r="L291" i="3"/>
  <c r="M291" i="3" s="1"/>
  <c r="N291" i="3" s="1"/>
  <c r="J291" i="3"/>
  <c r="K291" i="3" s="1"/>
  <c r="J290" i="3"/>
  <c r="J289" i="3"/>
  <c r="L287" i="3"/>
  <c r="M287" i="3" s="1"/>
  <c r="N287" i="3" s="1"/>
  <c r="K287" i="3"/>
  <c r="J287" i="3"/>
  <c r="J286" i="3"/>
  <c r="J284" i="3"/>
  <c r="J270" i="3"/>
  <c r="L142" i="3"/>
  <c r="K142" i="3"/>
  <c r="J142" i="3"/>
  <c r="J141" i="3"/>
  <c r="J140" i="3"/>
  <c r="L139" i="3"/>
  <c r="M139" i="3" s="1"/>
  <c r="N139" i="3" s="1"/>
  <c r="K139" i="3"/>
  <c r="J139" i="3"/>
  <c r="J138" i="3" s="1"/>
  <c r="J135" i="3"/>
  <c r="K135" i="3" s="1"/>
  <c r="J131" i="3"/>
  <c r="J130" i="3"/>
  <c r="K130" i="3" s="1"/>
  <c r="L130" i="3" s="1"/>
  <c r="M130" i="3" s="1"/>
  <c r="N130" i="3" s="1"/>
  <c r="J129" i="3"/>
  <c r="M126" i="3"/>
  <c r="N126" i="3" s="1"/>
  <c r="L126" i="3"/>
  <c r="J126" i="3"/>
  <c r="K126" i="3" s="1"/>
  <c r="J125" i="3"/>
  <c r="J124" i="3" s="1"/>
  <c r="M122" i="3"/>
  <c r="L122" i="3"/>
  <c r="K122" i="3"/>
  <c r="J122" i="3"/>
  <c r="N122" i="3" s="1"/>
  <c r="J121" i="3"/>
  <c r="K117" i="3"/>
  <c r="L117" i="3" s="1"/>
  <c r="M117" i="3" s="1"/>
  <c r="N117" i="3" s="1"/>
  <c r="J117" i="3"/>
  <c r="J116" i="3" s="1"/>
  <c r="N115" i="3"/>
  <c r="N114" i="3" s="1"/>
  <c r="M115" i="3"/>
  <c r="L115" i="3"/>
  <c r="K115" i="3"/>
  <c r="J114" i="3"/>
  <c r="K114" i="3" s="1"/>
  <c r="L114" i="3" s="1"/>
  <c r="M114" i="3" s="1"/>
  <c r="L111" i="3"/>
  <c r="M111" i="3" s="1"/>
  <c r="N111" i="3" s="1"/>
  <c r="K111" i="3"/>
  <c r="J111" i="3"/>
  <c r="J110" i="3" s="1"/>
  <c r="J108" i="3"/>
  <c r="K106" i="3"/>
  <c r="L106" i="3" s="1"/>
  <c r="M106" i="3" s="1"/>
  <c r="N106" i="3" s="1"/>
  <c r="J106" i="3"/>
  <c r="J104" i="3"/>
  <c r="K104" i="3" s="1"/>
  <c r="L104" i="3" s="1"/>
  <c r="M104" i="3" s="1"/>
  <c r="N104" i="3" s="1"/>
  <c r="J103" i="3"/>
  <c r="J102" i="3"/>
  <c r="J101" i="3"/>
  <c r="J100" i="3"/>
  <c r="K99" i="3"/>
  <c r="J99" i="3"/>
  <c r="K98" i="3"/>
  <c r="K97" i="3" s="1"/>
  <c r="J98" i="3"/>
  <c r="J97" i="3" s="1"/>
  <c r="J95" i="3"/>
  <c r="J94" i="3"/>
  <c r="K94" i="3" s="1"/>
  <c r="L94" i="3" s="1"/>
  <c r="J91" i="3"/>
  <c r="M90" i="3"/>
  <c r="N90" i="3" s="1"/>
  <c r="L90" i="3"/>
  <c r="J90" i="3"/>
  <c r="K90" i="3" s="1"/>
  <c r="J89" i="3"/>
  <c r="K89" i="3" s="1"/>
  <c r="L89" i="3" s="1"/>
  <c r="M89" i="3" s="1"/>
  <c r="N89" i="3" s="1"/>
  <c r="L86" i="3"/>
  <c r="K86" i="3"/>
  <c r="J86" i="3"/>
  <c r="M86" i="3" s="1"/>
  <c r="J83" i="3"/>
  <c r="K83" i="3" s="1"/>
  <c r="L83" i="3" s="1"/>
  <c r="M83" i="3" s="1"/>
  <c r="N83" i="3" s="1"/>
  <c r="M81" i="3"/>
  <c r="N81" i="3" s="1"/>
  <c r="K81" i="3"/>
  <c r="L81" i="3" s="1"/>
  <c r="J81" i="3"/>
  <c r="K80" i="3"/>
  <c r="L80" i="3" s="1"/>
  <c r="J80" i="3"/>
  <c r="J77" i="3"/>
  <c r="M74" i="3"/>
  <c r="N74" i="3" s="1"/>
  <c r="J74" i="3"/>
  <c r="K74" i="3" s="1"/>
  <c r="L74" i="3" s="1"/>
  <c r="J73" i="3"/>
  <c r="J72" i="3"/>
  <c r="J71" i="3"/>
  <c r="M70" i="3"/>
  <c r="N70" i="3" s="1"/>
  <c r="L70" i="3"/>
  <c r="J70" i="3"/>
  <c r="K70" i="3" s="1"/>
  <c r="J69" i="3"/>
  <c r="K69" i="3" s="1"/>
  <c r="L69" i="3" s="1"/>
  <c r="M69" i="3" s="1"/>
  <c r="N69" i="3" s="1"/>
  <c r="K68" i="3"/>
  <c r="J68" i="3"/>
  <c r="L67" i="3"/>
  <c r="M67" i="3" s="1"/>
  <c r="N67" i="3" s="1"/>
  <c r="K67" i="3"/>
  <c r="J67" i="3"/>
  <c r="J66" i="3"/>
  <c r="K66" i="3" s="1"/>
  <c r="L66" i="3" s="1"/>
  <c r="M66" i="3" s="1"/>
  <c r="N66" i="3" s="1"/>
  <c r="J64" i="3"/>
  <c r="L63" i="3"/>
  <c r="K63" i="3"/>
  <c r="J63" i="3"/>
  <c r="M60" i="3"/>
  <c r="L60" i="3"/>
  <c r="K60" i="3"/>
  <c r="J60" i="3"/>
  <c r="N60" i="3" s="1"/>
  <c r="K58" i="3"/>
  <c r="L58" i="3" s="1"/>
  <c r="M58" i="3" s="1"/>
  <c r="N58" i="3" s="1"/>
  <c r="J58" i="3"/>
  <c r="K56" i="3"/>
  <c r="J56" i="3"/>
  <c r="K54" i="3"/>
  <c r="L54" i="3" s="1"/>
  <c r="M54" i="3" s="1"/>
  <c r="N54" i="3" s="1"/>
  <c r="J54" i="3"/>
  <c r="M53" i="3"/>
  <c r="N53" i="3" s="1"/>
  <c r="L53" i="3"/>
  <c r="K53" i="3"/>
  <c r="J52" i="3"/>
  <c r="K52" i="3" s="1"/>
  <c r="L52" i="3" s="1"/>
  <c r="M52" i="3" s="1"/>
  <c r="N52" i="3" s="1"/>
  <c r="J50" i="3"/>
  <c r="K50" i="3" s="1"/>
  <c r="L49" i="3"/>
  <c r="K49" i="3"/>
  <c r="J49" i="3"/>
  <c r="J48" i="3" s="1"/>
  <c r="K48" i="3"/>
  <c r="L48" i="3" s="1"/>
  <c r="J46" i="3"/>
  <c r="J42" i="3"/>
  <c r="J40" i="3"/>
  <c r="M39" i="3"/>
  <c r="L39" i="3"/>
  <c r="K39" i="3"/>
  <c r="J39" i="3"/>
  <c r="J38" i="3"/>
  <c r="K38" i="3" s="1"/>
  <c r="K41" i="3" s="1"/>
  <c r="J37" i="3"/>
  <c r="K36" i="3"/>
  <c r="L36" i="3" s="1"/>
  <c r="J36" i="3"/>
  <c r="N33" i="3"/>
  <c r="M33" i="3"/>
  <c r="L33" i="3"/>
  <c r="K33" i="3"/>
  <c r="J33" i="3"/>
  <c r="J32" i="3"/>
  <c r="K29" i="3"/>
  <c r="L29" i="3" s="1"/>
  <c r="M29" i="3" s="1"/>
  <c r="N29" i="3" s="1"/>
  <c r="J29" i="3"/>
  <c r="M27" i="3"/>
  <c r="N27" i="3" s="1"/>
  <c r="L27" i="3"/>
  <c r="J27" i="3"/>
  <c r="K27" i="3" s="1"/>
  <c r="M23" i="3"/>
  <c r="N23" i="3" s="1"/>
  <c r="J23" i="3"/>
  <c r="K23" i="3" s="1"/>
  <c r="L23" i="3" s="1"/>
  <c r="K21" i="3"/>
  <c r="J21" i="3"/>
  <c r="J8" i="3"/>
  <c r="L284" i="3" l="1"/>
  <c r="M284" i="3" s="1"/>
  <c r="L21" i="3"/>
  <c r="J137" i="3"/>
  <c r="M301" i="3"/>
  <c r="N301" i="3" s="1"/>
  <c r="M360" i="3"/>
  <c r="N360" i="3" s="1"/>
  <c r="L360" i="3"/>
  <c r="M36" i="3"/>
  <c r="N36" i="3" s="1"/>
  <c r="J35" i="3"/>
  <c r="L38" i="3"/>
  <c r="M72" i="3"/>
  <c r="N72" i="3" s="1"/>
  <c r="K72" i="3"/>
  <c r="L72" i="3" s="1"/>
  <c r="L98" i="3"/>
  <c r="M98" i="3" s="1"/>
  <c r="N98" i="3" s="1"/>
  <c r="J133" i="3"/>
  <c r="J134" i="3"/>
  <c r="K131" i="3"/>
  <c r="K317" i="3"/>
  <c r="K335" i="3"/>
  <c r="L335" i="3" s="1"/>
  <c r="M335" i="3" s="1"/>
  <c r="N335" i="3" s="1"/>
  <c r="J354" i="3"/>
  <c r="J351" i="3"/>
  <c r="J107" i="3"/>
  <c r="K108" i="3"/>
  <c r="L108" i="3" s="1"/>
  <c r="M108" i="3" s="1"/>
  <c r="N108" i="3" s="1"/>
  <c r="K121" i="3"/>
  <c r="L121" i="3" s="1"/>
  <c r="M121" i="3" s="1"/>
  <c r="N121" i="3" s="1"/>
  <c r="J120" i="3"/>
  <c r="K120" i="3" s="1"/>
  <c r="L120" i="3" s="1"/>
  <c r="M120" i="3" s="1"/>
  <c r="N120" i="3" s="1"/>
  <c r="J283" i="3"/>
  <c r="K32" i="3"/>
  <c r="L32" i="3" s="1"/>
  <c r="L68" i="3"/>
  <c r="M68" i="3" s="1"/>
  <c r="N68" i="3" s="1"/>
  <c r="K137" i="3"/>
  <c r="L135" i="3"/>
  <c r="L50" i="3"/>
  <c r="M50" i="3" s="1"/>
  <c r="N50" i="3" s="1"/>
  <c r="J93" i="3"/>
  <c r="K93" i="3" s="1"/>
  <c r="L93" i="3" s="1"/>
  <c r="M94" i="3"/>
  <c r="N94" i="3" s="1"/>
  <c r="L308" i="3"/>
  <c r="J9" i="3"/>
  <c r="N39" i="3"/>
  <c r="L56" i="3"/>
  <c r="M56" i="3" s="1"/>
  <c r="J143" i="3"/>
  <c r="K141" i="3"/>
  <c r="M308" i="3"/>
  <c r="N308" i="3"/>
  <c r="M317" i="3"/>
  <c r="K326" i="3"/>
  <c r="L326" i="3" s="1"/>
  <c r="M326" i="3" s="1"/>
  <c r="N326" i="3" s="1"/>
  <c r="J325" i="3"/>
  <c r="L331" i="3"/>
  <c r="N86" i="3"/>
  <c r="K290" i="3"/>
  <c r="N314" i="3"/>
  <c r="J323" i="3"/>
  <c r="J305" i="3" s="1"/>
  <c r="J306" i="3" s="1"/>
  <c r="J324" i="3"/>
  <c r="K321" i="3"/>
  <c r="J358" i="3"/>
  <c r="K125" i="3"/>
  <c r="L125" i="3" s="1"/>
  <c r="M125" i="3" s="1"/>
  <c r="N125" i="3" s="1"/>
  <c r="K284" i="3"/>
  <c r="N284" i="3" s="1"/>
  <c r="K40" i="3"/>
  <c r="K64" i="3"/>
  <c r="J41" i="3"/>
  <c r="L311" i="3"/>
  <c r="J31" i="3"/>
  <c r="M48" i="3"/>
  <c r="J75" i="3"/>
  <c r="K73" i="3"/>
  <c r="J76" i="3"/>
  <c r="K77" i="3"/>
  <c r="L77" i="3" s="1"/>
  <c r="M77" i="3" s="1"/>
  <c r="N77" i="3" s="1"/>
  <c r="L95" i="3"/>
  <c r="M95" i="3" s="1"/>
  <c r="K95" i="3"/>
  <c r="K102" i="3"/>
  <c r="K270" i="3"/>
  <c r="L270" i="3" s="1"/>
  <c r="J269" i="3"/>
  <c r="J3" i="3"/>
  <c r="J315" i="3" s="1"/>
  <c r="K37" i="3"/>
  <c r="J44" i="3"/>
  <c r="K42" i="3"/>
  <c r="L46" i="3"/>
  <c r="J45" i="3"/>
  <c r="K46" i="3"/>
  <c r="K103" i="3"/>
  <c r="L103" i="3" s="1"/>
  <c r="J128" i="3"/>
  <c r="K128" i="3" s="1"/>
  <c r="L128" i="3" s="1"/>
  <c r="M128" i="3" s="1"/>
  <c r="N128" i="3" s="1"/>
  <c r="K129" i="3"/>
  <c r="L129" i="3" s="1"/>
  <c r="M129" i="3" s="1"/>
  <c r="N129" i="3" s="1"/>
  <c r="M142" i="3"/>
  <c r="N142" i="3" s="1"/>
  <c r="K296" i="3"/>
  <c r="L300" i="3"/>
  <c r="M311" i="3"/>
  <c r="J314" i="3"/>
  <c r="K328" i="3"/>
  <c r="K349" i="3"/>
  <c r="K333" i="3"/>
  <c r="M80" i="3"/>
  <c r="N80" i="3" s="1"/>
  <c r="J79" i="3"/>
  <c r="K110" i="3"/>
  <c r="K116" i="3"/>
  <c r="L116" i="3" s="1"/>
  <c r="M116" i="3" s="1"/>
  <c r="N116" i="3" s="1"/>
  <c r="K311" i="3"/>
  <c r="K329" i="3"/>
  <c r="L329" i="3" s="1"/>
  <c r="M329" i="3" s="1"/>
  <c r="N329" i="3" s="1"/>
  <c r="L353" i="3"/>
  <c r="K314" i="3"/>
  <c r="J361" i="3"/>
  <c r="K359" i="3"/>
  <c r="M49" i="3"/>
  <c r="N49" i="3" s="1"/>
  <c r="M63" i="3"/>
  <c r="N63" i="3" s="1"/>
  <c r="J62" i="3"/>
  <c r="K62" i="3" s="1"/>
  <c r="L62" i="3" s="1"/>
  <c r="J112" i="3"/>
  <c r="K138" i="3"/>
  <c r="K303" i="3"/>
  <c r="L303" i="3" s="1"/>
  <c r="M303" i="3" s="1"/>
  <c r="N303" i="3" s="1"/>
  <c r="N311" i="3"/>
  <c r="L314" i="3"/>
  <c r="K352" i="3"/>
  <c r="K356" i="3"/>
  <c r="M99" i="3"/>
  <c r="N99" i="3" s="1"/>
  <c r="L99" i="3"/>
  <c r="J288" i="3"/>
  <c r="K286" i="3"/>
  <c r="K357" i="3"/>
  <c r="L357" i="3" s="1"/>
  <c r="M357" i="3" s="1"/>
  <c r="N357" i="3" s="1"/>
  <c r="J362" i="3"/>
  <c r="K71" i="3"/>
  <c r="K91" i="3"/>
  <c r="K101" i="3"/>
  <c r="J85" i="3"/>
  <c r="K85" i="3" s="1"/>
  <c r="L85" i="3" s="1"/>
  <c r="M85" i="3" s="1"/>
  <c r="N270" i="3" l="1"/>
  <c r="M102" i="3"/>
  <c r="L286" i="3"/>
  <c r="K289" i="3"/>
  <c r="K302" i="3"/>
  <c r="L302" i="3" s="1"/>
  <c r="M302" i="3" s="1"/>
  <c r="N302" i="3" s="1"/>
  <c r="L290" i="3"/>
  <c r="J327" i="3"/>
  <c r="K325" i="3"/>
  <c r="M135" i="3"/>
  <c r="L137" i="3"/>
  <c r="M270" i="3"/>
  <c r="K351" i="3"/>
  <c r="L349" i="3"/>
  <c r="J11" i="3"/>
  <c r="L102" i="3"/>
  <c r="N85" i="3"/>
  <c r="K112" i="3"/>
  <c r="L110" i="3"/>
  <c r="K330" i="3"/>
  <c r="L328" i="3"/>
  <c r="L42" i="3"/>
  <c r="K44" i="3"/>
  <c r="K269" i="3"/>
  <c r="K292" i="3" s="1"/>
  <c r="K76" i="3"/>
  <c r="J78" i="3"/>
  <c r="L321" i="3"/>
  <c r="K324" i="3"/>
  <c r="K323" i="3"/>
  <c r="M103" i="3"/>
  <c r="N103" i="3" s="1"/>
  <c r="M93" i="3"/>
  <c r="N93" i="3" s="1"/>
  <c r="L41" i="3"/>
  <c r="L40" i="3"/>
  <c r="M38" i="3"/>
  <c r="L97" i="3"/>
  <c r="M97" i="3" s="1"/>
  <c r="N97" i="3" s="1"/>
  <c r="L73" i="3"/>
  <c r="K75" i="3"/>
  <c r="L131" i="3"/>
  <c r="K133" i="3"/>
  <c r="K134" i="3"/>
  <c r="K35" i="3"/>
  <c r="L138" i="3"/>
  <c r="K140" i="3"/>
  <c r="K79" i="3"/>
  <c r="J17" i="3"/>
  <c r="M37" i="3"/>
  <c r="N37" i="3" s="1"/>
  <c r="K124" i="3"/>
  <c r="L124" i="3" s="1"/>
  <c r="M124" i="3" s="1"/>
  <c r="N124" i="3" s="1"/>
  <c r="M300" i="3"/>
  <c r="N300" i="3" s="1"/>
  <c r="L37" i="3"/>
  <c r="N48" i="3"/>
  <c r="K283" i="3"/>
  <c r="J285" i="3"/>
  <c r="M21" i="3"/>
  <c r="J364" i="3"/>
  <c r="K362" i="3"/>
  <c r="J355" i="3"/>
  <c r="K358" i="3"/>
  <c r="L356" i="3"/>
  <c r="L296" i="3"/>
  <c r="K298" i="3"/>
  <c r="M46" i="3"/>
  <c r="N46" i="3" s="1"/>
  <c r="J318" i="3"/>
  <c r="J320" i="3" s="1"/>
  <c r="J309" i="3"/>
  <c r="J4" i="3"/>
  <c r="J312" i="3"/>
  <c r="N95" i="3"/>
  <c r="K31" i="3"/>
  <c r="L31" i="3" s="1"/>
  <c r="M31" i="3" s="1"/>
  <c r="N31" i="3" s="1"/>
  <c r="L141" i="3"/>
  <c r="K143" i="3"/>
  <c r="N56" i="3"/>
  <c r="M32" i="3"/>
  <c r="L101" i="3"/>
  <c r="N101" i="3" s="1"/>
  <c r="M101" i="3"/>
  <c r="L359" i="3"/>
  <c r="K361" i="3"/>
  <c r="K107" i="3"/>
  <c r="J109" i="3"/>
  <c r="L91" i="3"/>
  <c r="M91" i="3" s="1"/>
  <c r="L71" i="3"/>
  <c r="K100" i="3"/>
  <c r="L64" i="3"/>
  <c r="M64" i="3" s="1"/>
  <c r="N32" i="3"/>
  <c r="K355" i="3"/>
  <c r="L352" i="3"/>
  <c r="K354" i="3"/>
  <c r="M62" i="3"/>
  <c r="N62" i="3" s="1"/>
  <c r="M353" i="3"/>
  <c r="N353" i="3" s="1"/>
  <c r="J298" i="3"/>
  <c r="K45" i="3"/>
  <c r="J47" i="3"/>
  <c r="J14" i="3"/>
  <c r="J292" i="3"/>
  <c r="L333" i="3"/>
  <c r="M331" i="3"/>
  <c r="J10" i="3"/>
  <c r="K78" i="3" l="1"/>
  <c r="L76" i="3"/>
  <c r="L289" i="3"/>
  <c r="L288" i="3"/>
  <c r="M286" i="3"/>
  <c r="M296" i="3"/>
  <c r="N71" i="3"/>
  <c r="L358" i="3"/>
  <c r="M356" i="3"/>
  <c r="L283" i="3"/>
  <c r="K285" i="3"/>
  <c r="J15" i="3"/>
  <c r="J16" i="3"/>
  <c r="L35" i="3"/>
  <c r="M40" i="3"/>
  <c r="N38" i="3"/>
  <c r="M41" i="3"/>
  <c r="M321" i="3"/>
  <c r="L324" i="3"/>
  <c r="L323" i="3"/>
  <c r="K47" i="3"/>
  <c r="K14" i="3"/>
  <c r="L45" i="3"/>
  <c r="K109" i="3"/>
  <c r="L107" i="3"/>
  <c r="M141" i="3"/>
  <c r="L143" i="3"/>
  <c r="J5" i="3"/>
  <c r="L112" i="3"/>
  <c r="M110" i="3"/>
  <c r="K288" i="3"/>
  <c r="N135" i="3"/>
  <c r="N137" i="3" s="1"/>
  <c r="M137" i="3"/>
  <c r="L100" i="3"/>
  <c r="K8" i="3"/>
  <c r="J18" i="3"/>
  <c r="J19" i="3"/>
  <c r="N102" i="3"/>
  <c r="M71" i="3"/>
  <c r="L79" i="3"/>
  <c r="K17" i="3"/>
  <c r="J13" i="3"/>
  <c r="J12" i="3"/>
  <c r="N64" i="3"/>
  <c r="L354" i="3"/>
  <c r="M352" i="3"/>
  <c r="M73" i="3"/>
  <c r="L75" i="3"/>
  <c r="K305" i="3"/>
  <c r="K306" i="3" s="1"/>
  <c r="L44" i="3"/>
  <c r="L11" i="3"/>
  <c r="M42" i="3"/>
  <c r="L351" i="3"/>
  <c r="M349" i="3"/>
  <c r="M290" i="3"/>
  <c r="L292" i="3"/>
  <c r="N21" i="3"/>
  <c r="L361" i="3"/>
  <c r="M359" i="3"/>
  <c r="L269" i="3"/>
  <c r="L298" i="3" s="1"/>
  <c r="K3" i="3"/>
  <c r="K327" i="3"/>
  <c r="L325" i="3"/>
  <c r="M333" i="3"/>
  <c r="N331" i="3"/>
  <c r="N333" i="3" s="1"/>
  <c r="L134" i="3"/>
  <c r="L133" i="3"/>
  <c r="M131" i="3"/>
  <c r="K11" i="3"/>
  <c r="N91" i="3"/>
  <c r="K364" i="3"/>
  <c r="L362" i="3"/>
  <c r="L355" i="3" s="1"/>
  <c r="L140" i="3"/>
  <c r="M138" i="3"/>
  <c r="L330" i="3"/>
  <c r="M328" i="3"/>
  <c r="N138" i="3" l="1"/>
  <c r="N140" i="3" s="1"/>
  <c r="M140" i="3"/>
  <c r="J7" i="3"/>
  <c r="J6" i="3"/>
  <c r="L305" i="3"/>
  <c r="L306" i="3" s="1"/>
  <c r="L12" i="3"/>
  <c r="N296" i="3"/>
  <c r="M100" i="3"/>
  <c r="L8" i="3"/>
  <c r="M143" i="3"/>
  <c r="N141" i="3"/>
  <c r="N143" i="3" s="1"/>
  <c r="M324" i="3"/>
  <c r="M323" i="3"/>
  <c r="N321" i="3"/>
  <c r="M289" i="3"/>
  <c r="N286" i="3"/>
  <c r="K18" i="3"/>
  <c r="K19" i="3"/>
  <c r="M107" i="3"/>
  <c r="L109" i="3"/>
  <c r="K4" i="3"/>
  <c r="K315" i="3"/>
  <c r="K312" i="3"/>
  <c r="K309" i="3"/>
  <c r="K318" i="3"/>
  <c r="N41" i="3"/>
  <c r="N40" i="3"/>
  <c r="L285" i="3"/>
  <c r="M283" i="3"/>
  <c r="M35" i="3"/>
  <c r="K10" i="3"/>
  <c r="K9" i="3"/>
  <c r="M75" i="3"/>
  <c r="N73" i="3"/>
  <c r="N75" i="3" s="1"/>
  <c r="K13" i="3"/>
  <c r="K12" i="3"/>
  <c r="N328" i="3"/>
  <c r="N330" i="3" s="1"/>
  <c r="M330" i="3"/>
  <c r="M269" i="3"/>
  <c r="L3" i="3"/>
  <c r="L13" i="3" s="1"/>
  <c r="M45" i="3"/>
  <c r="L47" i="3"/>
  <c r="L14" i="3"/>
  <c r="N356" i="3"/>
  <c r="N358" i="3" s="1"/>
  <c r="M358" i="3"/>
  <c r="M76" i="3"/>
  <c r="L78" i="3"/>
  <c r="M362" i="3"/>
  <c r="M355" i="3" s="1"/>
  <c r="L364" i="3"/>
  <c r="M325" i="3"/>
  <c r="L327" i="3"/>
  <c r="N290" i="3"/>
  <c r="N349" i="3"/>
  <c r="N351" i="3" s="1"/>
  <c r="M351" i="3"/>
  <c r="M79" i="3"/>
  <c r="L17" i="3"/>
  <c r="M134" i="3"/>
  <c r="N131" i="3"/>
  <c r="M133" i="3"/>
  <c r="M361" i="3"/>
  <c r="N359" i="3"/>
  <c r="N361" i="3" s="1"/>
  <c r="N42" i="3"/>
  <c r="M44" i="3"/>
  <c r="M354" i="3"/>
  <c r="N352" i="3"/>
  <c r="N110" i="3"/>
  <c r="N112" i="3" s="1"/>
  <c r="M112" i="3"/>
  <c r="K16" i="3"/>
  <c r="K15" i="3"/>
  <c r="M327" i="3" l="1"/>
  <c r="N325" i="3"/>
  <c r="N327" i="3" s="1"/>
  <c r="M305" i="3"/>
  <c r="M306" i="3" s="1"/>
  <c r="L18" i="3"/>
  <c r="L19" i="3"/>
  <c r="M14" i="3"/>
  <c r="M47" i="3"/>
  <c r="N45" i="3"/>
  <c r="M109" i="3"/>
  <c r="N107" i="3"/>
  <c r="N109" i="3" s="1"/>
  <c r="N11" i="3"/>
  <c r="N44" i="3"/>
  <c r="L315" i="3"/>
  <c r="L4" i="3"/>
  <c r="L318" i="3"/>
  <c r="L312" i="3"/>
  <c r="L309" i="3"/>
  <c r="N269" i="3"/>
  <c r="N3" i="3" s="1"/>
  <c r="M3" i="3"/>
  <c r="L9" i="3"/>
  <c r="L10" i="3"/>
  <c r="N100" i="3"/>
  <c r="N8" i="3" s="1"/>
  <c r="M8" i="3"/>
  <c r="N79" i="3"/>
  <c r="N17" i="3" s="1"/>
  <c r="M17" i="3"/>
  <c r="K320" i="3"/>
  <c r="K5" i="3"/>
  <c r="N283" i="3"/>
  <c r="N285" i="3" s="1"/>
  <c r="M285" i="3"/>
  <c r="M288" i="3"/>
  <c r="N298" i="3"/>
  <c r="M364" i="3"/>
  <c r="N362" i="3"/>
  <c r="N364" i="3" s="1"/>
  <c r="M11" i="3"/>
  <c r="M78" i="3"/>
  <c r="N76" i="3"/>
  <c r="N78" i="3" s="1"/>
  <c r="N35" i="3"/>
  <c r="N289" i="3"/>
  <c r="N288" i="3"/>
  <c r="M292" i="3"/>
  <c r="N354" i="3"/>
  <c r="N355" i="3"/>
  <c r="N133" i="3"/>
  <c r="N134" i="3"/>
  <c r="L16" i="3"/>
  <c r="L15" i="3"/>
  <c r="N323" i="3"/>
  <c r="N324" i="3"/>
  <c r="M298" i="3"/>
  <c r="N19" i="3" l="1"/>
  <c r="N18" i="3"/>
  <c r="N14" i="3"/>
  <c r="N47" i="3"/>
  <c r="M9" i="3"/>
  <c r="M10" i="3"/>
  <c r="L320" i="3"/>
  <c r="L5" i="3"/>
  <c r="N9" i="3"/>
  <c r="N10" i="3"/>
  <c r="K6" i="3"/>
  <c r="K7" i="3"/>
  <c r="M315" i="3"/>
  <c r="M4" i="3"/>
  <c r="M318" i="3"/>
  <c r="M312" i="3"/>
  <c r="M309" i="3"/>
  <c r="N13" i="3"/>
  <c r="N12" i="3"/>
  <c r="M16" i="3"/>
  <c r="M15" i="3"/>
  <c r="M12" i="3"/>
  <c r="M13" i="3"/>
  <c r="N309" i="3"/>
  <c r="N4" i="3"/>
  <c r="N318" i="3"/>
  <c r="N320" i="3" s="1"/>
  <c r="N315" i="3"/>
  <c r="N312" i="3"/>
  <c r="N305" i="3"/>
  <c r="N306" i="3" s="1"/>
  <c r="N292" i="3"/>
  <c r="M19" i="3"/>
  <c r="M18" i="3"/>
  <c r="L6" i="3" l="1"/>
  <c r="L7" i="3"/>
  <c r="M320" i="3"/>
  <c r="M5" i="3"/>
  <c r="N5" i="3"/>
  <c r="N15" i="3"/>
  <c r="N16" i="3"/>
  <c r="N6" i="3" l="1"/>
  <c r="N7" i="3"/>
  <c r="M6" i="3"/>
  <c r="M7" i="3"/>
  <c r="J3" i="4" l="1"/>
  <c r="K7" i="4" l="1"/>
  <c r="L7" i="4"/>
  <c r="M7" i="4"/>
  <c r="N7" i="4"/>
  <c r="J7" i="4"/>
  <c r="K19" i="4" l="1"/>
  <c r="L19" i="4" s="1"/>
  <c r="J19" i="4"/>
  <c r="J10" i="4"/>
  <c r="K3" i="4"/>
  <c r="L3" i="4"/>
  <c r="M3" i="4"/>
  <c r="N3" i="4"/>
  <c r="M19" i="4" l="1"/>
  <c r="N19" i="4" s="1"/>
  <c r="J52" i="4" l="1"/>
  <c r="K52" i="4"/>
  <c r="K58" i="4" s="1"/>
  <c r="L52" i="4"/>
  <c r="L58" i="4" s="1"/>
  <c r="M52" i="4"/>
  <c r="M58" i="4" s="1"/>
  <c r="N52" i="4"/>
  <c r="N58" i="4" s="1"/>
  <c r="K60" i="4"/>
  <c r="L60" i="4"/>
  <c r="M60" i="4" s="1"/>
  <c r="N60" i="4" s="1"/>
  <c r="J59" i="4"/>
  <c r="J60" i="4"/>
  <c r="K62" i="4"/>
  <c r="L62" i="4"/>
  <c r="M62" i="4"/>
  <c r="N62" i="4"/>
  <c r="J62" i="4"/>
  <c r="K57" i="4"/>
  <c r="L57" i="4"/>
  <c r="M57" i="4"/>
  <c r="N57" i="4"/>
  <c r="J57" i="4"/>
  <c r="J47" i="4"/>
  <c r="K47" i="4"/>
  <c r="L47" i="4"/>
  <c r="M47" i="4"/>
  <c r="N47" i="4"/>
  <c r="K46" i="4"/>
  <c r="L46" i="4"/>
  <c r="M46" i="4"/>
  <c r="N46" i="4"/>
  <c r="J46" i="4"/>
  <c r="J58" i="4" l="1"/>
  <c r="J26" i="4"/>
  <c r="K26" i="4" s="1"/>
  <c r="L26" i="4" s="1"/>
  <c r="M26" i="4" s="1"/>
  <c r="N26" i="4" s="1"/>
  <c r="K6" i="4"/>
  <c r="L6" i="4"/>
  <c r="M6" i="4"/>
  <c r="N6" i="4"/>
  <c r="J6" i="4"/>
  <c r="F63" i="4"/>
  <c r="G63" i="4"/>
  <c r="E63" i="4"/>
  <c r="I63" i="4"/>
  <c r="J63" i="4" s="1"/>
  <c r="K63" i="4" s="1"/>
  <c r="L63" i="4" s="1"/>
  <c r="M63" i="4" s="1"/>
  <c r="N63" i="4" s="1"/>
  <c r="H63" i="4"/>
  <c r="C63" i="4"/>
  <c r="D63" i="4"/>
  <c r="B63" i="4"/>
  <c r="I62" i="4"/>
  <c r="G62" i="4"/>
  <c r="F62" i="4"/>
  <c r="E62" i="4"/>
  <c r="D62" i="4"/>
  <c r="H62" i="4"/>
  <c r="C62" i="4"/>
  <c r="B62" i="4"/>
  <c r="E96" i="1" l="1"/>
  <c r="F96" i="1"/>
  <c r="G96" i="1"/>
  <c r="H96" i="1"/>
  <c r="I96" i="1"/>
  <c r="D57" i="4" l="1"/>
  <c r="C208" i="1" l="1"/>
  <c r="C211" i="1" s="1"/>
  <c r="D208" i="1"/>
  <c r="E208" i="1"/>
  <c r="E211" i="1" s="1"/>
  <c r="F208" i="1"/>
  <c r="F211" i="1" s="1"/>
  <c r="G208" i="1"/>
  <c r="G211" i="1" s="1"/>
  <c r="H208" i="1"/>
  <c r="I208" i="1"/>
  <c r="D211" i="1"/>
  <c r="H211" i="1"/>
  <c r="I211" i="1"/>
  <c r="B67" i="4"/>
  <c r="C65" i="4"/>
  <c r="D65" i="4"/>
  <c r="E65" i="4"/>
  <c r="F65" i="4"/>
  <c r="G65" i="4"/>
  <c r="H65" i="4"/>
  <c r="I65" i="4"/>
  <c r="J65" i="4" s="1"/>
  <c r="K65" i="4" s="1"/>
  <c r="L65" i="4" s="1"/>
  <c r="M65" i="4" s="1"/>
  <c r="N65" i="4" s="1"/>
  <c r="B65" i="4"/>
  <c r="C352" i="3"/>
  <c r="D352" i="3"/>
  <c r="E352" i="3"/>
  <c r="F352" i="3"/>
  <c r="G352" i="3"/>
  <c r="H352" i="3"/>
  <c r="I352" i="3"/>
  <c r="B352" i="3"/>
  <c r="C321" i="3"/>
  <c r="D321" i="3"/>
  <c r="E321" i="3"/>
  <c r="F321" i="3"/>
  <c r="G321" i="3"/>
  <c r="H321" i="3"/>
  <c r="I321" i="3"/>
  <c r="B321" i="3"/>
  <c r="C286" i="3"/>
  <c r="D286" i="3"/>
  <c r="E286" i="3"/>
  <c r="F286" i="3"/>
  <c r="G286" i="3"/>
  <c r="H286" i="3"/>
  <c r="I286" i="3"/>
  <c r="B286" i="3"/>
  <c r="C255" i="3"/>
  <c r="D255" i="3"/>
  <c r="E255" i="3"/>
  <c r="F255" i="3"/>
  <c r="G255" i="3"/>
  <c r="H255" i="3"/>
  <c r="I255" i="3"/>
  <c r="B255" i="3"/>
  <c r="C224" i="3"/>
  <c r="D224" i="3"/>
  <c r="E224" i="3"/>
  <c r="F224" i="3"/>
  <c r="G224" i="3"/>
  <c r="H224" i="3"/>
  <c r="I224" i="3"/>
  <c r="B224" i="3"/>
  <c r="C193" i="3"/>
  <c r="D193" i="3"/>
  <c r="E193" i="3"/>
  <c r="F193" i="3"/>
  <c r="G193" i="3"/>
  <c r="H193" i="3"/>
  <c r="I193" i="3"/>
  <c r="B193" i="3"/>
  <c r="C162" i="3"/>
  <c r="D162" i="3"/>
  <c r="E162" i="3"/>
  <c r="F162" i="3"/>
  <c r="G162" i="3"/>
  <c r="H162" i="3"/>
  <c r="I162" i="3"/>
  <c r="B162" i="3"/>
  <c r="C131" i="3"/>
  <c r="D131" i="3"/>
  <c r="E131" i="3"/>
  <c r="F131" i="3"/>
  <c r="G131" i="3"/>
  <c r="H131" i="3"/>
  <c r="I131" i="3"/>
  <c r="B131" i="3"/>
  <c r="B138" i="3"/>
  <c r="C100" i="3"/>
  <c r="D100" i="3"/>
  <c r="E100" i="3"/>
  <c r="F100" i="3"/>
  <c r="G100" i="3"/>
  <c r="H100" i="3"/>
  <c r="I100" i="3"/>
  <c r="B100" i="3"/>
  <c r="C69" i="3"/>
  <c r="D69" i="3"/>
  <c r="E69" i="3"/>
  <c r="F69" i="3"/>
  <c r="G69" i="3"/>
  <c r="H69" i="3"/>
  <c r="I69" i="3"/>
  <c r="B69" i="3"/>
  <c r="H8" i="3" l="1"/>
  <c r="F8" i="3"/>
  <c r="D8" i="3"/>
  <c r="G8" i="3"/>
  <c r="C8" i="3"/>
  <c r="E8" i="3"/>
  <c r="I8" i="3"/>
  <c r="B8" i="3"/>
  <c r="C59" i="4" l="1"/>
  <c r="D59" i="4"/>
  <c r="E59" i="4"/>
  <c r="F59" i="4"/>
  <c r="G59" i="4"/>
  <c r="H59" i="4"/>
  <c r="I59" i="4"/>
  <c r="B59" i="4"/>
  <c r="C57" i="4"/>
  <c r="E57" i="4"/>
  <c r="F57" i="4"/>
  <c r="G57" i="4"/>
  <c r="H57" i="4"/>
  <c r="I57" i="4"/>
  <c r="B57" i="4"/>
  <c r="C17" i="4"/>
  <c r="D17" i="4"/>
  <c r="E17" i="4"/>
  <c r="F17" i="4"/>
  <c r="G17" i="4"/>
  <c r="H17" i="4"/>
  <c r="I17" i="4"/>
  <c r="B17" i="4"/>
  <c r="C76" i="3" l="1"/>
  <c r="D76" i="3"/>
  <c r="E76" i="3"/>
  <c r="F76" i="3"/>
  <c r="G76" i="3"/>
  <c r="H76" i="3"/>
  <c r="I76" i="3"/>
  <c r="B76" i="3"/>
  <c r="C359" i="3"/>
  <c r="D359" i="3"/>
  <c r="E359" i="3"/>
  <c r="F359" i="3"/>
  <c r="G359" i="3"/>
  <c r="H359" i="3"/>
  <c r="I359" i="3"/>
  <c r="B359" i="3"/>
  <c r="C328" i="3"/>
  <c r="D328" i="3"/>
  <c r="E328" i="3"/>
  <c r="F328" i="3"/>
  <c r="G328" i="3"/>
  <c r="H328" i="3"/>
  <c r="I328" i="3"/>
  <c r="B328" i="3"/>
  <c r="C293" i="3"/>
  <c r="D293" i="3"/>
  <c r="E293" i="3"/>
  <c r="F293" i="3"/>
  <c r="G293" i="3"/>
  <c r="H293" i="3"/>
  <c r="I293" i="3"/>
  <c r="B293" i="3"/>
  <c r="C262" i="3"/>
  <c r="D262" i="3"/>
  <c r="E262" i="3"/>
  <c r="F262" i="3"/>
  <c r="G262" i="3"/>
  <c r="H262" i="3"/>
  <c r="I262" i="3"/>
  <c r="B262" i="3"/>
  <c r="C231" i="3"/>
  <c r="D231" i="3"/>
  <c r="E231" i="3"/>
  <c r="F231" i="3"/>
  <c r="G231" i="3"/>
  <c r="H231" i="3"/>
  <c r="I231" i="3"/>
  <c r="B231" i="3"/>
  <c r="C200" i="3"/>
  <c r="D200" i="3"/>
  <c r="E200" i="3"/>
  <c r="F200" i="3"/>
  <c r="G200" i="3"/>
  <c r="H200" i="3"/>
  <c r="I200" i="3"/>
  <c r="B200" i="3"/>
  <c r="C138" i="3"/>
  <c r="D138" i="3"/>
  <c r="E138" i="3"/>
  <c r="F138" i="3"/>
  <c r="G138" i="3"/>
  <c r="H138" i="3"/>
  <c r="I138" i="3"/>
  <c r="C169" i="3"/>
  <c r="D169" i="3"/>
  <c r="E169" i="3"/>
  <c r="F169" i="3"/>
  <c r="G169" i="3"/>
  <c r="H169" i="3"/>
  <c r="I169" i="3"/>
  <c r="B169" i="3"/>
  <c r="C107" i="3"/>
  <c r="D107" i="3"/>
  <c r="E107" i="3"/>
  <c r="F107" i="3"/>
  <c r="G107" i="3"/>
  <c r="H107" i="3"/>
  <c r="I107" i="3"/>
  <c r="B107" i="3"/>
  <c r="C45" i="3"/>
  <c r="D45" i="3"/>
  <c r="E45" i="3"/>
  <c r="F45" i="3"/>
  <c r="G45" i="3"/>
  <c r="G14" i="3" s="1"/>
  <c r="G52" i="4" s="1"/>
  <c r="G58" i="4" s="1"/>
  <c r="H45" i="3"/>
  <c r="I45" i="3"/>
  <c r="B45" i="3"/>
  <c r="H14" i="3" l="1"/>
  <c r="H52" i="4" s="1"/>
  <c r="H58" i="4" s="1"/>
  <c r="I14" i="3"/>
  <c r="I52" i="4" s="1"/>
  <c r="I58" i="4" s="1"/>
  <c r="F14" i="3"/>
  <c r="F52" i="4" s="1"/>
  <c r="F58" i="4" s="1"/>
  <c r="D14" i="3"/>
  <c r="D52" i="4" s="1"/>
  <c r="D58" i="4" s="1"/>
  <c r="C14" i="3"/>
  <c r="C52" i="4" s="1"/>
  <c r="C58" i="4" s="1"/>
  <c r="E14" i="3"/>
  <c r="E52" i="4" s="1"/>
  <c r="E58" i="4" s="1"/>
  <c r="B14" i="3"/>
  <c r="B52" i="4" s="1"/>
  <c r="B58" i="4" s="1"/>
  <c r="C34" i="4" l="1"/>
  <c r="D34" i="4"/>
  <c r="E34" i="4"/>
  <c r="F34" i="4"/>
  <c r="G34" i="4"/>
  <c r="H34" i="4"/>
  <c r="I34" i="4"/>
  <c r="J34" i="4" s="1"/>
  <c r="K34" i="4" s="1"/>
  <c r="L34" i="4" s="1"/>
  <c r="M34" i="4" s="1"/>
  <c r="N34" i="4" s="1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B42" i="4"/>
  <c r="C40" i="4"/>
  <c r="D40" i="4"/>
  <c r="E40" i="4"/>
  <c r="F40" i="4"/>
  <c r="G40" i="4"/>
  <c r="H40" i="4"/>
  <c r="I40" i="4"/>
  <c r="J40" i="4" s="1"/>
  <c r="K40" i="4" s="1"/>
  <c r="L40" i="4" s="1"/>
  <c r="M40" i="4" s="1"/>
  <c r="N40" i="4" s="1"/>
  <c r="B40" i="4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B35" i="4"/>
  <c r="C61" i="4" l="1"/>
  <c r="C64" i="4" s="1"/>
  <c r="D61" i="4"/>
  <c r="D64" i="4" s="1"/>
  <c r="E61" i="4"/>
  <c r="E64" i="4" s="1"/>
  <c r="F61" i="4"/>
  <c r="F64" i="4" s="1"/>
  <c r="G61" i="4"/>
  <c r="G64" i="4" s="1"/>
  <c r="H61" i="4"/>
  <c r="H64" i="4" s="1"/>
  <c r="I61" i="4"/>
  <c r="I64" i="4" s="1"/>
  <c r="B61" i="4"/>
  <c r="B64" i="4" s="1"/>
  <c r="C60" i="4"/>
  <c r="D60" i="4"/>
  <c r="E60" i="4"/>
  <c r="H60" i="4"/>
  <c r="I60" i="4"/>
  <c r="C50" i="4"/>
  <c r="D50" i="4"/>
  <c r="E50" i="4"/>
  <c r="F50" i="4"/>
  <c r="G50" i="4"/>
  <c r="H50" i="4"/>
  <c r="I50" i="4"/>
  <c r="B50" i="4"/>
  <c r="C48" i="4"/>
  <c r="E48" i="4"/>
  <c r="F48" i="4"/>
  <c r="G48" i="4"/>
  <c r="H48" i="4"/>
  <c r="I48" i="4"/>
  <c r="J48" i="4" s="1"/>
  <c r="C41" i="4"/>
  <c r="C39" i="4" s="1"/>
  <c r="D41" i="4"/>
  <c r="D39" i="4" s="1"/>
  <c r="E41" i="4"/>
  <c r="E39" i="4" s="1"/>
  <c r="F41" i="4"/>
  <c r="F39" i="4" s="1"/>
  <c r="G41" i="4"/>
  <c r="G39" i="4" s="1"/>
  <c r="H41" i="4"/>
  <c r="H39" i="4" s="1"/>
  <c r="I41" i="4"/>
  <c r="I39" i="4" s="1"/>
  <c r="J39" i="4" s="1"/>
  <c r="K39" i="4" s="1"/>
  <c r="L39" i="4" s="1"/>
  <c r="M39" i="4" s="1"/>
  <c r="N39" i="4" s="1"/>
  <c r="B41" i="4"/>
  <c r="B39" i="4" s="1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B38" i="4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B37" i="4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B36" i="4"/>
  <c r="C33" i="4"/>
  <c r="D33" i="4"/>
  <c r="E33" i="4"/>
  <c r="F33" i="4"/>
  <c r="F32" i="4" s="1"/>
  <c r="G33" i="4"/>
  <c r="G32" i="4" s="1"/>
  <c r="H33" i="4"/>
  <c r="H32" i="4" s="1"/>
  <c r="I33" i="4"/>
  <c r="J33" i="4" s="1"/>
  <c r="K33" i="4" s="1"/>
  <c r="L33" i="4" s="1"/>
  <c r="M33" i="4" s="1"/>
  <c r="N33" i="4" s="1"/>
  <c r="B34" i="4"/>
  <c r="B33" i="4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B30" i="4"/>
  <c r="B29" i="4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B28" i="4"/>
  <c r="B27" i="4"/>
  <c r="C26" i="4"/>
  <c r="D26" i="4"/>
  <c r="E26" i="4"/>
  <c r="F26" i="4"/>
  <c r="G26" i="4"/>
  <c r="H26" i="4"/>
  <c r="I26" i="4"/>
  <c r="B26" i="4"/>
  <c r="C25" i="4"/>
  <c r="D25" i="4"/>
  <c r="E25" i="4"/>
  <c r="F25" i="4"/>
  <c r="G25" i="4"/>
  <c r="H25" i="4"/>
  <c r="I25" i="4"/>
  <c r="B25" i="4"/>
  <c r="C23" i="4"/>
  <c r="D23" i="4"/>
  <c r="E23" i="4"/>
  <c r="F23" i="4"/>
  <c r="G23" i="4"/>
  <c r="H23" i="4"/>
  <c r="I23" i="4"/>
  <c r="B23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B22" i="4"/>
  <c r="C21" i="4"/>
  <c r="D21" i="4"/>
  <c r="E21" i="4"/>
  <c r="F21" i="4"/>
  <c r="G21" i="4"/>
  <c r="H21" i="4"/>
  <c r="I21" i="4"/>
  <c r="B21" i="4"/>
  <c r="C15" i="4"/>
  <c r="D15" i="4"/>
  <c r="E15" i="4"/>
  <c r="F15" i="4"/>
  <c r="G15" i="4"/>
  <c r="H15" i="4"/>
  <c r="I15" i="4"/>
  <c r="J15" i="4" s="1"/>
  <c r="B15" i="4"/>
  <c r="C12" i="4"/>
  <c r="D12" i="4"/>
  <c r="E12" i="4"/>
  <c r="F12" i="4"/>
  <c r="G12" i="4"/>
  <c r="H12" i="4"/>
  <c r="I12" i="4"/>
  <c r="B12" i="4"/>
  <c r="K15" i="4" l="1"/>
  <c r="L15" i="4" s="1"/>
  <c r="M15" i="4" s="1"/>
  <c r="N15" i="4" s="1"/>
  <c r="K48" i="4"/>
  <c r="J49" i="4"/>
  <c r="I31" i="4"/>
  <c r="D51" i="4"/>
  <c r="H43" i="4"/>
  <c r="G43" i="4"/>
  <c r="F43" i="4"/>
  <c r="H51" i="4"/>
  <c r="I51" i="4"/>
  <c r="G51" i="4"/>
  <c r="E51" i="4"/>
  <c r="F51" i="4"/>
  <c r="B51" i="4"/>
  <c r="C51" i="4"/>
  <c r="C31" i="4"/>
  <c r="E31" i="4"/>
  <c r="H31" i="4"/>
  <c r="D31" i="4"/>
  <c r="I32" i="4"/>
  <c r="E32" i="4"/>
  <c r="E43" i="4" s="1"/>
  <c r="G31" i="4"/>
  <c r="D32" i="4"/>
  <c r="D43" i="4" s="1"/>
  <c r="B31" i="4"/>
  <c r="F31" i="4"/>
  <c r="B32" i="4"/>
  <c r="B43" i="4" s="1"/>
  <c r="C32" i="4"/>
  <c r="C43" i="4" s="1"/>
  <c r="F60" i="4"/>
  <c r="G60" i="4"/>
  <c r="F18" i="4"/>
  <c r="G18" i="4"/>
  <c r="D18" i="4"/>
  <c r="H18" i="4"/>
  <c r="E18" i="4"/>
  <c r="I18" i="4"/>
  <c r="I43" i="4" l="1"/>
  <c r="J32" i="4"/>
  <c r="L48" i="4"/>
  <c r="K49" i="4"/>
  <c r="C18" i="4"/>
  <c r="M48" i="4" l="1"/>
  <c r="L49" i="4"/>
  <c r="K32" i="4"/>
  <c r="J43" i="4"/>
  <c r="I212" i="1"/>
  <c r="H212" i="1"/>
  <c r="G212" i="1"/>
  <c r="F212" i="1"/>
  <c r="E212" i="1"/>
  <c r="D212" i="1"/>
  <c r="C212" i="1"/>
  <c r="B208" i="1"/>
  <c r="B211" i="1" s="1"/>
  <c r="B212" i="1" s="1"/>
  <c r="I197" i="1"/>
  <c r="H197" i="1"/>
  <c r="G197" i="1"/>
  <c r="F197" i="1"/>
  <c r="E197" i="1"/>
  <c r="D197" i="1"/>
  <c r="C197" i="1"/>
  <c r="B197" i="1"/>
  <c r="I178" i="1"/>
  <c r="I181" i="1" s="1"/>
  <c r="H178" i="1"/>
  <c r="H181" i="1" s="1"/>
  <c r="G178" i="1"/>
  <c r="G181" i="1" s="1"/>
  <c r="F178" i="1"/>
  <c r="F181" i="1" s="1"/>
  <c r="E178" i="1"/>
  <c r="E181" i="1" s="1"/>
  <c r="D178" i="1"/>
  <c r="D181" i="1" s="1"/>
  <c r="C178" i="1"/>
  <c r="C181" i="1" s="1"/>
  <c r="B178" i="1"/>
  <c r="B181" i="1" s="1"/>
  <c r="I163" i="1"/>
  <c r="I166" i="1" s="1"/>
  <c r="H163" i="1"/>
  <c r="H166" i="1" s="1"/>
  <c r="G163" i="1"/>
  <c r="G166" i="1" s="1"/>
  <c r="F163" i="1"/>
  <c r="F166" i="1" s="1"/>
  <c r="E163" i="1"/>
  <c r="E166" i="1" s="1"/>
  <c r="D163" i="1"/>
  <c r="D166" i="1" s="1"/>
  <c r="C163" i="1"/>
  <c r="C166" i="1" s="1"/>
  <c r="B163" i="1"/>
  <c r="B166" i="1" s="1"/>
  <c r="I145" i="1"/>
  <c r="H145" i="1"/>
  <c r="G145" i="1"/>
  <c r="F145" i="1"/>
  <c r="E145" i="1"/>
  <c r="D140" i="1"/>
  <c r="C140" i="1"/>
  <c r="B140" i="1"/>
  <c r="D136" i="1"/>
  <c r="C136" i="1"/>
  <c r="B136" i="1"/>
  <c r="D132" i="1"/>
  <c r="C132" i="1"/>
  <c r="B132" i="1"/>
  <c r="D128" i="1"/>
  <c r="C128" i="1"/>
  <c r="B128" i="1"/>
  <c r="I123" i="1"/>
  <c r="H123" i="1"/>
  <c r="G123" i="1"/>
  <c r="F123" i="1"/>
  <c r="E123" i="1"/>
  <c r="D123" i="1"/>
  <c r="C123" i="1"/>
  <c r="B123" i="1"/>
  <c r="I119" i="1"/>
  <c r="H119" i="1"/>
  <c r="G119" i="1"/>
  <c r="F119" i="1"/>
  <c r="E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96" i="1"/>
  <c r="C96" i="1"/>
  <c r="B96" i="1"/>
  <c r="I85" i="1"/>
  <c r="H85" i="1"/>
  <c r="G85" i="1"/>
  <c r="F85" i="1"/>
  <c r="E85" i="1"/>
  <c r="D85" i="1"/>
  <c r="C85" i="1"/>
  <c r="B85" i="1"/>
  <c r="F76" i="1"/>
  <c r="E76" i="1"/>
  <c r="D76" i="1"/>
  <c r="C76" i="1"/>
  <c r="B76" i="1"/>
  <c r="I58" i="1"/>
  <c r="H58" i="1"/>
  <c r="G58" i="1"/>
  <c r="F58" i="1"/>
  <c r="E58" i="1"/>
  <c r="D58" i="1"/>
  <c r="C58" i="1"/>
  <c r="B58" i="1"/>
  <c r="I45" i="1"/>
  <c r="I70" i="4" s="1"/>
  <c r="J70" i="4" s="1"/>
  <c r="H45" i="1"/>
  <c r="H70" i="4" s="1"/>
  <c r="G45" i="1"/>
  <c r="G70" i="4" s="1"/>
  <c r="F45" i="1"/>
  <c r="F70" i="4" s="1"/>
  <c r="E45" i="1"/>
  <c r="E70" i="4" s="1"/>
  <c r="D45" i="1"/>
  <c r="D70" i="4" s="1"/>
  <c r="C45" i="1"/>
  <c r="C70" i="4" s="1"/>
  <c r="B45" i="1"/>
  <c r="B70" i="4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H4" i="1"/>
  <c r="G4" i="1"/>
  <c r="F4" i="1"/>
  <c r="E4" i="1"/>
  <c r="D4" i="1"/>
  <c r="D10" i="1" s="1"/>
  <c r="D12" i="1" s="1"/>
  <c r="D20" i="1" s="1"/>
  <c r="C4" i="1"/>
  <c r="C10" i="1" s="1"/>
  <c r="C12" i="1" s="1"/>
  <c r="C20" i="1" s="1"/>
  <c r="B4" i="1"/>
  <c r="B10" i="1" s="1"/>
  <c r="B12" i="1" s="1"/>
  <c r="B20" i="1" s="1"/>
  <c r="C10" i="4"/>
  <c r="D10" i="4"/>
  <c r="E10" i="4"/>
  <c r="F10" i="4"/>
  <c r="G10" i="4"/>
  <c r="H10" i="4"/>
  <c r="I10" i="4"/>
  <c r="B10" i="4"/>
  <c r="I363" i="3"/>
  <c r="E363" i="3"/>
  <c r="H357" i="3"/>
  <c r="D357" i="3"/>
  <c r="I355" i="3"/>
  <c r="B354" i="3"/>
  <c r="G364" i="3"/>
  <c r="C364" i="3"/>
  <c r="I332" i="3"/>
  <c r="G329" i="3"/>
  <c r="C326" i="3"/>
  <c r="F318" i="3"/>
  <c r="F320" i="3" s="1"/>
  <c r="D318" i="3"/>
  <c r="I315" i="3"/>
  <c r="I317" i="3" s="1"/>
  <c r="G315" i="3"/>
  <c r="G317" i="3" s="1"/>
  <c r="G311" i="3"/>
  <c r="G313" i="3" s="1"/>
  <c r="I307" i="3"/>
  <c r="G307" i="3"/>
  <c r="H303" i="3"/>
  <c r="F303" i="3"/>
  <c r="I301" i="3"/>
  <c r="G301" i="3"/>
  <c r="F333" i="3"/>
  <c r="C301" i="3"/>
  <c r="E297" i="3"/>
  <c r="G291" i="3"/>
  <c r="C291" i="3"/>
  <c r="G283" i="3"/>
  <c r="C266" i="3"/>
  <c r="C245" i="3"/>
  <c r="B227" i="3"/>
  <c r="C225" i="3"/>
  <c r="D210" i="3"/>
  <c r="D208" i="3"/>
  <c r="B236" i="3"/>
  <c r="B199" i="3"/>
  <c r="C183" i="3"/>
  <c r="D156" i="3"/>
  <c r="D152" i="3"/>
  <c r="D164" i="3"/>
  <c r="B174" i="3"/>
  <c r="G136" i="3"/>
  <c r="F134" i="3"/>
  <c r="F125" i="3"/>
  <c r="F127" i="3" s="1"/>
  <c r="I121" i="3"/>
  <c r="F121" i="3"/>
  <c r="F123" i="3" s="1"/>
  <c r="G117" i="3"/>
  <c r="G119" i="3" s="1"/>
  <c r="E140" i="3"/>
  <c r="I111" i="3"/>
  <c r="H111" i="3"/>
  <c r="G111" i="3"/>
  <c r="F111" i="3"/>
  <c r="E111" i="3"/>
  <c r="D111" i="3"/>
  <c r="C111" i="3"/>
  <c r="H103" i="3"/>
  <c r="G103" i="3"/>
  <c r="F103" i="3"/>
  <c r="D103" i="3"/>
  <c r="C103" i="3"/>
  <c r="B103" i="3"/>
  <c r="G94" i="3"/>
  <c r="C94" i="3"/>
  <c r="I90" i="3"/>
  <c r="I92" i="3" s="1"/>
  <c r="E90" i="3"/>
  <c r="E92" i="3" s="1"/>
  <c r="I86" i="3"/>
  <c r="G86" i="3"/>
  <c r="E86" i="3"/>
  <c r="C86" i="3"/>
  <c r="I112" i="3"/>
  <c r="H112" i="3"/>
  <c r="G112" i="3"/>
  <c r="F112" i="3"/>
  <c r="E112" i="3"/>
  <c r="D112" i="3"/>
  <c r="B112" i="3"/>
  <c r="I80" i="3"/>
  <c r="H80" i="3"/>
  <c r="G80" i="3"/>
  <c r="F80" i="3"/>
  <c r="I77" i="3"/>
  <c r="H77" i="3"/>
  <c r="G77" i="3"/>
  <c r="F77" i="3"/>
  <c r="I74" i="3"/>
  <c r="H74" i="3"/>
  <c r="G74" i="3"/>
  <c r="F74" i="3"/>
  <c r="I72" i="3"/>
  <c r="H72" i="3"/>
  <c r="G72" i="3"/>
  <c r="F72" i="3"/>
  <c r="E72" i="3"/>
  <c r="I70" i="3"/>
  <c r="H70" i="3"/>
  <c r="G70" i="3"/>
  <c r="F70" i="3"/>
  <c r="E70" i="3"/>
  <c r="I66" i="3"/>
  <c r="H66" i="3"/>
  <c r="G66" i="3"/>
  <c r="F66" i="3"/>
  <c r="E66" i="3"/>
  <c r="F63" i="3"/>
  <c r="F65" i="3" s="1"/>
  <c r="F55" i="3"/>
  <c r="F57" i="3" s="1"/>
  <c r="I75" i="3"/>
  <c r="H71" i="3"/>
  <c r="F71" i="3"/>
  <c r="E75" i="3"/>
  <c r="D49" i="3"/>
  <c r="B46" i="3"/>
  <c r="F43" i="3"/>
  <c r="B43" i="3"/>
  <c r="E35" i="3"/>
  <c r="B32" i="3"/>
  <c r="B28" i="3"/>
  <c r="B24" i="3"/>
  <c r="F3" i="3"/>
  <c r="F3" i="4" s="1"/>
  <c r="F24" i="4" s="1"/>
  <c r="E40" i="3"/>
  <c r="B3" i="3"/>
  <c r="B3" i="4" s="1"/>
  <c r="B24" i="4" s="1"/>
  <c r="G17" i="3"/>
  <c r="F17" i="3"/>
  <c r="H3" i="3"/>
  <c r="H3" i="4" s="1"/>
  <c r="H24" i="4" s="1"/>
  <c r="L32" i="4" l="1"/>
  <c r="K43" i="4"/>
  <c r="K70" i="4"/>
  <c r="N48" i="4"/>
  <c r="N49" i="4" s="1"/>
  <c r="M49" i="4"/>
  <c r="I144" i="1"/>
  <c r="F59" i="1"/>
  <c r="F60" i="1" s="1"/>
  <c r="E98" i="1"/>
  <c r="E10" i="1"/>
  <c r="E12" i="1" s="1"/>
  <c r="E20" i="1" s="1"/>
  <c r="F10" i="1"/>
  <c r="F12" i="1" s="1"/>
  <c r="F20" i="1" s="1"/>
  <c r="H10" i="1"/>
  <c r="H12" i="1" s="1"/>
  <c r="I10" i="1"/>
  <c r="I12" i="1" s="1"/>
  <c r="I20" i="1" s="1"/>
  <c r="E144" i="1"/>
  <c r="E151" i="1" s="1"/>
  <c r="G10" i="1"/>
  <c r="G12" i="1" s="1"/>
  <c r="G20" i="1" s="1"/>
  <c r="G144" i="1"/>
  <c r="G151" i="1" s="1"/>
  <c r="F67" i="3"/>
  <c r="G67" i="3"/>
  <c r="C22" i="3"/>
  <c r="G22" i="3"/>
  <c r="C24" i="3"/>
  <c r="C26" i="3" s="1"/>
  <c r="G24" i="3"/>
  <c r="G26" i="3" s="1"/>
  <c r="C28" i="3"/>
  <c r="C30" i="3" s="1"/>
  <c r="G28" i="3"/>
  <c r="G30" i="3" s="1"/>
  <c r="C32" i="3"/>
  <c r="C34" i="3" s="1"/>
  <c r="G32" i="3"/>
  <c r="G34" i="3" s="1"/>
  <c r="F35" i="3"/>
  <c r="I35" i="3"/>
  <c r="F9" i="3"/>
  <c r="F46" i="3"/>
  <c r="B17" i="3"/>
  <c r="B18" i="3" s="1"/>
  <c r="F59" i="3"/>
  <c r="F61" i="3" s="1"/>
  <c r="F108" i="3"/>
  <c r="F115" i="3"/>
  <c r="I117" i="3"/>
  <c r="I119" i="3" s="1"/>
  <c r="G134" i="3"/>
  <c r="F137" i="3"/>
  <c r="I140" i="3"/>
  <c r="C156" i="3"/>
  <c r="C158" i="3" s="1"/>
  <c r="C210" i="3"/>
  <c r="C212" i="3" s="1"/>
  <c r="C226" i="3"/>
  <c r="D239" i="3"/>
  <c r="I322" i="3"/>
  <c r="H329" i="3"/>
  <c r="G355" i="3"/>
  <c r="E28" i="3"/>
  <c r="E30" i="3" s="1"/>
  <c r="B35" i="3"/>
  <c r="B36" i="3" s="1"/>
  <c r="C88" i="3"/>
  <c r="G88" i="3"/>
  <c r="I125" i="3"/>
  <c r="I127" i="3" s="1"/>
  <c r="F128" i="3"/>
  <c r="F130" i="3" s="1"/>
  <c r="E17" i="3"/>
  <c r="F18" i="3" s="1"/>
  <c r="I17" i="3"/>
  <c r="I18" i="3" s="1"/>
  <c r="C179" i="3"/>
  <c r="C181" i="3" s="1"/>
  <c r="C289" i="3"/>
  <c r="H305" i="3"/>
  <c r="G309" i="3"/>
  <c r="B324" i="3"/>
  <c r="F324" i="3"/>
  <c r="D40" i="3"/>
  <c r="H40" i="3"/>
  <c r="C96" i="3"/>
  <c r="G96" i="3"/>
  <c r="B97" i="3"/>
  <c r="B99" i="3" s="1"/>
  <c r="I47" i="4"/>
  <c r="D154" i="3"/>
  <c r="D158" i="3"/>
  <c r="C199" i="3"/>
  <c r="D212" i="3"/>
  <c r="C235" i="3"/>
  <c r="C247" i="3"/>
  <c r="G18" i="3"/>
  <c r="D24" i="3"/>
  <c r="D26" i="3" s="1"/>
  <c r="H24" i="3"/>
  <c r="H26" i="3" s="1"/>
  <c r="D32" i="3"/>
  <c r="D34" i="3" s="1"/>
  <c r="H32" i="3"/>
  <c r="H34" i="3" s="1"/>
  <c r="D44" i="3"/>
  <c r="H44" i="3"/>
  <c r="G46" i="3"/>
  <c r="C49" i="3"/>
  <c r="G49" i="3"/>
  <c r="G59" i="3"/>
  <c r="G61" i="3" s="1"/>
  <c r="G63" i="3"/>
  <c r="G65" i="3" s="1"/>
  <c r="F86" i="3"/>
  <c r="F88" i="3" s="1"/>
  <c r="F90" i="3"/>
  <c r="F92" i="3" s="1"/>
  <c r="D94" i="3"/>
  <c r="D96" i="3" s="1"/>
  <c r="H94" i="3"/>
  <c r="H96" i="3" s="1"/>
  <c r="B106" i="3"/>
  <c r="F105" i="3"/>
  <c r="I143" i="3"/>
  <c r="H121" i="3"/>
  <c r="H123" i="3" s="1"/>
  <c r="F142" i="3"/>
  <c r="E143" i="3"/>
  <c r="D194" i="3"/>
  <c r="C198" i="3"/>
  <c r="C218" i="3"/>
  <c r="C220" i="3" s="1"/>
  <c r="B221" i="3"/>
  <c r="B223" i="3" s="1"/>
  <c r="G270" i="3"/>
  <c r="H289" i="3"/>
  <c r="G298" i="3"/>
  <c r="F311" i="3"/>
  <c r="H315" i="3"/>
  <c r="H317" i="3" s="1"/>
  <c r="B361" i="3"/>
  <c r="F361" i="3"/>
  <c r="B364" i="3"/>
  <c r="F364" i="3"/>
  <c r="F24" i="3"/>
  <c r="B41" i="3"/>
  <c r="F41" i="3"/>
  <c r="F39" i="3"/>
  <c r="H50" i="3"/>
  <c r="I123" i="3"/>
  <c r="E134" i="3"/>
  <c r="I134" i="3"/>
  <c r="B168" i="3"/>
  <c r="D230" i="3"/>
  <c r="D257" i="3"/>
  <c r="G292" i="3"/>
  <c r="I288" i="3"/>
  <c r="G326" i="3"/>
  <c r="F329" i="3"/>
  <c r="F332" i="3"/>
  <c r="E364" i="3"/>
  <c r="I336" i="3"/>
  <c r="C3" i="3"/>
  <c r="C3" i="4" s="1"/>
  <c r="C24" i="4" s="1"/>
  <c r="B26" i="3"/>
  <c r="B34" i="3"/>
  <c r="F32" i="3"/>
  <c r="F34" i="3" s="1"/>
  <c r="G55" i="3"/>
  <c r="G57" i="3" s="1"/>
  <c r="G115" i="3"/>
  <c r="F117" i="3"/>
  <c r="F119" i="3" s="1"/>
  <c r="I132" i="3"/>
  <c r="F139" i="3"/>
  <c r="C167" i="3"/>
  <c r="D187" i="3"/>
  <c r="D189" i="3" s="1"/>
  <c r="C261" i="3"/>
  <c r="C241" i="3"/>
  <c r="C243" i="3" s="1"/>
  <c r="D267" i="3"/>
  <c r="H270" i="3"/>
  <c r="H333" i="3"/>
  <c r="F307" i="3"/>
  <c r="F309" i="3" s="1"/>
  <c r="H311" i="3"/>
  <c r="H313" i="3" s="1"/>
  <c r="B318" i="3"/>
  <c r="B320" i="3" s="1"/>
  <c r="G332" i="3"/>
  <c r="C46" i="3"/>
  <c r="C50" i="3"/>
  <c r="G108" i="3"/>
  <c r="B195" i="3"/>
  <c r="B196" i="3"/>
  <c r="C205" i="3"/>
  <c r="C204" i="3"/>
  <c r="C349" i="3"/>
  <c r="C351" i="3" s="1"/>
  <c r="C355" i="3"/>
  <c r="I357" i="3"/>
  <c r="I358" i="3"/>
  <c r="I349" i="3"/>
  <c r="I351" i="3" s="1"/>
  <c r="D3" i="3"/>
  <c r="D3" i="4" s="1"/>
  <c r="C17" i="3"/>
  <c r="C18" i="3" s="1"/>
  <c r="E39" i="3"/>
  <c r="I39" i="3"/>
  <c r="H41" i="3"/>
  <c r="E43" i="3"/>
  <c r="I43" i="3"/>
  <c r="D50" i="3"/>
  <c r="H81" i="3"/>
  <c r="C90" i="3"/>
  <c r="C92" i="3" s="1"/>
  <c r="G90" i="3"/>
  <c r="G92" i="3" s="1"/>
  <c r="E94" i="3"/>
  <c r="E96" i="3" s="1"/>
  <c r="I94" i="3"/>
  <c r="I96" i="3" s="1"/>
  <c r="C97" i="3"/>
  <c r="C99" i="3" s="1"/>
  <c r="E97" i="3"/>
  <c r="E99" i="3" s="1"/>
  <c r="I97" i="3"/>
  <c r="I99" i="3" s="1"/>
  <c r="C105" i="3"/>
  <c r="G106" i="3"/>
  <c r="F109" i="3"/>
  <c r="G128" i="3"/>
  <c r="D256" i="3"/>
  <c r="C257" i="3"/>
  <c r="C252" i="3"/>
  <c r="C254" i="3" s="1"/>
  <c r="E288" i="3"/>
  <c r="E283" i="3"/>
  <c r="E285" i="3" s="1"/>
  <c r="D324" i="3"/>
  <c r="C98" i="1"/>
  <c r="G98" i="1"/>
  <c r="D41" i="3"/>
  <c r="E357" i="3"/>
  <c r="E349" i="3"/>
  <c r="E351" i="3" s="1"/>
  <c r="E47" i="4"/>
  <c r="E6" i="4"/>
  <c r="C15" i="3"/>
  <c r="D17" i="3"/>
  <c r="H17" i="3"/>
  <c r="H19" i="3" s="1"/>
  <c r="F19" i="3"/>
  <c r="B39" i="3"/>
  <c r="B50" i="3"/>
  <c r="F50" i="3"/>
  <c r="G50" i="3"/>
  <c r="G84" i="3"/>
  <c r="F94" i="3"/>
  <c r="F96" i="3" s="1"/>
  <c r="F106" i="3"/>
  <c r="B190" i="3"/>
  <c r="B192" i="3" s="1"/>
  <c r="B230" i="3"/>
  <c r="D235" i="3"/>
  <c r="D236" i="3"/>
  <c r="F288" i="3"/>
  <c r="G289" i="3"/>
  <c r="D297" i="3"/>
  <c r="H297" i="3"/>
  <c r="F305" i="3"/>
  <c r="G349" i="3"/>
  <c r="G351" i="3" s="1"/>
  <c r="I6" i="4"/>
  <c r="H22" i="3"/>
  <c r="F26" i="3"/>
  <c r="H28" i="3"/>
  <c r="H30" i="3" s="1"/>
  <c r="G105" i="3"/>
  <c r="G3" i="3"/>
  <c r="F47" i="4"/>
  <c r="F6" i="4"/>
  <c r="D22" i="3"/>
  <c r="B30" i="3"/>
  <c r="D28" i="3"/>
  <c r="D30" i="3" s="1"/>
  <c r="H49" i="3"/>
  <c r="D84" i="3"/>
  <c r="E106" i="3"/>
  <c r="I106" i="3"/>
  <c r="E109" i="3"/>
  <c r="H115" i="3"/>
  <c r="B226" i="3"/>
  <c r="H324" i="3"/>
  <c r="H318" i="3"/>
  <c r="H320" i="3" s="1"/>
  <c r="I64" i="1"/>
  <c r="I76" i="1" s="1"/>
  <c r="I98" i="1" s="1"/>
  <c r="E59" i="1"/>
  <c r="E60" i="1" s="1"/>
  <c r="I59" i="1"/>
  <c r="I60" i="1" s="1"/>
  <c r="G125" i="3"/>
  <c r="G127" i="3" s="1"/>
  <c r="H132" i="3"/>
  <c r="H133" i="3"/>
  <c r="E128" i="3"/>
  <c r="E130" i="3" s="1"/>
  <c r="D146" i="3"/>
  <c r="D148" i="3"/>
  <c r="D150" i="3" s="1"/>
  <c r="C177" i="3"/>
  <c r="D199" i="3"/>
  <c r="D204" i="3"/>
  <c r="C208" i="3"/>
  <c r="D214" i="3"/>
  <c r="D216" i="3" s="1"/>
  <c r="D218" i="3"/>
  <c r="D220" i="3" s="1"/>
  <c r="C227" i="3"/>
  <c r="D241" i="3"/>
  <c r="D243" i="3" s="1"/>
  <c r="D245" i="3"/>
  <c r="D247" i="3" s="1"/>
  <c r="C249" i="3"/>
  <c r="C251" i="3" s="1"/>
  <c r="C298" i="3"/>
  <c r="C270" i="3"/>
  <c r="C283" i="3"/>
  <c r="C285" i="3" s="1"/>
  <c r="C288" i="3"/>
  <c r="C292" i="3"/>
  <c r="G303" i="3"/>
  <c r="G305" i="3" s="1"/>
  <c r="I303" i="3"/>
  <c r="I305" i="3" s="1"/>
  <c r="H307" i="3"/>
  <c r="H309" i="3" s="1"/>
  <c r="I311" i="3"/>
  <c r="I313" i="3" s="1"/>
  <c r="F315" i="3"/>
  <c r="F317" i="3" s="1"/>
  <c r="D326" i="3"/>
  <c r="H326" i="3"/>
  <c r="B358" i="3"/>
  <c r="F358" i="3"/>
  <c r="C363" i="3"/>
  <c r="G363" i="3"/>
  <c r="B59" i="1"/>
  <c r="B60" i="1" s="1"/>
  <c r="D98" i="1"/>
  <c r="I133" i="3"/>
  <c r="C152" i="3"/>
  <c r="C154" i="3" s="1"/>
  <c r="G288" i="3"/>
  <c r="I309" i="3"/>
  <c r="F313" i="3"/>
  <c r="E354" i="3"/>
  <c r="I354" i="3"/>
  <c r="E355" i="3"/>
  <c r="H361" i="3"/>
  <c r="D364" i="3"/>
  <c r="H364" i="3"/>
  <c r="C59" i="1"/>
  <c r="C60" i="1" s="1"/>
  <c r="G59" i="1"/>
  <c r="G60" i="1" s="1"/>
  <c r="C144" i="1"/>
  <c r="C151" i="1" s="1"/>
  <c r="F144" i="1"/>
  <c r="F151" i="1" s="1"/>
  <c r="B144" i="1"/>
  <c r="B151" i="1" s="1"/>
  <c r="I151" i="1"/>
  <c r="F132" i="3"/>
  <c r="G137" i="3"/>
  <c r="E137" i="3"/>
  <c r="F140" i="3"/>
  <c r="G143" i="3"/>
  <c r="G142" i="3"/>
  <c r="C148" i="3"/>
  <c r="C150" i="3" s="1"/>
  <c r="D177" i="3"/>
  <c r="D179" i="3"/>
  <c r="D181" i="3" s="1"/>
  <c r="D183" i="3"/>
  <c r="D185" i="3" s="1"/>
  <c r="C187" i="3"/>
  <c r="C189" i="3" s="1"/>
  <c r="C214" i="3"/>
  <c r="C216" i="3" s="1"/>
  <c r="D266" i="3"/>
  <c r="C267" i="3"/>
  <c r="G285" i="3"/>
  <c r="D358" i="3"/>
  <c r="H358" i="3"/>
  <c r="D59" i="1"/>
  <c r="D60" i="1" s="1"/>
  <c r="H59" i="1"/>
  <c r="H60" i="1" s="1"/>
  <c r="B98" i="1"/>
  <c r="B100" i="1" s="1"/>
  <c r="H144" i="1"/>
  <c r="H151" i="1" s="1"/>
  <c r="D144" i="1"/>
  <c r="D151" i="1" s="1"/>
  <c r="D15" i="3"/>
  <c r="G19" i="3"/>
  <c r="B40" i="3"/>
  <c r="B22" i="3"/>
  <c r="B47" i="3"/>
  <c r="B44" i="3"/>
  <c r="F44" i="3"/>
  <c r="F47" i="3"/>
  <c r="F40" i="3"/>
  <c r="F22" i="3"/>
  <c r="E22" i="3"/>
  <c r="E24" i="3"/>
  <c r="E26" i="3" s="1"/>
  <c r="I24" i="3"/>
  <c r="I26" i="3" s="1"/>
  <c r="I28" i="3"/>
  <c r="I30" i="3" s="1"/>
  <c r="C44" i="3"/>
  <c r="C43" i="3"/>
  <c r="C35" i="3"/>
  <c r="G44" i="3"/>
  <c r="G35" i="3"/>
  <c r="G43" i="3"/>
  <c r="E44" i="3"/>
  <c r="H16" i="3"/>
  <c r="I3" i="3"/>
  <c r="I37" i="3"/>
  <c r="C4" i="3"/>
  <c r="B4" i="3"/>
  <c r="F10" i="3"/>
  <c r="I15" i="3"/>
  <c r="D4" i="3"/>
  <c r="C41" i="3"/>
  <c r="C40" i="3"/>
  <c r="C39" i="3"/>
  <c r="G41" i="3"/>
  <c r="G40" i="3"/>
  <c r="G39" i="3"/>
  <c r="I44" i="3"/>
  <c r="D47" i="3"/>
  <c r="D46" i="3"/>
  <c r="H47" i="3"/>
  <c r="H46" i="3"/>
  <c r="E3" i="3"/>
  <c r="E37" i="3"/>
  <c r="B10" i="3"/>
  <c r="B9" i="3"/>
  <c r="H18" i="3"/>
  <c r="I22" i="3"/>
  <c r="F28" i="3"/>
  <c r="F30" i="3" s="1"/>
  <c r="E32" i="3"/>
  <c r="E34" i="3" s="1"/>
  <c r="I32" i="3"/>
  <c r="I34" i="3" s="1"/>
  <c r="F37" i="3"/>
  <c r="F36" i="3"/>
  <c r="I40" i="3"/>
  <c r="E47" i="3"/>
  <c r="I47" i="3"/>
  <c r="E50" i="3"/>
  <c r="I50" i="3"/>
  <c r="E101" i="3"/>
  <c r="H292" i="3"/>
  <c r="H283" i="3"/>
  <c r="I41" i="3"/>
  <c r="C47" i="3"/>
  <c r="I49" i="3"/>
  <c r="H84" i="3"/>
  <c r="F101" i="3"/>
  <c r="C106" i="3"/>
  <c r="G109" i="3"/>
  <c r="I128" i="3"/>
  <c r="I136" i="3"/>
  <c r="I137" i="3"/>
  <c r="I142" i="3"/>
  <c r="H142" i="3"/>
  <c r="H143" i="3"/>
  <c r="H68" i="3"/>
  <c r="I67" i="3"/>
  <c r="H67" i="3"/>
  <c r="I68" i="3"/>
  <c r="E102" i="3"/>
  <c r="H137" i="3"/>
  <c r="H128" i="3"/>
  <c r="C165" i="3"/>
  <c r="C164" i="3"/>
  <c r="C159" i="3"/>
  <c r="D163" i="3"/>
  <c r="D291" i="3"/>
  <c r="D283" i="3"/>
  <c r="D292" i="3"/>
  <c r="E41" i="3"/>
  <c r="G47" i="3"/>
  <c r="E49" i="3"/>
  <c r="F75" i="3"/>
  <c r="F81" i="3"/>
  <c r="F78" i="3"/>
  <c r="F53" i="3"/>
  <c r="I71" i="3"/>
  <c r="E78" i="3"/>
  <c r="I81" i="3"/>
  <c r="F102" i="3"/>
  <c r="I103" i="3"/>
  <c r="H105" i="3"/>
  <c r="C112" i="3"/>
  <c r="C185" i="3"/>
  <c r="D327" i="3"/>
  <c r="D333" i="3"/>
  <c r="D320" i="3"/>
  <c r="D301" i="3"/>
  <c r="D35" i="3"/>
  <c r="H35" i="3"/>
  <c r="D39" i="3"/>
  <c r="H39" i="3"/>
  <c r="D43" i="3"/>
  <c r="H43" i="3"/>
  <c r="E46" i="3"/>
  <c r="I46" i="3"/>
  <c r="B49" i="3"/>
  <c r="F49" i="3"/>
  <c r="G81" i="3"/>
  <c r="G78" i="3"/>
  <c r="G71" i="3"/>
  <c r="G53" i="3"/>
  <c r="H53" i="3"/>
  <c r="I59" i="3"/>
  <c r="I61" i="3" s="1"/>
  <c r="H59" i="3"/>
  <c r="H61" i="3" s="1"/>
  <c r="E68" i="3"/>
  <c r="G75" i="3"/>
  <c r="H78" i="3"/>
  <c r="C84" i="3"/>
  <c r="D86" i="3"/>
  <c r="D88" i="3" s="1"/>
  <c r="H86" i="3"/>
  <c r="H88" i="3" s="1"/>
  <c r="D90" i="3"/>
  <c r="D92" i="3" s="1"/>
  <c r="H90" i="3"/>
  <c r="H92" i="3" s="1"/>
  <c r="F97" i="3"/>
  <c r="I101" i="3"/>
  <c r="I102" i="3"/>
  <c r="D106" i="3"/>
  <c r="D97" i="3"/>
  <c r="H106" i="3"/>
  <c r="H97" i="3"/>
  <c r="H109" i="3"/>
  <c r="G140" i="3"/>
  <c r="G139" i="3"/>
  <c r="D168" i="3"/>
  <c r="D167" i="3"/>
  <c r="D159" i="3"/>
  <c r="D174" i="3"/>
  <c r="D173" i="3"/>
  <c r="D165" i="3"/>
  <c r="B261" i="3"/>
  <c r="C260" i="3"/>
  <c r="D270" i="3"/>
  <c r="D288" i="3"/>
  <c r="B288" i="3"/>
  <c r="B289" i="3"/>
  <c r="B283" i="3"/>
  <c r="B285" i="3" s="1"/>
  <c r="C287" i="3"/>
  <c r="F283" i="3"/>
  <c r="F289" i="3"/>
  <c r="G287" i="3"/>
  <c r="H291" i="3"/>
  <c r="H298" i="3"/>
  <c r="I53" i="3"/>
  <c r="I55" i="3"/>
  <c r="I57" i="3" s="1"/>
  <c r="H55" i="3"/>
  <c r="H57" i="3" s="1"/>
  <c r="I63" i="3"/>
  <c r="I65" i="3" s="1"/>
  <c r="H63" i="3"/>
  <c r="H65" i="3" s="1"/>
  <c r="G68" i="3"/>
  <c r="F68" i="3"/>
  <c r="E71" i="3"/>
  <c r="H75" i="3"/>
  <c r="I78" i="3"/>
  <c r="E81" i="3"/>
  <c r="E88" i="3"/>
  <c r="I88" i="3"/>
  <c r="G97" i="3"/>
  <c r="C98" i="3"/>
  <c r="D102" i="3"/>
  <c r="H102" i="3"/>
  <c r="B102" i="3"/>
  <c r="E103" i="3"/>
  <c r="D105" i="3"/>
  <c r="I109" i="3"/>
  <c r="I108" i="3"/>
  <c r="H108" i="3"/>
  <c r="H117" i="3"/>
  <c r="H119" i="3" s="1"/>
  <c r="H136" i="3"/>
  <c r="H140" i="3"/>
  <c r="H139" i="3"/>
  <c r="B165" i="3"/>
  <c r="B164" i="3"/>
  <c r="B159" i="3"/>
  <c r="B161" i="3" s="1"/>
  <c r="C163" i="3"/>
  <c r="D205" i="3"/>
  <c r="D225" i="3"/>
  <c r="D226" i="3"/>
  <c r="D227" i="3"/>
  <c r="D221" i="3"/>
  <c r="F287" i="3"/>
  <c r="E84" i="3"/>
  <c r="I84" i="3"/>
  <c r="C101" i="3"/>
  <c r="G101" i="3"/>
  <c r="C102" i="3"/>
  <c r="G102" i="3"/>
  <c r="E105" i="3"/>
  <c r="I105" i="3"/>
  <c r="H125" i="3"/>
  <c r="H127" i="3" s="1"/>
  <c r="F133" i="3"/>
  <c r="F136" i="3"/>
  <c r="I139" i="3"/>
  <c r="F143" i="3"/>
  <c r="C194" i="3"/>
  <c r="C196" i="3"/>
  <c r="C195" i="3"/>
  <c r="C190" i="3"/>
  <c r="E270" i="3"/>
  <c r="I270" i="3"/>
  <c r="F291" i="3"/>
  <c r="E292" i="3"/>
  <c r="I291" i="3"/>
  <c r="I292" i="3"/>
  <c r="I283" i="3"/>
  <c r="E289" i="3"/>
  <c r="E298" i="3"/>
  <c r="I298" i="3"/>
  <c r="I297" i="3"/>
  <c r="I289" i="3"/>
  <c r="F84" i="3"/>
  <c r="D101" i="3"/>
  <c r="H101" i="3"/>
  <c r="I115" i="3"/>
  <c r="G121" i="3"/>
  <c r="G123" i="3" s="1"/>
  <c r="G133" i="3"/>
  <c r="G132" i="3"/>
  <c r="E133" i="3"/>
  <c r="C146" i="3"/>
  <c r="C168" i="3"/>
  <c r="C174" i="3"/>
  <c r="C173" i="3"/>
  <c r="D196" i="3"/>
  <c r="D195" i="3"/>
  <c r="D190" i="3"/>
  <c r="E291" i="3"/>
  <c r="H134" i="3"/>
  <c r="D198" i="3"/>
  <c r="C229" i="3"/>
  <c r="C221" i="3"/>
  <c r="B267" i="3"/>
  <c r="F270" i="3"/>
  <c r="B298" i="3"/>
  <c r="F298" i="3"/>
  <c r="F297" i="3"/>
  <c r="E301" i="3"/>
  <c r="B205" i="3"/>
  <c r="D229" i="3"/>
  <c r="C230" i="3"/>
  <c r="C236" i="3"/>
  <c r="C239" i="3"/>
  <c r="D249" i="3"/>
  <c r="D251" i="3" s="1"/>
  <c r="C256" i="3"/>
  <c r="D261" i="3"/>
  <c r="D252" i="3"/>
  <c r="D260" i="3"/>
  <c r="C297" i="3"/>
  <c r="G297" i="3"/>
  <c r="B257" i="3"/>
  <c r="B252" i="3"/>
  <c r="B254" i="3" s="1"/>
  <c r="D289" i="3"/>
  <c r="D287" i="3"/>
  <c r="H287" i="3"/>
  <c r="H288" i="3"/>
  <c r="D298" i="3"/>
  <c r="B292" i="3"/>
  <c r="F292" i="3"/>
  <c r="B327" i="3"/>
  <c r="B333" i="3"/>
  <c r="H301" i="3"/>
  <c r="C324" i="3"/>
  <c r="C318" i="3"/>
  <c r="G324" i="3"/>
  <c r="G318" i="3"/>
  <c r="I323" i="3"/>
  <c r="F327" i="3"/>
  <c r="H330" i="3"/>
  <c r="D349" i="3"/>
  <c r="D355" i="3"/>
  <c r="H349" i="3"/>
  <c r="H355" i="3"/>
  <c r="G358" i="3"/>
  <c r="E287" i="3"/>
  <c r="I287" i="3"/>
  <c r="D323" i="3"/>
  <c r="H323" i="3"/>
  <c r="C322" i="3"/>
  <c r="C323" i="3"/>
  <c r="E327" i="3"/>
  <c r="I327" i="3"/>
  <c r="E326" i="3"/>
  <c r="H327" i="3"/>
  <c r="E330" i="3"/>
  <c r="I330" i="3"/>
  <c r="C333" i="3"/>
  <c r="G333" i="3"/>
  <c r="D336" i="3"/>
  <c r="H336" i="3"/>
  <c r="C336" i="3"/>
  <c r="D353" i="3"/>
  <c r="D354" i="3"/>
  <c r="F357" i="3"/>
  <c r="C361" i="3"/>
  <c r="G361" i="3"/>
  <c r="F301" i="3"/>
  <c r="E318" i="3"/>
  <c r="F319" i="3" s="1"/>
  <c r="E324" i="3"/>
  <c r="I318" i="3"/>
  <c r="I324" i="3"/>
  <c r="E322" i="3"/>
  <c r="E323" i="3"/>
  <c r="F326" i="3"/>
  <c r="I329" i="3"/>
  <c r="D332" i="3"/>
  <c r="H332" i="3"/>
  <c r="C332" i="3"/>
  <c r="I364" i="3"/>
  <c r="E336" i="3"/>
  <c r="B355" i="3"/>
  <c r="B349" i="3"/>
  <c r="F355" i="3"/>
  <c r="F349" i="3"/>
  <c r="F353" i="3"/>
  <c r="F354" i="3"/>
  <c r="C357" i="3"/>
  <c r="G357" i="3"/>
  <c r="C358" i="3"/>
  <c r="D361" i="3"/>
  <c r="D360" i="3"/>
  <c r="B323" i="3"/>
  <c r="F323" i="3"/>
  <c r="G322" i="3"/>
  <c r="G323" i="3"/>
  <c r="C327" i="3"/>
  <c r="G327" i="3"/>
  <c r="I326" i="3"/>
  <c r="G330" i="3"/>
  <c r="F330" i="3"/>
  <c r="E333" i="3"/>
  <c r="I333" i="3"/>
  <c r="E332" i="3"/>
  <c r="F336" i="3"/>
  <c r="G336" i="3"/>
  <c r="C354" i="3"/>
  <c r="G354" i="3"/>
  <c r="H353" i="3"/>
  <c r="H354" i="3"/>
  <c r="E358" i="3"/>
  <c r="E361" i="3"/>
  <c r="I361" i="3"/>
  <c r="F322" i="3"/>
  <c r="E353" i="3"/>
  <c r="I353" i="3"/>
  <c r="E360" i="3"/>
  <c r="I360" i="3"/>
  <c r="D363" i="3"/>
  <c r="H363" i="3"/>
  <c r="F360" i="3"/>
  <c r="D322" i="3"/>
  <c r="H322" i="3"/>
  <c r="C353" i="3"/>
  <c r="G353" i="3"/>
  <c r="C360" i="3"/>
  <c r="G360" i="3"/>
  <c r="F363" i="3"/>
  <c r="H360" i="3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L70" i="4" l="1"/>
  <c r="M32" i="4"/>
  <c r="L43" i="4"/>
  <c r="C99" i="1"/>
  <c r="C100" i="1" s="1"/>
  <c r="B101" i="1"/>
  <c r="B37" i="3"/>
  <c r="H20" i="1"/>
  <c r="H64" i="1"/>
  <c r="H76" i="1" s="1"/>
  <c r="H98" i="1" s="1"/>
  <c r="C16" i="3"/>
  <c r="C4" i="4"/>
  <c r="E284" i="3"/>
  <c r="G129" i="3"/>
  <c r="H15" i="3"/>
  <c r="D19" i="3"/>
  <c r="E15" i="3"/>
  <c r="E18" i="3"/>
  <c r="B19" i="3"/>
  <c r="B16" i="3"/>
  <c r="G130" i="3"/>
  <c r="C284" i="3"/>
  <c r="I98" i="3"/>
  <c r="F129" i="3"/>
  <c r="C19" i="3"/>
  <c r="D18" i="3"/>
  <c r="D16" i="3"/>
  <c r="E10" i="3"/>
  <c r="E3" i="4"/>
  <c r="G4" i="3"/>
  <c r="G3" i="4"/>
  <c r="F15" i="3"/>
  <c r="C47" i="4"/>
  <c r="C6" i="4"/>
  <c r="D47" i="4"/>
  <c r="D6" i="4"/>
  <c r="F16" i="3"/>
  <c r="B15" i="3"/>
  <c r="H47" i="4"/>
  <c r="H6" i="4"/>
  <c r="G15" i="3"/>
  <c r="H4" i="3"/>
  <c r="I19" i="3"/>
  <c r="I3" i="4"/>
  <c r="B47" i="4"/>
  <c r="B6" i="4"/>
  <c r="E19" i="3"/>
  <c r="G16" i="3"/>
  <c r="G47" i="4"/>
  <c r="G6" i="4"/>
  <c r="D24" i="4"/>
  <c r="D4" i="4"/>
  <c r="D351" i="3"/>
  <c r="D350" i="3"/>
  <c r="E350" i="3"/>
  <c r="C253" i="3"/>
  <c r="D191" i="3"/>
  <c r="D192" i="3"/>
  <c r="C191" i="3"/>
  <c r="C192" i="3"/>
  <c r="G98" i="3"/>
  <c r="G99" i="3"/>
  <c r="F285" i="3"/>
  <c r="F284" i="3"/>
  <c r="H129" i="3"/>
  <c r="H130" i="3"/>
  <c r="I129" i="3"/>
  <c r="I130" i="3"/>
  <c r="I5" i="3"/>
  <c r="I5" i="4" s="1"/>
  <c r="F5" i="3"/>
  <c r="F5" i="4" s="1"/>
  <c r="B351" i="3"/>
  <c r="C350" i="3"/>
  <c r="I320" i="3"/>
  <c r="I319" i="3"/>
  <c r="G320" i="3"/>
  <c r="G319" i="3"/>
  <c r="D99" i="3"/>
  <c r="D98" i="3"/>
  <c r="F98" i="3"/>
  <c r="F99" i="3"/>
  <c r="C160" i="3"/>
  <c r="C161" i="3"/>
  <c r="G9" i="3"/>
  <c r="G10" i="3"/>
  <c r="I4" i="3"/>
  <c r="I16" i="3"/>
  <c r="G37" i="3"/>
  <c r="G36" i="3"/>
  <c r="G5" i="3"/>
  <c r="G5" i="4" s="1"/>
  <c r="H319" i="3"/>
  <c r="H351" i="3"/>
  <c r="H350" i="3"/>
  <c r="D254" i="3"/>
  <c r="D253" i="3"/>
  <c r="H36" i="3"/>
  <c r="H37" i="3"/>
  <c r="I36" i="3"/>
  <c r="H5" i="3"/>
  <c r="H5" i="4" s="1"/>
  <c r="H285" i="3"/>
  <c r="H284" i="3"/>
  <c r="C9" i="3"/>
  <c r="C10" i="3"/>
  <c r="I10" i="3"/>
  <c r="B5" i="3"/>
  <c r="B5" i="4" s="1"/>
  <c r="C222" i="3"/>
  <c r="C223" i="3"/>
  <c r="D284" i="3"/>
  <c r="D285" i="3"/>
  <c r="D222" i="3"/>
  <c r="D223" i="3"/>
  <c r="H10" i="3"/>
  <c r="H9" i="3"/>
  <c r="I9" i="3"/>
  <c r="I350" i="3"/>
  <c r="F351" i="3"/>
  <c r="F350" i="3"/>
  <c r="G350" i="3"/>
  <c r="E320" i="3"/>
  <c r="E319" i="3"/>
  <c r="E5" i="3"/>
  <c r="E5" i="4" s="1"/>
  <c r="C320" i="3"/>
  <c r="C319" i="3"/>
  <c r="D319" i="3"/>
  <c r="G284" i="3"/>
  <c r="I284" i="3"/>
  <c r="I285" i="3"/>
  <c r="D160" i="3"/>
  <c r="D161" i="3"/>
  <c r="H99" i="3"/>
  <c r="H98" i="3"/>
  <c r="D36" i="3"/>
  <c r="E36" i="3"/>
  <c r="D37" i="3"/>
  <c r="D5" i="3"/>
  <c r="D5" i="4" s="1"/>
  <c r="D9" i="3"/>
  <c r="D10" i="3"/>
  <c r="E98" i="3"/>
  <c r="E9" i="3"/>
  <c r="E16" i="3"/>
  <c r="E4" i="3"/>
  <c r="C37" i="3"/>
  <c r="C36" i="3"/>
  <c r="C5" i="3"/>
  <c r="C5" i="4" s="1"/>
  <c r="F4" i="3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M70" i="4" l="1"/>
  <c r="N32" i="4"/>
  <c r="N43" i="4" s="1"/>
  <c r="M43" i="4"/>
  <c r="D99" i="1"/>
  <c r="D100" i="1" s="1"/>
  <c r="C101" i="1"/>
  <c r="G24" i="4"/>
  <c r="G4" i="4"/>
  <c r="H4" i="4"/>
  <c r="I24" i="4"/>
  <c r="I4" i="4"/>
  <c r="E24" i="4"/>
  <c r="F4" i="4"/>
  <c r="E4" i="4"/>
  <c r="B6" i="3"/>
  <c r="B7" i="3"/>
  <c r="B11" i="3"/>
  <c r="I11" i="3"/>
  <c r="I7" i="3"/>
  <c r="I6" i="3"/>
  <c r="D11" i="3"/>
  <c r="D7" i="3"/>
  <c r="D6" i="3"/>
  <c r="C11" i="3"/>
  <c r="C6" i="3"/>
  <c r="C7" i="3"/>
  <c r="G7" i="3"/>
  <c r="G6" i="3"/>
  <c r="G11" i="3"/>
  <c r="F6" i="3"/>
  <c r="F7" i="3"/>
  <c r="F11" i="3"/>
  <c r="E11" i="3"/>
  <c r="E7" i="3"/>
  <c r="E6" i="3"/>
  <c r="H11" i="3"/>
  <c r="H7" i="3"/>
  <c r="H6" i="3"/>
  <c r="C182" i="1"/>
  <c r="I182" i="1"/>
  <c r="H182" i="1"/>
  <c r="G182" i="1"/>
  <c r="F182" i="1"/>
  <c r="E182" i="1"/>
  <c r="D182" i="1"/>
  <c r="B182" i="1"/>
  <c r="J24" i="4" l="1"/>
  <c r="N70" i="4"/>
  <c r="E99" i="1"/>
  <c r="E100" i="1" s="1"/>
  <c r="D101" i="1"/>
  <c r="H46" i="4"/>
  <c r="H7" i="4"/>
  <c r="E46" i="4"/>
  <c r="E7" i="4"/>
  <c r="I46" i="4"/>
  <c r="I7" i="4"/>
  <c r="B46" i="4"/>
  <c r="B49" i="4" s="1"/>
  <c r="B7" i="4"/>
  <c r="G46" i="4"/>
  <c r="G7" i="4"/>
  <c r="D46" i="4"/>
  <c r="D7" i="4"/>
  <c r="F46" i="4"/>
  <c r="F7" i="4"/>
  <c r="C46" i="4"/>
  <c r="C7" i="4"/>
  <c r="G13" i="3"/>
  <c r="G12" i="3"/>
  <c r="C13" i="3"/>
  <c r="C12" i="3"/>
  <c r="E12" i="3"/>
  <c r="E13" i="3"/>
  <c r="F13" i="3"/>
  <c r="F12" i="3"/>
  <c r="D12" i="3"/>
  <c r="D13" i="3"/>
  <c r="I13" i="3"/>
  <c r="I12" i="3"/>
  <c r="H12" i="3"/>
  <c r="H13" i="3"/>
  <c r="B13" i="3"/>
  <c r="B12" i="3"/>
  <c r="K24" i="4" l="1"/>
  <c r="L24" i="4" s="1"/>
  <c r="M24" i="4" s="1"/>
  <c r="N24" i="4" s="1"/>
  <c r="E101" i="1"/>
  <c r="F99" i="1"/>
  <c r="F100" i="1" s="1"/>
  <c r="B53" i="4"/>
  <c r="B54" i="4"/>
  <c r="B55" i="4" s="1"/>
  <c r="D49" i="4"/>
  <c r="E49" i="4"/>
  <c r="F49" i="4"/>
  <c r="G49" i="4"/>
  <c r="I49" i="4"/>
  <c r="C49" i="4"/>
  <c r="H49" i="4"/>
  <c r="E9" i="4"/>
  <c r="E8" i="4"/>
  <c r="E11" i="4"/>
  <c r="F8" i="4"/>
  <c r="F11" i="4"/>
  <c r="F9" i="4"/>
  <c r="G8" i="4"/>
  <c r="G11" i="4"/>
  <c r="G9" i="4"/>
  <c r="I11" i="4"/>
  <c r="I9" i="4"/>
  <c r="J9" i="4" s="1"/>
  <c r="K9" i="4" s="1"/>
  <c r="L9" i="4" s="1"/>
  <c r="M9" i="4" s="1"/>
  <c r="N9" i="4" s="1"/>
  <c r="I8" i="4"/>
  <c r="C11" i="4"/>
  <c r="C8" i="4"/>
  <c r="C9" i="4"/>
  <c r="H11" i="4"/>
  <c r="H9" i="4"/>
  <c r="H8" i="4"/>
  <c r="D8" i="4"/>
  <c r="D11" i="4"/>
  <c r="D9" i="4"/>
  <c r="B11" i="4"/>
  <c r="B9" i="4"/>
  <c r="H152" i="1"/>
  <c r="B66" i="4" l="1"/>
  <c r="B68" i="4" s="1"/>
  <c r="G99" i="1"/>
  <c r="G100" i="1" s="1"/>
  <c r="F101" i="1"/>
  <c r="I54" i="4"/>
  <c r="I55" i="4" s="1"/>
  <c r="I66" i="4" s="1"/>
  <c r="I53" i="4"/>
  <c r="D54" i="4"/>
  <c r="D55" i="4" s="1"/>
  <c r="D66" i="4" s="1"/>
  <c r="D53" i="4"/>
  <c r="G54" i="4"/>
  <c r="G55" i="4" s="1"/>
  <c r="G66" i="4" s="1"/>
  <c r="G53" i="4"/>
  <c r="H54" i="4"/>
  <c r="H55" i="4" s="1"/>
  <c r="H66" i="4" s="1"/>
  <c r="H53" i="4"/>
  <c r="F54" i="4"/>
  <c r="F55" i="4" s="1"/>
  <c r="F53" i="4"/>
  <c r="C54" i="4"/>
  <c r="C55" i="4" s="1"/>
  <c r="C53" i="4"/>
  <c r="E54" i="4"/>
  <c r="E55" i="4" s="1"/>
  <c r="E66" i="4" s="1"/>
  <c r="E53" i="4"/>
  <c r="G14" i="4"/>
  <c r="G13" i="4"/>
  <c r="B13" i="4"/>
  <c r="B14" i="4"/>
  <c r="B16" i="4" s="1"/>
  <c r="B19" i="4" s="1"/>
  <c r="E14" i="4"/>
  <c r="E13" i="4"/>
  <c r="C14" i="4"/>
  <c r="C13" i="4"/>
  <c r="I13" i="4"/>
  <c r="I14" i="4"/>
  <c r="D14" i="4"/>
  <c r="D13" i="4"/>
  <c r="H13" i="4"/>
  <c r="H14" i="4"/>
  <c r="F14" i="4"/>
  <c r="F13" i="4"/>
  <c r="E152" i="1"/>
  <c r="G152" i="1"/>
  <c r="D152" i="1"/>
  <c r="F152" i="1"/>
  <c r="B152" i="1"/>
  <c r="C152" i="1"/>
  <c r="B69" i="4" l="1"/>
  <c r="C67" i="4"/>
  <c r="H99" i="1"/>
  <c r="H100" i="1" s="1"/>
  <c r="G101" i="1"/>
  <c r="C66" i="4"/>
  <c r="C68" i="4" s="1"/>
  <c r="I16" i="4"/>
  <c r="I19" i="4" s="1"/>
  <c r="D16" i="4"/>
  <c r="D19" i="4" s="1"/>
  <c r="E16" i="4"/>
  <c r="E19" i="4" s="1"/>
  <c r="C16" i="4"/>
  <c r="C19" i="4" s="1"/>
  <c r="F16" i="4"/>
  <c r="F19" i="4" s="1"/>
  <c r="H16" i="4"/>
  <c r="H19" i="4" s="1"/>
  <c r="G16" i="4"/>
  <c r="G19" i="4" s="1"/>
  <c r="E167" i="1"/>
  <c r="F167" i="1"/>
  <c r="H167" i="1"/>
  <c r="I167" i="1"/>
  <c r="B167" i="1"/>
  <c r="C167" i="1"/>
  <c r="D167" i="1"/>
  <c r="D67" i="4" l="1"/>
  <c r="D68" i="4" s="1"/>
  <c r="C69" i="4"/>
  <c r="I99" i="1"/>
  <c r="I100" i="1" s="1"/>
  <c r="I101" i="1" s="1"/>
  <c r="H101" i="1"/>
  <c r="G167" i="1"/>
  <c r="E67" i="4" l="1"/>
  <c r="E68" i="4" s="1"/>
  <c r="E69" i="4" s="1"/>
  <c r="D69" i="4"/>
  <c r="H1" i="1"/>
  <c r="G1" i="1" s="1"/>
  <c r="F1" i="1" s="1"/>
  <c r="E1" i="1" s="1"/>
  <c r="D1" i="1" s="1"/>
  <c r="C1" i="1" s="1"/>
  <c r="B1" i="1" s="1"/>
  <c r="F67" i="4" l="1"/>
  <c r="F68" i="4" s="1"/>
  <c r="F69" i="4" s="1"/>
  <c r="G67" i="4" l="1"/>
  <c r="G68" i="4" s="1"/>
  <c r="G69" i="4" s="1"/>
  <c r="H67" i="4" l="1"/>
  <c r="H68" i="4" s="1"/>
  <c r="H69" i="4" s="1"/>
  <c r="I67" i="4" l="1"/>
  <c r="I68" i="4" l="1"/>
  <c r="I69" i="4" s="1"/>
  <c r="J67" i="4"/>
  <c r="K67" i="4" l="1"/>
  <c r="J23" i="4"/>
  <c r="J51" i="4" s="1"/>
  <c r="L67" i="4" l="1"/>
  <c r="K23" i="4"/>
  <c r="K51" i="4" l="1"/>
  <c r="M67" i="4"/>
  <c r="L23" i="4" l="1"/>
  <c r="N67" i="4"/>
  <c r="L51" i="4" l="1"/>
  <c r="M23" i="4"/>
  <c r="N51" i="4" s="1"/>
  <c r="N23" i="4"/>
  <c r="M51" i="4" l="1"/>
  <c r="K59" i="4" l="1"/>
  <c r="L59" i="4"/>
  <c r="M59" i="4"/>
  <c r="N59" i="4" s="1"/>
  <c r="J11" i="4" l="1"/>
  <c r="J54" i="4"/>
  <c r="J55" i="4" s="1"/>
  <c r="K54" i="4"/>
  <c r="K55" i="4" s="1"/>
  <c r="J50" i="4"/>
  <c r="J53" i="4" s="1"/>
  <c r="K10" i="4"/>
  <c r="K50" i="4" s="1"/>
  <c r="K53" i="4" s="1"/>
  <c r="L10" i="4"/>
  <c r="L54" i="4" s="1"/>
  <c r="L55" i="4" s="1"/>
  <c r="J12" i="4" l="1"/>
  <c r="J14" i="4" s="1"/>
  <c r="J16" i="4" s="1"/>
  <c r="L11" i="4"/>
  <c r="K11" i="4"/>
  <c r="M10" i="4"/>
  <c r="L50" i="4"/>
  <c r="L53" i="4" s="1"/>
  <c r="K12" i="4" l="1"/>
  <c r="K14" i="4" s="1"/>
  <c r="K16" i="4" s="1"/>
  <c r="K17" i="4" s="1"/>
  <c r="L12" i="4"/>
  <c r="L14" i="4" s="1"/>
  <c r="L16" i="4" s="1"/>
  <c r="L17" i="4" s="1"/>
  <c r="M11" i="4"/>
  <c r="M54" i="4"/>
  <c r="M55" i="4" s="1"/>
  <c r="M50" i="4"/>
  <c r="M53" i="4" s="1"/>
  <c r="N10" i="4"/>
  <c r="M12" i="4" l="1"/>
  <c r="M14" i="4" s="1"/>
  <c r="M16" i="4" s="1"/>
  <c r="M17" i="4" s="1"/>
  <c r="N54" i="4"/>
  <c r="N55" i="4" s="1"/>
  <c r="N11" i="4"/>
  <c r="N50" i="4"/>
  <c r="N53" i="4" s="1"/>
  <c r="N12" i="4" l="1"/>
  <c r="N14" i="4" s="1"/>
  <c r="N16" i="4" s="1"/>
  <c r="N17" i="4" s="1"/>
  <c r="K61" i="4"/>
  <c r="K64" i="4" l="1"/>
  <c r="K66" i="4" s="1"/>
  <c r="K68" i="4" s="1"/>
  <c r="L61" i="4" l="1"/>
  <c r="M61" i="4" l="1"/>
  <c r="L64" i="4"/>
  <c r="L66" i="4" s="1"/>
  <c r="L68" i="4" s="1"/>
  <c r="M64" i="4" l="1"/>
  <c r="M66" i="4" s="1"/>
  <c r="M68" i="4" s="1"/>
  <c r="N61" i="4"/>
  <c r="N64" i="4" l="1"/>
  <c r="N66" i="4" s="1"/>
  <c r="N68" i="4" s="1"/>
  <c r="J41" i="4" l="1"/>
  <c r="K41" i="4" s="1"/>
  <c r="L41" i="4" s="1"/>
  <c r="M41" i="4" s="1"/>
  <c r="N41" i="4" s="1"/>
  <c r="J61" i="4"/>
  <c r="J64" i="4" s="1"/>
  <c r="J66" i="4" s="1"/>
  <c r="J68" i="4" s="1"/>
  <c r="J21" i="4" s="1"/>
  <c r="J31" i="4" l="1"/>
  <c r="K21" i="4"/>
  <c r="K31" i="4" l="1"/>
  <c r="L21" i="4"/>
  <c r="M21" i="4" l="1"/>
  <c r="L31" i="4"/>
  <c r="M31" i="4" l="1"/>
  <c r="N21" i="4"/>
  <c r="N3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5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katerina stylianaki</author>
  </authors>
  <commentList>
    <comment ref="E330" authorId="0" shapeId="0" xr:uid="{00000000-0006-0000-0200-000001000000}">
      <text>
        <r>
          <rPr>
            <b/>
            <sz val="10"/>
            <color rgb="FF000000"/>
            <rFont val="Tahoma"/>
            <family val="2"/>
          </rPr>
          <t>katerina stylianaki: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<sst xmlns="http://schemas.openxmlformats.org/spreadsheetml/2006/main" count="816" uniqueCount="215">
  <si>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</si>
  <si>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</si>
  <si>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</si>
  <si>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</si>
  <si>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</si>
  <si>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</si>
  <si>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</si>
  <si>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</si>
  <si>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</si>
  <si>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</si>
  <si>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</si>
  <si>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</si>
  <si>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</si>
  <si>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</si>
  <si>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</si>
  <si>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</si>
  <si>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</si>
  <si>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</si>
  <si>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</si>
  <si>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</si>
  <si>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</si>
  <si>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</si>
  <si>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</si>
  <si>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</si>
  <si>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</si>
  <si>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</si>
  <si>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</si>
  <si>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</si>
  <si>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</si>
  <si>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</si>
  <si>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</si>
  <si>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</si>
  <si>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</si>
  <si>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</si>
  <si>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</si>
  <si>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</si>
  <si>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</si>
  <si>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</si>
  <si>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</si>
  <si>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</si>
  <si>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</si>
  <si>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</si>
  <si>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</si>
  <si>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</si>
  <si>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</si>
  <si>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</si>
  <si>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</si>
  <si>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</si>
  <si>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</si>
  <si>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</si>
  <si>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</si>
  <si>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</si>
  <si>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</si>
  <si>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</si>
  <si>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</si>
  <si>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</si>
  <si>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</si>
  <si>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</si>
  <si>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</si>
  <si>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</si>
  <si>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</si>
  <si>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</si>
  <si>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</si>
  <si>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</si>
  <si>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</si>
  <si>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</si>
  <si>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</si>
  <si>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</si>
  <si>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</si>
  <si>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</si>
  <si>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</si>
  <si>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</si>
  <si>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</si>
  <si>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</si>
  <si>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</si>
  <si>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</si>
  <si>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</si>
  <si>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</si>
  <si>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</si>
  <si>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</si>
  <si>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</si>
  <si>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</si>
  <si>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</si>
  <si>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</si>
  <si>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</si>
  <si>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</si>
  <si>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</si>
  <si>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</si>
  <si>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</si>
  <si>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</si>
  <si>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</si>
  <si>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</si>
  <si>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</si>
  <si>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</si>
  <si>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</si>
  <si>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</si>
  <si>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</si>
  <si>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</si>
  <si>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</si>
  <si>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</si>
  <si>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</si>
  <si>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</si>
  <si>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</si>
  <si>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</si>
  <si>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</si>
  <si>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</si>
  <si>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</si>
  <si>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</si>
  <si>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</si>
  <si>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</si>
  <si>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</si>
  <si>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</si>
  <si>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</si>
  <si>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</si>
  <si>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</si>
  <si>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</si>
  <si>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</si>
  <si>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</si>
  <si>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</si>
  <si>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</si>
  <si>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</si>
  <si>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</si>
  <si>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</si>
  <si>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</si>
  <si>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</si>
  <si>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</si>
  <si>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</si>
  <si>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</si>
  <si>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</si>
  <si>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</si>
  <si>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</si>
  <si>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</si>
  <si>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</si>
  <si>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</si>
  <si>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</si>
  <si>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</si>
  <si>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</si>
  <si>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</si>
  <si>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</si>
  <si>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</si>
  <si>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</si>
  <si>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</si>
  <si>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</si>
  <si>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</si>
  <si>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</si>
  <si>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</si>
  <si>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</si>
  <si>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</si>
  <si>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</si>
  <si>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</si>
  <si>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</si>
  <si>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</si>
  <si>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</si>
  <si>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</si>
  <si>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</si>
  <si>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</si>
  <si>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</si>
  <si>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</si>
  <si>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</si>
  <si>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</si>
  <si>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</si>
  <si>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</si>
  <si>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</si>
  <si>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</si>
  <si>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</si>
  <si>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</si>
  <si>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</si>
  <si>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</si>
  <si>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</si>
  <si>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</si>
  <si>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</si>
  <si>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</si>
  <si>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</si>
  <si>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</si>
  <si>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</si>
  <si>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</si>
  <si>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</si>
  <si>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</si>
  <si>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</si>
  <si>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</si>
  <si>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</si>
  <si>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</si>
  <si>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</si>
  <si>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</si>
  <si>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</si>
  <si>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</si>
  <si>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</si>
  <si>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</si>
  <si>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</si>
  <si>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</si>
  <si>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</si>
  <si>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</si>
  <si>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Cash flow</t>
  </si>
  <si>
    <t>nm</t>
  </si>
  <si>
    <t xml:space="preserve">Greater China </t>
  </si>
  <si>
    <t xml:space="preserve">Asia, Pacific &amp; Latin America </t>
  </si>
  <si>
    <t>Western Europe</t>
  </si>
  <si>
    <t>Central &amp; Eastern Europe</t>
  </si>
  <si>
    <t xml:space="preserve">Japan </t>
  </si>
  <si>
    <t xml:space="preserve">Emerging Markets </t>
  </si>
  <si>
    <t xml:space="preserve">Corporate </t>
  </si>
  <si>
    <t>-</t>
  </si>
  <si>
    <t xml:space="preserve">Investments in reverse purchase agreements </t>
  </si>
  <si>
    <t xml:space="preserve">Disposals of property, plant and equipment </t>
  </si>
  <si>
    <t>Long-term debt payments, including current portion</t>
  </si>
  <si>
    <t xml:space="preserve">Payments on capital lease and other financing obligations </t>
  </si>
  <si>
    <t xml:space="preserve"> Excess tax benefits from share-based payment arrangements</t>
  </si>
  <si>
    <t>Japan</t>
  </si>
  <si>
    <t>Emerging markets</t>
  </si>
  <si>
    <t xml:space="preserve">                    -  </t>
  </si>
  <si>
    <t xml:space="preserve">Based on 2023 tax rates, which exclude the rate for the final quarter, the avarege is something close to 16%. For the rest of the years, I calculated the average based on the previous years, excluding 2018 ta rate whicch was extremely high compared to the rest of the years so I ecluded it as an outlier. </t>
  </si>
  <si>
    <t xml:space="preserve">2023 rates were calculated using the given rates gor all 4 quarters from th reports </t>
  </si>
  <si>
    <t xml:space="preserve">Equipment has beem quite stable over the years so took th average of the previous years to calculate guture gowth rates </t>
  </si>
  <si>
    <t xml:space="preserve">Growth in Greater china is still unstable and fluctuates so I kept a low and setady growth rate for the years ahead </t>
  </si>
  <si>
    <t xml:space="preserve">2024 rates were calculated using the given rates gor all 4 quarters from th reports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</si>
</sst>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0.00000000000000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i/>
      <sz val="12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EDEDED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43" fontId="0" fillId="0" borderId="0" xfId="1" applyFont="1"/>
    <xf numFmtId="165" fontId="0" fillId="0" borderId="0" xfId="0" applyNumberFormat="1"/>
    <xf numFmtId="43" fontId="5" fillId="0" borderId="0" xfId="1" applyFont="1" applyBorder="1"/>
    <xf numFmtId="0" fontId="14" fillId="0" borderId="0" xfId="0" applyFont="1" applyAlignment="1">
      <alignment horizontal="right"/>
    </xf>
    <xf numFmtId="10" fontId="14" fillId="0" borderId="0" xfId="0" applyNumberFormat="1" applyFont="1" applyAlignment="1">
      <alignment horizontal="right"/>
    </xf>
    <xf numFmtId="10" fontId="0" fillId="0" borderId="0" xfId="0" applyNumberFormat="1"/>
    <xf numFmtId="166" fontId="0" fillId="0" borderId="0" xfId="0" applyNumberFormat="1"/>
    <xf numFmtId="166" fontId="12" fillId="9" borderId="0" xfId="0" applyNumberFormat="1" applyFont="1" applyFill="1"/>
    <xf numFmtId="10" fontId="14" fillId="0" borderId="0" xfId="0" applyNumberFormat="1" applyFont="1"/>
    <xf numFmtId="166" fontId="15" fillId="0" borderId="0" xfId="0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1" fontId="0" fillId="0" borderId="0" xfId="0" applyNumberFormat="1"/>
    <xf numFmtId="167" fontId="0" fillId="0" borderId="0" xfId="0" applyNumberFormat="1"/>
    <xf numFmtId="165" fontId="20" fillId="0" borderId="0" xfId="1" applyNumberFormat="1" applyFont="1" applyAlignment="1">
      <alignment horizontal="left" indent="1"/>
    </xf>
    <xf numFmtId="165" fontId="2" fillId="0" borderId="0" xfId="1" applyNumberFormat="1" applyFont="1" applyAlignment="1">
      <alignment horizontal="left" indent="1"/>
    </xf>
    <xf numFmtId="165" fontId="17" fillId="0" borderId="0" xfId="0" applyNumberFormat="1" applyFont="1"/>
    <xf numFmtId="165" fontId="17" fillId="0" borderId="3" xfId="0" applyNumberFormat="1" applyFont="1" applyBorder="1"/>
    <xf numFmtId="165" fontId="0" fillId="0" borderId="0" xfId="1" applyNumberFormat="1" applyFont="1" applyAlignment="1">
      <alignment horizontal="center" vertical="center"/>
    </xf>
    <xf numFmtId="165" fontId="16" fillId="0" borderId="1" xfId="0" applyNumberFormat="1" applyFont="1" applyBorder="1"/>
    <xf numFmtId="0" fontId="17" fillId="0" borderId="0" xfId="0" applyFont="1"/>
    <xf numFmtId="165" fontId="16" fillId="0" borderId="2" xfId="0" applyNumberFormat="1" applyFont="1" applyBorder="1"/>
    <xf numFmtId="0" fontId="10" fillId="0" borderId="0" xfId="0" applyFont="1" applyAlignment="1">
      <alignment horizontal="left" indent="2"/>
    </xf>
    <xf numFmtId="39" fontId="0" fillId="0" borderId="0" xfId="1" applyNumberFormat="1" applyFont="1"/>
    <xf numFmtId="165" fontId="2" fillId="0" borderId="2" xfId="1" applyNumberFormat="1" applyFont="1" applyFill="1" applyBorder="1"/>
    <xf numFmtId="165" fontId="5" fillId="0" borderId="0" xfId="0" applyNumberFormat="1" applyFont="1" applyFill="1"/>
    <xf numFmtId="165" fontId="2" fillId="0" borderId="0" xfId="0" applyNumberFormat="1" applyFont="1" applyFill="1"/>
    <xf numFmtId="1" fontId="9" fillId="0" borderId="0" xfId="2" applyNumberFormat="1" applyFont="1" applyAlignment="1">
      <alignment horizontal="right"/>
    </xf>
    <xf numFmtId="2" fontId="0" fillId="0" borderId="0" xfId="0" applyNumberForma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191</v>
      </c>
    </row>
    <row r="3" spans="1:1" ht="16" x14ac:dyDescent="0.2">
      <c r="A3" s="38" t="s">
        <v>189</v>
      </c>
    </row>
    <row r="4" spans="1:1" ht="16" x14ac:dyDescent="0.2">
      <c r="A4" s="19" t="s">
        <v>190</v>
      </c>
    </row>
    <row r="5" spans="1:1" x14ac:dyDescent="0.2">
      <c r="A5" s="38"/>
    </row>
    <row r="6" spans="1:1" x14ac:dyDescent="0.2">
      <c r="A6" s="38"/>
    </row>
    <row r="9" spans="1:1" x14ac:dyDescent="0.2">
      <c r="A9" s="20"/>
    </row>
    <row r="10" spans="1:1" x14ac:dyDescent="0.2">
      <c r="A10" s="20"/>
    </row>
    <row r="11" spans="1:1" x14ac:dyDescent="0.2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6"/>
  <sheetViews>
    <sheetView zoomScale="136" workbookViewId="0">
      <pane ySplit="1" topLeftCell="A18" activePane="bottomLeft" state="frozen"/>
      <selection pane="bottomLeft" activeCell="B89" sqref="B89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73">
        <v>30601</v>
      </c>
      <c r="C2" s="73">
        <v>32376</v>
      </c>
      <c r="D2" s="73">
        <v>34350</v>
      </c>
      <c r="E2" s="73">
        <v>36397</v>
      </c>
      <c r="F2" s="73">
        <v>39117</v>
      </c>
      <c r="G2" s="7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74">
        <v>16534</v>
      </c>
      <c r="C3" s="74">
        <v>17405</v>
      </c>
      <c r="D3" s="74">
        <v>19038</v>
      </c>
      <c r="E3" s="74">
        <v>20441</v>
      </c>
      <c r="F3" s="74">
        <v>21643</v>
      </c>
      <c r="G3" s="7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1624</v>
      </c>
      <c r="F17">
        <v>1580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</v>
      </c>
      <c r="F18">
        <v>1618</v>
      </c>
      <c r="G18" s="8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D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C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>+SUM(F45:F50)+F58</f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97</v>
      </c>
      <c r="B74" s="3">
        <v>-144</v>
      </c>
      <c r="C74" s="3">
        <v>-161</v>
      </c>
      <c r="D74" s="3">
        <v>-120</v>
      </c>
      <c r="E74" s="3">
        <v>35</v>
      </c>
      <c r="F74" s="3">
        <v>-293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96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F76" si="12">+SUM(B64:B75)</f>
        <v>4680</v>
      </c>
      <c r="C76" s="26">
        <f t="shared" si="12"/>
        <v>3096</v>
      </c>
      <c r="D76" s="26">
        <f t="shared" si="12"/>
        <v>3640</v>
      </c>
      <c r="E76" s="26">
        <f t="shared" si="12"/>
        <v>4955</v>
      </c>
      <c r="F76" s="26">
        <f t="shared" si="12"/>
        <v>5813</v>
      </c>
      <c r="G76" s="26">
        <v>2485</v>
      </c>
      <c r="H76" s="26">
        <f t="shared" ref="H76" si="13">+SUM(H64:H75)</f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202</v>
      </c>
      <c r="B81" s="3">
        <v>-150</v>
      </c>
      <c r="C81" s="3">
        <v>150</v>
      </c>
      <c r="D81" s="75" t="s">
        <v>201</v>
      </c>
      <c r="E81" s="3"/>
      <c r="H81" s="3"/>
      <c r="I81" s="3"/>
    </row>
    <row r="82" spans="1:9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2">
      <c r="A83" s="2" t="s">
        <v>203</v>
      </c>
      <c r="B83" s="3">
        <v>3</v>
      </c>
      <c r="C83" s="3">
        <v>10</v>
      </c>
      <c r="D83" s="3">
        <v>13</v>
      </c>
      <c r="E83" s="3"/>
      <c r="F83" s="3"/>
      <c r="G83" s="3"/>
      <c r="H83" s="3"/>
      <c r="I83" s="3"/>
    </row>
    <row r="84" spans="1:9" x14ac:dyDescent="0.2">
      <c r="A84" s="2" t="s">
        <v>79</v>
      </c>
      <c r="B84" s="3"/>
      <c r="C84" s="3">
        <v>6</v>
      </c>
      <c r="D84" s="3">
        <v>-34</v>
      </c>
      <c r="E84" s="3">
        <v>-22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2" t="s">
        <v>82</v>
      </c>
      <c r="B87" s="3" t="s">
        <v>201</v>
      </c>
      <c r="C87" s="3">
        <v>981</v>
      </c>
      <c r="D87" s="3">
        <v>1482</v>
      </c>
      <c r="E87" s="3" t="s">
        <v>201</v>
      </c>
      <c r="F87" s="3" t="s">
        <v>201</v>
      </c>
      <c r="G87" s="3">
        <v>6134</v>
      </c>
      <c r="H87" s="3">
        <v>0</v>
      </c>
      <c r="I87" s="3">
        <v>0</v>
      </c>
    </row>
    <row r="88" spans="1:9" x14ac:dyDescent="0.2">
      <c r="A88" s="2" t="s">
        <v>204</v>
      </c>
      <c r="B88" s="3">
        <v>-7</v>
      </c>
      <c r="C88" s="3">
        <v>-106</v>
      </c>
      <c r="D88" s="3">
        <v>-44</v>
      </c>
      <c r="E88" s="3"/>
      <c r="F88" s="3"/>
      <c r="G88" s="3"/>
      <c r="H88" s="3">
        <v>-197</v>
      </c>
      <c r="I88" s="3" t="s">
        <v>201</v>
      </c>
    </row>
    <row r="89" spans="1:9" x14ac:dyDescent="0.2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2">
      <c r="A90" s="2" t="s">
        <v>205</v>
      </c>
      <c r="B90" s="3">
        <v>-19</v>
      </c>
      <c r="C90" s="3">
        <v>-7</v>
      </c>
      <c r="D90" s="3">
        <v>-17</v>
      </c>
      <c r="E90" s="3"/>
      <c r="F90" s="3"/>
      <c r="G90" s="3"/>
      <c r="H90" s="3"/>
      <c r="I90" s="3"/>
    </row>
    <row r="91" spans="1:9" x14ac:dyDescent="0.2">
      <c r="A91" s="2" t="s">
        <v>84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2">
      <c r="A92" s="2" t="s">
        <v>206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</row>
    <row r="93" spans="1:9" x14ac:dyDescent="0.2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2">
      <c r="A94" s="2" t="s">
        <v>85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2">
      <c r="A95" s="2" t="s">
        <v>86</v>
      </c>
      <c r="B95" s="3" t="s">
        <v>201</v>
      </c>
      <c r="C95" s="3" t="s">
        <v>201</v>
      </c>
      <c r="D95" s="3" t="s">
        <v>201</v>
      </c>
      <c r="E95" s="3">
        <v>-84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2">
      <c r="A96" s="27" t="s">
        <v>87</v>
      </c>
      <c r="B96" s="26">
        <f>+SUM(B87:B95)</f>
        <v>-2790</v>
      </c>
      <c r="C96" s="26">
        <f>+SUM(C87:C95)</f>
        <v>-2671</v>
      </c>
      <c r="D96" s="26">
        <f>+SUM(D87:D95)</f>
        <v>-1942</v>
      </c>
      <c r="E96" s="26">
        <f t="shared" ref="E96:I96" si="15">+SUM(E87:E95)</f>
        <v>-4835</v>
      </c>
      <c r="F96" s="26">
        <f t="shared" si="15"/>
        <v>-5293</v>
      </c>
      <c r="G96" s="26">
        <f t="shared" si="15"/>
        <v>2491</v>
      </c>
      <c r="H96" s="26">
        <f t="shared" si="15"/>
        <v>-1459</v>
      </c>
      <c r="I96" s="26">
        <f t="shared" si="15"/>
        <v>-4836</v>
      </c>
    </row>
    <row r="97" spans="1:9" x14ac:dyDescent="0.2">
      <c r="A97" s="2" t="s">
        <v>88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2">
      <c r="A98" s="27" t="s">
        <v>89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</row>
    <row r="99" spans="1:9" x14ac:dyDescent="0.2">
      <c r="A99" t="s">
        <v>90</v>
      </c>
      <c r="B99" s="73">
        <v>2220</v>
      </c>
      <c r="C99" s="73">
        <f>+B100</f>
        <v>3852</v>
      </c>
      <c r="D99" s="73">
        <f t="shared" ref="D99:I99" si="16">+C100</f>
        <v>3138</v>
      </c>
      <c r="E99" s="73">
        <f t="shared" si="16"/>
        <v>3808</v>
      </c>
      <c r="F99" s="73">
        <f t="shared" si="16"/>
        <v>4249</v>
      </c>
      <c r="G99" s="73">
        <f t="shared" si="16"/>
        <v>4466</v>
      </c>
      <c r="H99" s="73">
        <f t="shared" si="16"/>
        <v>8348</v>
      </c>
      <c r="I99" s="73">
        <f t="shared" si="16"/>
        <v>9889</v>
      </c>
    </row>
    <row r="100" spans="1:9" ht="16" thickBot="1" x14ac:dyDescent="0.25">
      <c r="A100" s="6" t="s">
        <v>91</v>
      </c>
      <c r="B100" s="7">
        <f t="shared" ref="B100:D100" si="17">+B98+B99</f>
        <v>3852</v>
      </c>
      <c r="C100" s="7">
        <f t="shared" si="17"/>
        <v>3138</v>
      </c>
      <c r="D100" s="7">
        <f t="shared" si="17"/>
        <v>3808</v>
      </c>
      <c r="E100" s="81">
        <f>+E98+E99</f>
        <v>4249</v>
      </c>
      <c r="F100" s="81">
        <f t="shared" ref="F100:I100" si="18">+F98+F99</f>
        <v>4466</v>
      </c>
      <c r="G100" s="81">
        <f t="shared" si="18"/>
        <v>8348</v>
      </c>
      <c r="H100" s="81">
        <f t="shared" si="18"/>
        <v>9889</v>
      </c>
      <c r="I100" s="81">
        <f t="shared" si="18"/>
        <v>8574</v>
      </c>
    </row>
    <row r="101" spans="1:9" s="12" customFormat="1" ht="16" thickTop="1" x14ac:dyDescent="0.2">
      <c r="A101" s="12" t="s">
        <v>19</v>
      </c>
      <c r="B101" s="13">
        <f t="shared" ref="B101:I101" si="19">+B100-B25</f>
        <v>0</v>
      </c>
      <c r="C101" s="13">
        <f t="shared" si="19"/>
        <v>0</v>
      </c>
      <c r="D101" s="13">
        <f t="shared" si="19"/>
        <v>0</v>
      </c>
      <c r="E101" s="82">
        <f t="shared" si="19"/>
        <v>0</v>
      </c>
      <c r="F101" s="82">
        <f t="shared" si="19"/>
        <v>0</v>
      </c>
      <c r="G101" s="82">
        <f t="shared" si="19"/>
        <v>0</v>
      </c>
      <c r="H101" s="82">
        <f t="shared" si="19"/>
        <v>0</v>
      </c>
      <c r="I101" s="82">
        <f t="shared" si="19"/>
        <v>0</v>
      </c>
    </row>
    <row r="102" spans="1:9" x14ac:dyDescent="0.2">
      <c r="A102" t="s">
        <v>92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11" t="s">
        <v>93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 x14ac:dyDescent="0.2">
      <c r="A105" s="11" t="s">
        <v>18</v>
      </c>
      <c r="B105" s="3">
        <v>703</v>
      </c>
      <c r="C105" s="3">
        <v>748</v>
      </c>
      <c r="D105" s="3">
        <v>1262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 x14ac:dyDescent="0.2">
      <c r="A106" s="2" t="s">
        <v>94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 x14ac:dyDescent="0.2">
      <c r="A107" s="2" t="s">
        <v>95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 x14ac:dyDescent="0.2">
      <c r="A109" s="14" t="s">
        <v>98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2">
      <c r="A110" s="28" t="s">
        <v>108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2" t="s">
        <v>99</v>
      </c>
      <c r="B111" s="3">
        <v>13740</v>
      </c>
      <c r="C111" s="3">
        <v>14764</v>
      </c>
      <c r="D111" s="3">
        <v>15216</v>
      </c>
      <c r="E111" s="3">
        <f t="shared" ref="E111:G111" si="20">+SUM(E112:E114)</f>
        <v>14855</v>
      </c>
      <c r="F111" s="3">
        <f t="shared" si="20"/>
        <v>15902</v>
      </c>
      <c r="G111" s="3">
        <f t="shared" si="20"/>
        <v>14484</v>
      </c>
      <c r="H111" s="3">
        <f t="shared" ref="H111" si="21">+SUM(H112:H114)</f>
        <v>17179</v>
      </c>
      <c r="I111" s="3">
        <f>+SUM(I112:I114)</f>
        <v>18353</v>
      </c>
    </row>
    <row r="112" spans="1:9" x14ac:dyDescent="0.2">
      <c r="A112" s="11" t="s">
        <v>112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 x14ac:dyDescent="0.2">
      <c r="A113" s="11" t="s">
        <v>113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2">
      <c r="A114" s="11" t="s">
        <v>114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2">
      <c r="A115" s="2" t="s">
        <v>100</v>
      </c>
      <c r="B115" s="3">
        <f t="shared" ref="B115:H115" si="22">+SUM(B116:B118)</f>
        <v>0</v>
      </c>
      <c r="C115" s="3">
        <f t="shared" si="22"/>
        <v>0</v>
      </c>
      <c r="D115" s="3">
        <f t="shared" si="22"/>
        <v>0</v>
      </c>
      <c r="E115" s="3">
        <f t="shared" si="22"/>
        <v>9242</v>
      </c>
      <c r="F115" s="3">
        <f t="shared" si="22"/>
        <v>9812</v>
      </c>
      <c r="G115" s="3">
        <f t="shared" si="22"/>
        <v>9347</v>
      </c>
      <c r="H115" s="3">
        <f t="shared" si="22"/>
        <v>11456</v>
      </c>
      <c r="I115" s="3">
        <f>+SUM(I116:I118)</f>
        <v>12479</v>
      </c>
    </row>
    <row r="116" spans="1:9" x14ac:dyDescent="0.2">
      <c r="A116" s="11" t="s">
        <v>112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2">
      <c r="A117" s="11" t="s">
        <v>113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2">
      <c r="A118" s="11" t="s">
        <v>114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2">
      <c r="A119" s="2" t="s">
        <v>101</v>
      </c>
      <c r="B119" s="3">
        <v>3067</v>
      </c>
      <c r="C119" s="3">
        <v>3785</v>
      </c>
      <c r="D119" s="3">
        <v>4237</v>
      </c>
      <c r="E119" s="3">
        <f t="shared" ref="E119:H119" si="23">+SUM(E120:E122)</f>
        <v>5134</v>
      </c>
      <c r="F119" s="3">
        <f t="shared" si="23"/>
        <v>6208</v>
      </c>
      <c r="G119" s="3">
        <f t="shared" si="23"/>
        <v>6679</v>
      </c>
      <c r="H119" s="3">
        <f t="shared" si="23"/>
        <v>8290</v>
      </c>
      <c r="I119" s="3">
        <f>+SUM(I120:I122)</f>
        <v>7547</v>
      </c>
    </row>
    <row r="120" spans="1:9" x14ac:dyDescent="0.2">
      <c r="A120" s="11" t="s">
        <v>112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2">
      <c r="A121" s="11" t="s">
        <v>113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2">
      <c r="A122" s="11" t="s">
        <v>114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2">
      <c r="A123" s="2" t="s">
        <v>105</v>
      </c>
      <c r="B123" s="3">
        <f t="shared" ref="B123:H123" si="24">+SUM(B124:B126)</f>
        <v>0</v>
      </c>
      <c r="C123" s="3">
        <f t="shared" si="24"/>
        <v>0</v>
      </c>
      <c r="D123" s="3">
        <f t="shared" si="24"/>
        <v>0</v>
      </c>
      <c r="E123" s="3">
        <f t="shared" si="24"/>
        <v>5166</v>
      </c>
      <c r="F123" s="3">
        <f t="shared" si="24"/>
        <v>5254</v>
      </c>
      <c r="G123" s="3">
        <f t="shared" si="24"/>
        <v>5028</v>
      </c>
      <c r="H123" s="3">
        <f t="shared" si="24"/>
        <v>5343</v>
      </c>
      <c r="I123" s="3">
        <f>+SUM(I124:I126)</f>
        <v>5955</v>
      </c>
    </row>
    <row r="124" spans="1:9" x14ac:dyDescent="0.2">
      <c r="A124" s="11" t="s">
        <v>112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2">
      <c r="A125" s="11" t="s">
        <v>113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2">
      <c r="A126" s="11" t="s">
        <v>114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2">
      <c r="A127" s="2" t="s">
        <v>106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2">
      <c r="A128" s="2" t="s">
        <v>196</v>
      </c>
      <c r="B128" s="3">
        <f>SUM(B129:B131)</f>
        <v>5705</v>
      </c>
      <c r="C128" s="3">
        <f t="shared" ref="C128:D128" si="25">SUM(C129:C131)</f>
        <v>5884</v>
      </c>
      <c r="D128" s="3">
        <f t="shared" si="25"/>
        <v>6211</v>
      </c>
      <c r="E128" s="3"/>
      <c r="F128" s="3"/>
      <c r="G128" s="3"/>
      <c r="H128" s="3"/>
      <c r="I128" s="3"/>
    </row>
    <row r="129" spans="1:9" x14ac:dyDescent="0.2">
      <c r="A129" s="11" t="s">
        <v>112</v>
      </c>
      <c r="B129" s="3">
        <v>3876</v>
      </c>
      <c r="C129" s="3">
        <v>3985</v>
      </c>
      <c r="D129" s="3">
        <v>4068</v>
      </c>
      <c r="E129" s="3"/>
      <c r="F129" s="3"/>
      <c r="G129" s="3"/>
      <c r="H129" s="3"/>
      <c r="I129" s="3"/>
    </row>
    <row r="130" spans="1:9" x14ac:dyDescent="0.2">
      <c r="A130" s="11" t="s">
        <v>113</v>
      </c>
      <c r="B130" s="3">
        <v>1552</v>
      </c>
      <c r="C130" s="3">
        <v>1628</v>
      </c>
      <c r="D130" s="3">
        <v>1868</v>
      </c>
      <c r="E130" s="3"/>
      <c r="F130" s="3"/>
      <c r="G130" s="3"/>
      <c r="H130" s="3"/>
      <c r="I130" s="3"/>
    </row>
    <row r="131" spans="1:9" x14ac:dyDescent="0.2">
      <c r="A131" s="11" t="s">
        <v>114</v>
      </c>
      <c r="B131" s="3">
        <v>277</v>
      </c>
      <c r="C131" s="3">
        <v>271</v>
      </c>
      <c r="D131" s="3">
        <v>275</v>
      </c>
      <c r="E131" s="3"/>
      <c r="F131" s="3"/>
      <c r="G131" s="3"/>
      <c r="H131" s="3"/>
      <c r="I131" s="3"/>
    </row>
    <row r="132" spans="1:9" x14ac:dyDescent="0.2">
      <c r="A132" s="2" t="s">
        <v>197</v>
      </c>
      <c r="B132" s="3">
        <f>SUM(B133:B135)</f>
        <v>1421</v>
      </c>
      <c r="C132" s="3">
        <f t="shared" ref="C132:D132" si="26">SUM(C133:C135)</f>
        <v>1431</v>
      </c>
      <c r="D132" s="3">
        <f t="shared" si="26"/>
        <v>1487</v>
      </c>
      <c r="E132" s="3"/>
      <c r="F132" s="3"/>
      <c r="G132" s="3"/>
      <c r="H132" s="3"/>
      <c r="I132" s="3"/>
    </row>
    <row r="133" spans="1:9" x14ac:dyDescent="0.2">
      <c r="A133" s="11" t="s">
        <v>112</v>
      </c>
      <c r="B133" s="3">
        <v>827</v>
      </c>
      <c r="C133" s="3">
        <v>882</v>
      </c>
      <c r="D133" s="3">
        <v>927</v>
      </c>
      <c r="E133" s="3"/>
      <c r="F133" s="3"/>
      <c r="G133" s="3"/>
      <c r="H133" s="3"/>
      <c r="I133" s="3"/>
    </row>
    <row r="134" spans="1:9" x14ac:dyDescent="0.2">
      <c r="A134" s="11" t="s">
        <v>113</v>
      </c>
      <c r="B134" s="3">
        <v>499</v>
      </c>
      <c r="C134" s="3">
        <v>463</v>
      </c>
      <c r="D134" s="3">
        <v>471</v>
      </c>
      <c r="E134" s="3"/>
      <c r="F134" s="3"/>
      <c r="G134" s="3"/>
      <c r="H134" s="3"/>
      <c r="I134" s="3"/>
    </row>
    <row r="135" spans="1:9" x14ac:dyDescent="0.2">
      <c r="A135" s="11" t="s">
        <v>114</v>
      </c>
      <c r="B135" s="3">
        <v>95</v>
      </c>
      <c r="C135" s="3">
        <v>86</v>
      </c>
      <c r="D135" s="3">
        <v>89</v>
      </c>
      <c r="E135" s="3"/>
      <c r="F135" s="3"/>
      <c r="G135" s="3"/>
      <c r="H135" s="3"/>
      <c r="I135" s="3"/>
    </row>
    <row r="136" spans="1:9" x14ac:dyDescent="0.2">
      <c r="A136" s="2" t="s">
        <v>207</v>
      </c>
      <c r="B136" s="3">
        <f>SUM(B137:B139)</f>
        <v>755</v>
      </c>
      <c r="C136" s="3">
        <f>SUM(C137:C139)</f>
        <v>869</v>
      </c>
      <c r="D136" s="3">
        <f>SUM(D137:D139)</f>
        <v>1014</v>
      </c>
      <c r="E136" s="3"/>
      <c r="F136" s="3"/>
      <c r="G136" s="3"/>
      <c r="H136" s="3"/>
      <c r="I136" s="3"/>
    </row>
    <row r="137" spans="1:9" x14ac:dyDescent="0.2">
      <c r="A137" s="11" t="s">
        <v>112</v>
      </c>
      <c r="B137" s="3">
        <v>452</v>
      </c>
      <c r="C137" s="3">
        <v>570</v>
      </c>
      <c r="D137" s="3">
        <v>666</v>
      </c>
      <c r="E137" s="3"/>
      <c r="F137" s="3"/>
      <c r="G137" s="3"/>
      <c r="H137" s="3"/>
      <c r="I137" s="3"/>
    </row>
    <row r="138" spans="1:9" x14ac:dyDescent="0.2">
      <c r="A138" s="11" t="s">
        <v>113</v>
      </c>
      <c r="B138" s="3">
        <v>230</v>
      </c>
      <c r="C138" s="3">
        <v>228</v>
      </c>
      <c r="D138" s="3">
        <v>275</v>
      </c>
      <c r="E138" s="3"/>
      <c r="F138" s="3"/>
      <c r="G138" s="3"/>
      <c r="H138" s="3"/>
      <c r="I138" s="3"/>
    </row>
    <row r="139" spans="1:9" x14ac:dyDescent="0.2">
      <c r="A139" s="11" t="s">
        <v>114</v>
      </c>
      <c r="B139" s="3">
        <v>73</v>
      </c>
      <c r="C139" s="3">
        <v>71</v>
      </c>
      <c r="D139" s="3">
        <v>73</v>
      </c>
      <c r="E139" s="3"/>
      <c r="F139" s="3"/>
      <c r="G139" s="3"/>
      <c r="H139" s="3"/>
      <c r="I139" s="3"/>
    </row>
    <row r="140" spans="1:9" x14ac:dyDescent="0.2">
      <c r="A140" s="2" t="s">
        <v>208</v>
      </c>
      <c r="B140" s="3">
        <f>SUM(B141:B143)</f>
        <v>3898</v>
      </c>
      <c r="C140" s="3">
        <f t="shared" ref="C140:D140" si="27">SUM(C141:C143)</f>
        <v>3701</v>
      </c>
      <c r="D140" s="3">
        <f t="shared" si="27"/>
        <v>3995</v>
      </c>
      <c r="E140" s="3"/>
      <c r="F140" s="3"/>
      <c r="G140" s="3"/>
      <c r="H140" s="3"/>
      <c r="I140" s="3"/>
    </row>
    <row r="141" spans="1:9" x14ac:dyDescent="0.2">
      <c r="A141" s="11" t="s">
        <v>112</v>
      </c>
      <c r="B141" s="3">
        <v>2641</v>
      </c>
      <c r="C141" s="3">
        <v>2536</v>
      </c>
      <c r="D141" s="3">
        <v>2816</v>
      </c>
      <c r="E141" s="3"/>
      <c r="F141" s="3"/>
      <c r="G141" s="3"/>
      <c r="H141" s="3"/>
      <c r="I141" s="3"/>
    </row>
    <row r="142" spans="1:9" x14ac:dyDescent="0.2">
      <c r="A142" s="11" t="s">
        <v>113</v>
      </c>
      <c r="B142" s="3">
        <v>1021</v>
      </c>
      <c r="C142" s="3">
        <v>947</v>
      </c>
      <c r="D142" s="3">
        <v>966</v>
      </c>
      <c r="E142" s="3"/>
      <c r="F142" s="3"/>
      <c r="G142" s="3"/>
      <c r="H142" s="3"/>
      <c r="I142" s="3"/>
    </row>
    <row r="143" spans="1:9" x14ac:dyDescent="0.2">
      <c r="A143" s="11" t="s">
        <v>114</v>
      </c>
      <c r="B143" s="3">
        <v>236</v>
      </c>
      <c r="C143" s="3">
        <v>218</v>
      </c>
      <c r="D143" s="3">
        <v>213</v>
      </c>
      <c r="E143" s="3"/>
      <c r="F143" s="3"/>
      <c r="G143" s="3"/>
      <c r="H143" s="3"/>
      <c r="I143" s="3"/>
    </row>
    <row r="144" spans="1:9" x14ac:dyDescent="0.2">
      <c r="A144" s="4" t="s">
        <v>102</v>
      </c>
      <c r="B144" s="5">
        <f>+B111+B115+B119+B123+B127+B128+B132+B136+B140</f>
        <v>28701</v>
      </c>
      <c r="C144" s="5">
        <f>+C111+C115+C119+C123+C127+C128+C132+C136+C140</f>
        <v>30507</v>
      </c>
      <c r="D144" s="5">
        <f>+D111+D115+D119+D123+D127+D128+D132+D136+D140</f>
        <v>32233</v>
      </c>
      <c r="E144" s="5">
        <f t="shared" ref="E144:I144" si="28">+E111+E115+E119+E123+E127</f>
        <v>34485</v>
      </c>
      <c r="F144" s="5">
        <f t="shared" si="28"/>
        <v>37218</v>
      </c>
      <c r="G144" s="5">
        <f t="shared" si="28"/>
        <v>35568</v>
      </c>
      <c r="H144" s="5">
        <f t="shared" si="28"/>
        <v>42293</v>
      </c>
      <c r="I144" s="5">
        <f t="shared" si="28"/>
        <v>44436</v>
      </c>
    </row>
    <row r="145" spans="1:9" x14ac:dyDescent="0.2">
      <c r="A145" s="2" t="s">
        <v>103</v>
      </c>
      <c r="B145" s="3">
        <v>1982</v>
      </c>
      <c r="C145" s="3">
        <v>1955</v>
      </c>
      <c r="D145" s="3">
        <v>2042</v>
      </c>
      <c r="E145" s="3">
        <f>SUM(E146:E149)</f>
        <v>1886</v>
      </c>
      <c r="F145" s="3">
        <f t="shared" ref="F145:G145" si="29">SUM(F146:F149)</f>
        <v>1906</v>
      </c>
      <c r="G145" s="3">
        <f t="shared" si="29"/>
        <v>1846</v>
      </c>
      <c r="H145" s="3">
        <f>+SUM(H146:H149)</f>
        <v>2205</v>
      </c>
      <c r="I145" s="3">
        <f>+SUM(I146:I149)</f>
        <v>2346</v>
      </c>
    </row>
    <row r="146" spans="1:9" x14ac:dyDescent="0.2">
      <c r="A146" s="11" t="s">
        <v>112</v>
      </c>
      <c r="B146" s="3"/>
      <c r="C146" s="3"/>
      <c r="D146" s="3"/>
      <c r="E146" s="3">
        <v>1611</v>
      </c>
      <c r="F146" s="3">
        <v>1658</v>
      </c>
      <c r="G146" s="3">
        <v>1642</v>
      </c>
      <c r="H146" s="3">
        <v>1986</v>
      </c>
      <c r="I146" s="3">
        <v>2094</v>
      </c>
    </row>
    <row r="147" spans="1:9" x14ac:dyDescent="0.2">
      <c r="A147" s="11" t="s">
        <v>113</v>
      </c>
      <c r="B147" s="3"/>
      <c r="C147" s="3"/>
      <c r="D147" s="3"/>
      <c r="E147" s="3">
        <v>144</v>
      </c>
      <c r="F147" s="3">
        <v>118</v>
      </c>
      <c r="G147" s="3">
        <v>89</v>
      </c>
      <c r="H147" s="3">
        <v>104</v>
      </c>
      <c r="I147" s="3">
        <v>103</v>
      </c>
    </row>
    <row r="148" spans="1:9" x14ac:dyDescent="0.2">
      <c r="A148" s="11" t="s">
        <v>114</v>
      </c>
      <c r="B148" s="3"/>
      <c r="C148" s="3"/>
      <c r="D148" s="3"/>
      <c r="E148" s="3">
        <v>28</v>
      </c>
      <c r="F148" s="3">
        <v>24</v>
      </c>
      <c r="G148" s="3">
        <v>25</v>
      </c>
      <c r="H148" s="3">
        <v>29</v>
      </c>
      <c r="I148" s="3">
        <v>26</v>
      </c>
    </row>
    <row r="149" spans="1:9" x14ac:dyDescent="0.2">
      <c r="A149" s="11" t="s">
        <v>120</v>
      </c>
      <c r="B149" s="3"/>
      <c r="C149" s="3"/>
      <c r="D149" s="3"/>
      <c r="E149" s="3">
        <v>103</v>
      </c>
      <c r="F149" s="3">
        <v>106</v>
      </c>
      <c r="G149" s="3">
        <v>90</v>
      </c>
      <c r="H149" s="3">
        <v>86</v>
      </c>
      <c r="I149" s="3">
        <v>123</v>
      </c>
    </row>
    <row r="150" spans="1:9" x14ac:dyDescent="0.2">
      <c r="A150" s="2" t="s">
        <v>107</v>
      </c>
      <c r="B150" s="3">
        <v>-82</v>
      </c>
      <c r="C150" s="3">
        <v>-86</v>
      </c>
      <c r="D150" s="3">
        <v>75</v>
      </c>
      <c r="E150" s="3">
        <v>26</v>
      </c>
      <c r="F150" s="3">
        <v>-7</v>
      </c>
      <c r="G150" s="3">
        <v>-11</v>
      </c>
      <c r="H150" s="3">
        <v>40</v>
      </c>
      <c r="I150" s="3">
        <v>-72</v>
      </c>
    </row>
    <row r="151" spans="1:9" ht="16" thickBot="1" x14ac:dyDescent="0.25">
      <c r="A151" s="6" t="s">
        <v>104</v>
      </c>
      <c r="B151" s="7">
        <f t="shared" ref="B151:H151" si="30">+B144+B145+B150</f>
        <v>30601</v>
      </c>
      <c r="C151" s="7">
        <f t="shared" si="30"/>
        <v>32376</v>
      </c>
      <c r="D151" s="7">
        <f t="shared" si="30"/>
        <v>34350</v>
      </c>
      <c r="E151" s="7">
        <f t="shared" si="30"/>
        <v>36397</v>
      </c>
      <c r="F151" s="7">
        <f t="shared" si="30"/>
        <v>39117</v>
      </c>
      <c r="G151" s="7">
        <f t="shared" si="30"/>
        <v>37403</v>
      </c>
      <c r="H151" s="7">
        <f t="shared" si="30"/>
        <v>44538</v>
      </c>
      <c r="I151" s="7">
        <f>+I144+I145+I150</f>
        <v>46710</v>
      </c>
    </row>
    <row r="152" spans="1:9" s="12" customFormat="1" ht="16" thickTop="1" x14ac:dyDescent="0.2">
      <c r="A152" s="12" t="s">
        <v>110</v>
      </c>
      <c r="B152" s="13">
        <f>+I151-I2</f>
        <v>0</v>
      </c>
      <c r="C152" s="13">
        <f t="shared" ref="C152:H152" si="31">+C151-C2</f>
        <v>0</v>
      </c>
      <c r="D152" s="13">
        <f t="shared" si="31"/>
        <v>0</v>
      </c>
      <c r="E152" s="13">
        <f t="shared" si="31"/>
        <v>0</v>
      </c>
      <c r="F152" s="13">
        <f t="shared" si="31"/>
        <v>0</v>
      </c>
      <c r="G152" s="13">
        <f t="shared" si="31"/>
        <v>0</v>
      </c>
      <c r="H152" s="13">
        <f t="shared" si="31"/>
        <v>0</v>
      </c>
    </row>
    <row r="153" spans="1:9" x14ac:dyDescent="0.2">
      <c r="A153" s="1" t="s">
        <v>109</v>
      </c>
    </row>
    <row r="154" spans="1:9" x14ac:dyDescent="0.2">
      <c r="A154" s="2" t="s">
        <v>99</v>
      </c>
      <c r="B154">
        <v>3645</v>
      </c>
      <c r="C154" s="3">
        <v>3763</v>
      </c>
      <c r="D154" s="3">
        <v>3875</v>
      </c>
      <c r="E154" s="3">
        <v>3600</v>
      </c>
      <c r="F154" s="3">
        <v>3925</v>
      </c>
      <c r="G154" s="3">
        <v>2899</v>
      </c>
      <c r="H154" s="3">
        <v>5089</v>
      </c>
      <c r="I154" s="3">
        <v>5114</v>
      </c>
    </row>
    <row r="155" spans="1:9" x14ac:dyDescent="0.2">
      <c r="A155" s="2" t="s">
        <v>196</v>
      </c>
      <c r="B155">
        <v>1275</v>
      </c>
      <c r="C155" s="3">
        <v>1434</v>
      </c>
      <c r="D155" s="3">
        <v>1203</v>
      </c>
      <c r="E155" s="3"/>
      <c r="F155" s="3"/>
      <c r="G155" s="3"/>
      <c r="H155" s="3"/>
      <c r="I155" s="3"/>
    </row>
    <row r="156" spans="1:9" x14ac:dyDescent="0.2">
      <c r="A156" s="2" t="s">
        <v>197</v>
      </c>
      <c r="B156">
        <v>249</v>
      </c>
      <c r="C156" s="3">
        <v>289</v>
      </c>
      <c r="D156" s="3">
        <v>244</v>
      </c>
      <c r="E156" s="3"/>
      <c r="F156" s="3"/>
      <c r="G156" s="3"/>
      <c r="H156" s="3"/>
      <c r="I156" s="3"/>
    </row>
    <row r="157" spans="1:9" x14ac:dyDescent="0.2">
      <c r="A157" s="2" t="s">
        <v>100</v>
      </c>
      <c r="B157" s="3"/>
      <c r="C157" s="3"/>
      <c r="D157" s="3"/>
      <c r="E157" s="3">
        <v>1587</v>
      </c>
      <c r="F157" s="3">
        <v>1995</v>
      </c>
      <c r="G157" s="3">
        <v>1541</v>
      </c>
      <c r="H157" s="3">
        <v>2435</v>
      </c>
      <c r="I157" s="3">
        <v>3293</v>
      </c>
    </row>
    <row r="158" spans="1:9" x14ac:dyDescent="0.2">
      <c r="A158" s="2" t="s">
        <v>101</v>
      </c>
      <c r="B158" s="3">
        <v>993</v>
      </c>
      <c r="C158" s="3">
        <v>1372</v>
      </c>
      <c r="D158" s="3">
        <v>1507</v>
      </c>
      <c r="E158" s="3">
        <v>1807</v>
      </c>
      <c r="F158" s="3">
        <v>2376</v>
      </c>
      <c r="G158" s="3">
        <v>2490</v>
      </c>
      <c r="H158" s="3">
        <v>3243</v>
      </c>
      <c r="I158" s="3">
        <v>2365</v>
      </c>
    </row>
    <row r="159" spans="1:9" x14ac:dyDescent="0.2">
      <c r="A159" s="2" t="s">
        <v>207</v>
      </c>
      <c r="B159" s="3">
        <v>100</v>
      </c>
      <c r="C159" s="3">
        <v>174</v>
      </c>
      <c r="D159" s="3">
        <v>224</v>
      </c>
      <c r="E159" s="3"/>
      <c r="F159" s="3"/>
      <c r="G159" s="3"/>
      <c r="H159" s="3"/>
      <c r="I159" s="3"/>
    </row>
    <row r="160" spans="1:9" x14ac:dyDescent="0.2">
      <c r="A160" s="2" t="s">
        <v>105</v>
      </c>
      <c r="B160" s="3"/>
      <c r="C160" s="3"/>
      <c r="D160" s="3"/>
      <c r="E160" s="3">
        <v>1189</v>
      </c>
      <c r="F160" s="3">
        <v>1323</v>
      </c>
      <c r="G160" s="3">
        <v>1184</v>
      </c>
      <c r="H160" s="3">
        <v>1530</v>
      </c>
      <c r="I160" s="3">
        <v>1896</v>
      </c>
    </row>
    <row r="161" spans="1:9" x14ac:dyDescent="0.2">
      <c r="A161" s="2" t="s">
        <v>106</v>
      </c>
      <c r="B161" s="3">
        <v>-2267</v>
      </c>
      <c r="C161" s="3">
        <v>-2596</v>
      </c>
      <c r="D161" s="3">
        <v>-2677</v>
      </c>
      <c r="E161" s="3">
        <v>-2658</v>
      </c>
      <c r="F161" s="3">
        <v>-3262</v>
      </c>
      <c r="G161" s="3">
        <v>-3468</v>
      </c>
      <c r="H161" s="3">
        <v>-3656</v>
      </c>
      <c r="I161" s="3">
        <v>-4262</v>
      </c>
    </row>
    <row r="162" spans="1:9" x14ac:dyDescent="0.2">
      <c r="A162" s="2" t="s">
        <v>208</v>
      </c>
      <c r="B162" s="3">
        <v>818</v>
      </c>
      <c r="C162" s="3">
        <v>892</v>
      </c>
      <c r="D162" s="3">
        <v>816</v>
      </c>
      <c r="H162" s="3"/>
      <c r="I162" s="3"/>
    </row>
    <row r="163" spans="1:9" x14ac:dyDescent="0.2">
      <c r="A163" s="4" t="s">
        <v>102</v>
      </c>
      <c r="B163" s="5">
        <f>SUM(B154:B162)</f>
        <v>4813</v>
      </c>
      <c r="C163" s="5">
        <f t="shared" ref="C163:D163" si="32">SUM(C154:C162)</f>
        <v>5328</v>
      </c>
      <c r="D163" s="5">
        <f t="shared" si="32"/>
        <v>5192</v>
      </c>
      <c r="E163" s="5">
        <f>SUM(E154:E161)</f>
        <v>5525</v>
      </c>
      <c r="F163" s="5">
        <f>SUM(F154:F161)</f>
        <v>6357</v>
      </c>
      <c r="G163" s="5">
        <f>SUM(G154:G161)</f>
        <v>4646</v>
      </c>
      <c r="H163" s="5">
        <f t="shared" ref="H163:I163" si="33">+SUM(H154:H161)</f>
        <v>8641</v>
      </c>
      <c r="I163" s="5">
        <f t="shared" si="33"/>
        <v>8406</v>
      </c>
    </row>
    <row r="164" spans="1:9" x14ac:dyDescent="0.2">
      <c r="A164" s="2" t="s">
        <v>103</v>
      </c>
      <c r="B164" s="3">
        <v>517</v>
      </c>
      <c r="C164" s="3">
        <v>487</v>
      </c>
      <c r="D164" s="3">
        <v>477</v>
      </c>
      <c r="E164" s="3">
        <v>310</v>
      </c>
      <c r="F164" s="3">
        <v>303</v>
      </c>
      <c r="G164" s="3">
        <v>297</v>
      </c>
      <c r="H164" s="3">
        <v>543</v>
      </c>
      <c r="I164" s="3">
        <v>669</v>
      </c>
    </row>
    <row r="165" spans="1:9" x14ac:dyDescent="0.2">
      <c r="A165" s="2" t="s">
        <v>107</v>
      </c>
      <c r="B165" s="3">
        <v>-1097</v>
      </c>
      <c r="C165" s="3">
        <v>-1173</v>
      </c>
      <c r="D165">
        <v>-724</v>
      </c>
      <c r="E165" s="3">
        <v>-1456</v>
      </c>
      <c r="F165" s="3">
        <v>-1810</v>
      </c>
      <c r="G165" s="3">
        <v>-1967</v>
      </c>
      <c r="H165" s="3">
        <v>-2261</v>
      </c>
      <c r="I165" s="3">
        <v>-2219</v>
      </c>
    </row>
    <row r="166" spans="1:9" ht="16" thickBot="1" x14ac:dyDescent="0.25">
      <c r="A166" s="6" t="s">
        <v>111</v>
      </c>
      <c r="B166" s="7">
        <f t="shared" ref="B166" si="34">+SUM(B163:B165)</f>
        <v>4233</v>
      </c>
      <c r="C166" s="7">
        <f t="shared" ref="C166:H166" si="35">+SUM(C163:C165)</f>
        <v>4642</v>
      </c>
      <c r="D166" s="7">
        <f t="shared" si="35"/>
        <v>4945</v>
      </c>
      <c r="E166" s="7">
        <f t="shared" si="35"/>
        <v>4379</v>
      </c>
      <c r="F166" s="7">
        <f t="shared" si="35"/>
        <v>4850</v>
      </c>
      <c r="G166" s="7">
        <f t="shared" si="35"/>
        <v>2976</v>
      </c>
      <c r="H166" s="7">
        <f t="shared" si="35"/>
        <v>6923</v>
      </c>
      <c r="I166" s="7">
        <f>+SUM(I163:I165)</f>
        <v>6856</v>
      </c>
    </row>
    <row r="167" spans="1:9" s="12" customFormat="1" ht="16" thickTop="1" x14ac:dyDescent="0.2">
      <c r="A167" s="12" t="s">
        <v>110</v>
      </c>
      <c r="B167" s="13">
        <f t="shared" ref="B167:I167" si="36">+B166-B10-B8</f>
        <v>0</v>
      </c>
      <c r="C167" s="13">
        <f t="shared" si="36"/>
        <v>0</v>
      </c>
      <c r="D167" s="13">
        <f t="shared" si="36"/>
        <v>0</v>
      </c>
      <c r="E167" s="13">
        <f t="shared" si="36"/>
        <v>0</v>
      </c>
      <c r="F167" s="13">
        <f t="shared" si="36"/>
        <v>0</v>
      </c>
      <c r="G167" s="13">
        <f t="shared" si="36"/>
        <v>0</v>
      </c>
      <c r="H167" s="13">
        <f t="shared" si="36"/>
        <v>0</v>
      </c>
      <c r="I167" s="13">
        <f t="shared" si="36"/>
        <v>0</v>
      </c>
    </row>
    <row r="168" spans="1:9" x14ac:dyDescent="0.2">
      <c r="A168" s="1" t="s">
        <v>116</v>
      </c>
    </row>
    <row r="169" spans="1:9" x14ac:dyDescent="0.2">
      <c r="A169" s="2" t="s">
        <v>99</v>
      </c>
      <c r="B169" s="3">
        <v>632</v>
      </c>
      <c r="C169" s="3">
        <v>742</v>
      </c>
      <c r="D169" s="3">
        <v>819</v>
      </c>
      <c r="E169" s="3">
        <v>848</v>
      </c>
      <c r="F169" s="3">
        <v>814</v>
      </c>
      <c r="G169" s="3">
        <v>645</v>
      </c>
      <c r="H169" s="3">
        <v>617</v>
      </c>
      <c r="I169" s="3">
        <v>639</v>
      </c>
    </row>
    <row r="170" spans="1:9" x14ac:dyDescent="0.2">
      <c r="A170" s="2" t="s">
        <v>196</v>
      </c>
      <c r="B170" s="3">
        <v>451</v>
      </c>
      <c r="C170" s="3">
        <v>589</v>
      </c>
      <c r="D170" s="3">
        <v>658</v>
      </c>
      <c r="E170" s="3"/>
      <c r="F170" s="3"/>
      <c r="G170" s="3"/>
      <c r="H170" s="3"/>
      <c r="I170" s="3"/>
    </row>
    <row r="171" spans="1:9" x14ac:dyDescent="0.2">
      <c r="A171" s="2" t="s">
        <v>197</v>
      </c>
      <c r="B171" s="3">
        <v>47</v>
      </c>
      <c r="C171" s="3">
        <v>50</v>
      </c>
      <c r="D171" s="3">
        <v>48</v>
      </c>
      <c r="E171" s="3"/>
      <c r="F171" s="3"/>
      <c r="G171" s="3"/>
      <c r="H171" s="3"/>
      <c r="I171" s="3"/>
    </row>
    <row r="172" spans="1:9" x14ac:dyDescent="0.2">
      <c r="A172" s="2" t="s">
        <v>100</v>
      </c>
      <c r="B172" s="3"/>
      <c r="C172" s="3"/>
      <c r="D172" s="3"/>
      <c r="E172" s="3">
        <v>849</v>
      </c>
      <c r="F172" s="3">
        <v>929</v>
      </c>
      <c r="G172" s="3">
        <v>885</v>
      </c>
      <c r="H172" s="3">
        <v>982</v>
      </c>
      <c r="I172" s="3">
        <v>920</v>
      </c>
    </row>
    <row r="173" spans="1:9" x14ac:dyDescent="0.2">
      <c r="A173" s="2" t="s">
        <v>101</v>
      </c>
      <c r="B173" s="3">
        <v>254</v>
      </c>
      <c r="C173" s="3">
        <v>234</v>
      </c>
      <c r="D173" s="3">
        <v>225</v>
      </c>
      <c r="E173" s="3">
        <v>256</v>
      </c>
      <c r="F173" s="3">
        <v>237</v>
      </c>
      <c r="G173" s="3">
        <v>214</v>
      </c>
      <c r="H173" s="3">
        <v>288</v>
      </c>
      <c r="I173" s="3">
        <v>303</v>
      </c>
    </row>
    <row r="174" spans="1:9" x14ac:dyDescent="0.2">
      <c r="A174" s="2" t="s">
        <v>207</v>
      </c>
      <c r="B174" s="3">
        <v>205</v>
      </c>
      <c r="C174" s="3">
        <v>223</v>
      </c>
      <c r="D174" s="3">
        <v>223</v>
      </c>
      <c r="E174" s="3"/>
      <c r="F174" s="3"/>
      <c r="G174" s="3"/>
      <c r="H174" s="3"/>
      <c r="I174" s="3"/>
    </row>
    <row r="175" spans="1:9" x14ac:dyDescent="0.2">
      <c r="A175" s="2" t="s">
        <v>117</v>
      </c>
      <c r="B175" s="3"/>
      <c r="C175" s="3"/>
      <c r="D175" s="3"/>
      <c r="E175" s="3">
        <v>339</v>
      </c>
      <c r="F175" s="3">
        <v>326</v>
      </c>
      <c r="G175" s="3">
        <v>296</v>
      </c>
      <c r="H175" s="3">
        <v>304</v>
      </c>
      <c r="I175" s="3">
        <v>274</v>
      </c>
    </row>
    <row r="176" spans="1:9" x14ac:dyDescent="0.2">
      <c r="A176" s="2" t="s">
        <v>208</v>
      </c>
      <c r="B176" s="3">
        <v>103</v>
      </c>
      <c r="C176" s="3">
        <v>109</v>
      </c>
      <c r="D176" s="3">
        <v>120</v>
      </c>
      <c r="E176" s="3"/>
      <c r="F176" s="3"/>
      <c r="G176" s="3"/>
      <c r="H176" s="3"/>
      <c r="I176" s="3"/>
    </row>
    <row r="177" spans="1:9" x14ac:dyDescent="0.2">
      <c r="A177" s="2" t="s">
        <v>106</v>
      </c>
      <c r="B177" s="3">
        <v>484</v>
      </c>
      <c r="C177" s="3">
        <v>511</v>
      </c>
      <c r="D177" s="3">
        <v>533</v>
      </c>
      <c r="E177" s="3">
        <v>597</v>
      </c>
      <c r="F177" s="3">
        <v>665</v>
      </c>
      <c r="G177" s="3">
        <v>830</v>
      </c>
      <c r="H177" s="3">
        <v>780</v>
      </c>
      <c r="I177" s="3">
        <v>789</v>
      </c>
    </row>
    <row r="178" spans="1:9" x14ac:dyDescent="0.2">
      <c r="A178" s="4" t="s">
        <v>118</v>
      </c>
      <c r="B178" s="5">
        <f t="shared" ref="B178:G178" si="37">+SUM(B169:B177)</f>
        <v>2176</v>
      </c>
      <c r="C178" s="5">
        <f t="shared" si="37"/>
        <v>2458</v>
      </c>
      <c r="D178" s="5">
        <f t="shared" si="37"/>
        <v>2626</v>
      </c>
      <c r="E178" s="5">
        <f t="shared" si="37"/>
        <v>2889</v>
      </c>
      <c r="F178" s="5">
        <f t="shared" si="37"/>
        <v>2971</v>
      </c>
      <c r="G178" s="5">
        <f t="shared" si="37"/>
        <v>2870</v>
      </c>
      <c r="H178" s="5">
        <f t="shared" ref="H178:I178" si="38">+SUM(H169:H177)</f>
        <v>2971</v>
      </c>
      <c r="I178" s="5">
        <f t="shared" si="38"/>
        <v>2925</v>
      </c>
    </row>
    <row r="179" spans="1:9" x14ac:dyDescent="0.2">
      <c r="A179" s="2" t="s">
        <v>103</v>
      </c>
      <c r="B179" s="3">
        <v>122</v>
      </c>
      <c r="C179" s="3">
        <v>125</v>
      </c>
      <c r="D179" s="3">
        <v>125</v>
      </c>
      <c r="E179" s="3">
        <v>115</v>
      </c>
      <c r="F179" s="3">
        <v>100</v>
      </c>
      <c r="G179" s="3">
        <v>80</v>
      </c>
      <c r="H179" s="3">
        <v>63</v>
      </c>
      <c r="I179" s="3">
        <v>49</v>
      </c>
    </row>
    <row r="180" spans="1:9" x14ac:dyDescent="0.2">
      <c r="A180" s="2" t="s">
        <v>107</v>
      </c>
      <c r="B180" s="3">
        <v>713</v>
      </c>
      <c r="C180" s="3">
        <v>937</v>
      </c>
      <c r="D180" s="3">
        <v>1238</v>
      </c>
      <c r="E180" s="3">
        <v>1450</v>
      </c>
      <c r="F180" s="3">
        <v>1673</v>
      </c>
      <c r="G180" s="3">
        <v>1916</v>
      </c>
      <c r="H180" s="3">
        <v>1870</v>
      </c>
      <c r="I180" s="3">
        <v>1817</v>
      </c>
    </row>
    <row r="181" spans="1:9" ht="16" thickBot="1" x14ac:dyDescent="0.25">
      <c r="A181" s="6" t="s">
        <v>119</v>
      </c>
      <c r="B181" s="7">
        <f t="shared" ref="B181:H181" si="39">+SUM(B178:B180)</f>
        <v>3011</v>
      </c>
      <c r="C181" s="7">
        <f t="shared" si="39"/>
        <v>3520</v>
      </c>
      <c r="D181" s="7">
        <f t="shared" si="39"/>
        <v>3989</v>
      </c>
      <c r="E181" s="7">
        <f t="shared" si="39"/>
        <v>4454</v>
      </c>
      <c r="F181" s="7">
        <f t="shared" si="39"/>
        <v>4744</v>
      </c>
      <c r="G181" s="7">
        <f t="shared" si="39"/>
        <v>4866</v>
      </c>
      <c r="H181" s="7">
        <f t="shared" si="39"/>
        <v>4904</v>
      </c>
      <c r="I181" s="7">
        <f>+SUM(I178:I180)</f>
        <v>4791</v>
      </c>
    </row>
    <row r="182" spans="1:9" ht="16" thickTop="1" x14ac:dyDescent="0.2">
      <c r="A182" s="12" t="s">
        <v>110</v>
      </c>
      <c r="B182" s="13">
        <f t="shared" ref="B182:I182" si="40">+B181-B31</f>
        <v>0</v>
      </c>
      <c r="C182" s="13">
        <f t="shared" si="40"/>
        <v>0</v>
      </c>
      <c r="D182" s="13">
        <f t="shared" si="40"/>
        <v>0</v>
      </c>
      <c r="E182" s="13">
        <f t="shared" si="40"/>
        <v>0</v>
      </c>
      <c r="F182" s="13">
        <f t="shared" si="40"/>
        <v>0</v>
      </c>
      <c r="G182" s="13">
        <f t="shared" si="40"/>
        <v>0</v>
      </c>
      <c r="H182" s="13">
        <f t="shared" si="40"/>
        <v>0</v>
      </c>
      <c r="I182" s="13">
        <f t="shared" si="40"/>
        <v>0</v>
      </c>
    </row>
    <row r="183" spans="1:9" x14ac:dyDescent="0.2">
      <c r="A183" s="1" t="s">
        <v>121</v>
      </c>
    </row>
    <row r="184" spans="1:9" x14ac:dyDescent="0.2">
      <c r="A184" s="2" t="s">
        <v>99</v>
      </c>
      <c r="B184" s="73"/>
      <c r="C184" s="73"/>
      <c r="D184" s="73"/>
      <c r="E184" s="73">
        <v>196</v>
      </c>
      <c r="F184" s="73">
        <v>117</v>
      </c>
      <c r="G184" s="73">
        <v>110</v>
      </c>
      <c r="H184" s="73">
        <v>98</v>
      </c>
      <c r="I184" s="73">
        <v>146</v>
      </c>
    </row>
    <row r="185" spans="1:9" x14ac:dyDescent="0.2">
      <c r="A185" s="2" t="s">
        <v>196</v>
      </c>
      <c r="B185" s="73"/>
      <c r="C185" s="73"/>
      <c r="D185" s="73"/>
      <c r="E185" s="73"/>
      <c r="F185" s="73"/>
      <c r="G185" s="73"/>
      <c r="H185" s="73"/>
      <c r="I185" s="73"/>
    </row>
    <row r="186" spans="1:9" x14ac:dyDescent="0.2">
      <c r="A186" s="2" t="s">
        <v>197</v>
      </c>
      <c r="B186" s="73"/>
      <c r="C186" s="73"/>
      <c r="D186" s="73"/>
      <c r="E186" s="73"/>
      <c r="F186" s="73"/>
      <c r="G186" s="73"/>
      <c r="H186" s="73"/>
      <c r="I186" s="73"/>
    </row>
    <row r="187" spans="1:9" x14ac:dyDescent="0.2">
      <c r="A187" s="2" t="s">
        <v>100</v>
      </c>
      <c r="B187" s="73"/>
      <c r="C187" s="73"/>
      <c r="D187" s="73"/>
      <c r="E187" s="73">
        <v>240</v>
      </c>
      <c r="F187" s="73">
        <v>233</v>
      </c>
      <c r="G187" s="73">
        <v>139</v>
      </c>
      <c r="H187" s="73">
        <v>153</v>
      </c>
      <c r="I187" s="73">
        <v>197</v>
      </c>
    </row>
    <row r="188" spans="1:9" x14ac:dyDescent="0.2">
      <c r="A188" s="2" t="s">
        <v>101</v>
      </c>
      <c r="B188" s="73"/>
      <c r="C188" s="73"/>
      <c r="D188" s="73"/>
      <c r="E188" s="73">
        <v>76</v>
      </c>
      <c r="F188" s="73">
        <v>49</v>
      </c>
      <c r="G188" s="73">
        <v>28</v>
      </c>
      <c r="H188" s="73">
        <v>94</v>
      </c>
      <c r="I188" s="73">
        <v>78</v>
      </c>
    </row>
    <row r="189" spans="1:9" x14ac:dyDescent="0.2">
      <c r="A189" s="2" t="s">
        <v>207</v>
      </c>
      <c r="B189" s="73"/>
      <c r="C189" s="73"/>
      <c r="D189" s="73"/>
      <c r="E189" s="73"/>
      <c r="F189" s="73"/>
      <c r="G189" s="73"/>
      <c r="H189" s="73"/>
      <c r="I189" s="73"/>
    </row>
    <row r="190" spans="1:9" x14ac:dyDescent="0.2">
      <c r="A190" s="2" t="s">
        <v>117</v>
      </c>
      <c r="B190" s="73"/>
      <c r="C190" s="73"/>
      <c r="D190" s="73"/>
      <c r="E190" s="73">
        <v>49</v>
      </c>
      <c r="F190" s="73">
        <v>47</v>
      </c>
      <c r="G190" s="73">
        <v>41</v>
      </c>
      <c r="H190" s="73">
        <v>54</v>
      </c>
      <c r="I190" s="73">
        <v>56</v>
      </c>
    </row>
    <row r="191" spans="1:9" x14ac:dyDescent="0.2">
      <c r="A191" s="2" t="s">
        <v>208</v>
      </c>
      <c r="B191" s="73"/>
      <c r="C191" s="73"/>
      <c r="D191" s="73"/>
      <c r="E191" s="73"/>
      <c r="F191" s="73"/>
      <c r="G191" s="73"/>
      <c r="H191" s="73"/>
      <c r="I191" s="73"/>
    </row>
    <row r="192" spans="1:9" x14ac:dyDescent="0.2">
      <c r="A192" s="2" t="s">
        <v>106</v>
      </c>
      <c r="B192" s="73"/>
      <c r="C192" s="73"/>
      <c r="D192" s="73"/>
      <c r="E192" s="73">
        <v>286</v>
      </c>
      <c r="F192" s="73">
        <v>278</v>
      </c>
      <c r="G192" s="73">
        <v>438</v>
      </c>
      <c r="H192" s="73">
        <v>278</v>
      </c>
      <c r="I192" s="73">
        <v>222</v>
      </c>
    </row>
    <row r="193" spans="1:9" x14ac:dyDescent="0.2">
      <c r="A193" s="4" t="s">
        <v>118</v>
      </c>
      <c r="B193" s="76" t="s">
        <v>209</v>
      </c>
      <c r="C193" s="76" t="s">
        <v>209</v>
      </c>
      <c r="D193" s="76" t="s">
        <v>209</v>
      </c>
      <c r="E193" s="76">
        <v>847</v>
      </c>
      <c r="F193" s="76">
        <v>724</v>
      </c>
      <c r="G193" s="76">
        <v>756</v>
      </c>
      <c r="H193" s="76">
        <v>677</v>
      </c>
      <c r="I193" s="76">
        <v>699</v>
      </c>
    </row>
    <row r="194" spans="1:9" x14ac:dyDescent="0.2">
      <c r="A194" s="2" t="s">
        <v>103</v>
      </c>
      <c r="B194" s="73"/>
      <c r="C194" s="77"/>
      <c r="D194" s="77"/>
      <c r="E194" s="73">
        <v>22</v>
      </c>
      <c r="F194" s="73">
        <v>18</v>
      </c>
      <c r="G194" s="73">
        <v>12</v>
      </c>
      <c r="H194" s="73">
        <v>7</v>
      </c>
      <c r="I194" s="73">
        <v>9</v>
      </c>
    </row>
    <row r="195" spans="1:9" x14ac:dyDescent="0.2">
      <c r="A195" s="2" t="s">
        <v>107</v>
      </c>
      <c r="B195" s="73">
        <v>963</v>
      </c>
      <c r="C195" s="73">
        <v>1143</v>
      </c>
      <c r="D195" s="73">
        <v>1105</v>
      </c>
      <c r="E195" s="73">
        <v>159</v>
      </c>
      <c r="F195" s="73">
        <v>377</v>
      </c>
      <c r="G195" s="73">
        <v>318</v>
      </c>
      <c r="H195" s="73">
        <v>11</v>
      </c>
      <c r="I195" s="73">
        <v>50</v>
      </c>
    </row>
    <row r="196" spans="1:9" ht="16" thickBot="1" x14ac:dyDescent="0.25">
      <c r="A196" s="6" t="s">
        <v>122</v>
      </c>
      <c r="B196" s="78">
        <v>963</v>
      </c>
      <c r="C196" s="78">
        <v>1143</v>
      </c>
      <c r="D196" s="78">
        <v>1105</v>
      </c>
      <c r="E196" s="78">
        <v>1028</v>
      </c>
      <c r="F196" s="78">
        <v>1119</v>
      </c>
      <c r="G196" s="78">
        <v>1086</v>
      </c>
      <c r="H196" s="78">
        <v>695</v>
      </c>
      <c r="I196" s="78">
        <v>758</v>
      </c>
    </row>
    <row r="197" spans="1:9" ht="16" thickTop="1" x14ac:dyDescent="0.2">
      <c r="A197" s="12" t="s">
        <v>110</v>
      </c>
      <c r="B197" s="13">
        <f t="shared" ref="B197:I197" si="41">+B196+B82</f>
        <v>0</v>
      </c>
      <c r="C197" s="13">
        <f t="shared" si="41"/>
        <v>0</v>
      </c>
      <c r="D197" s="13">
        <f t="shared" si="41"/>
        <v>0</v>
      </c>
      <c r="E197" s="13">
        <f t="shared" si="41"/>
        <v>0</v>
      </c>
      <c r="F197" s="13">
        <f t="shared" si="41"/>
        <v>0</v>
      </c>
      <c r="G197" s="13">
        <f t="shared" si="41"/>
        <v>0</v>
      </c>
      <c r="H197" s="13">
        <f t="shared" si="41"/>
        <v>0</v>
      </c>
      <c r="I197" s="13">
        <f t="shared" si="41"/>
        <v>0</v>
      </c>
    </row>
    <row r="198" spans="1:9" x14ac:dyDescent="0.2">
      <c r="A198" s="1" t="s">
        <v>123</v>
      </c>
    </row>
    <row r="199" spans="1:9" x14ac:dyDescent="0.2">
      <c r="A199" s="2" t="s">
        <v>99</v>
      </c>
      <c r="B199" s="3">
        <v>121</v>
      </c>
      <c r="C199" s="3">
        <v>133</v>
      </c>
      <c r="D199" s="3">
        <v>140</v>
      </c>
      <c r="E199" s="3">
        <v>160</v>
      </c>
      <c r="F199" s="3">
        <v>149</v>
      </c>
      <c r="G199" s="3">
        <v>148</v>
      </c>
      <c r="H199" s="3">
        <v>130</v>
      </c>
      <c r="I199" s="3">
        <v>124</v>
      </c>
    </row>
    <row r="200" spans="1:9" x14ac:dyDescent="0.2">
      <c r="A200" s="2" t="s">
        <v>196</v>
      </c>
      <c r="B200" s="3">
        <v>75</v>
      </c>
      <c r="C200" s="3">
        <v>72</v>
      </c>
      <c r="D200" s="3">
        <v>91</v>
      </c>
      <c r="E200" s="3"/>
      <c r="F200" s="3"/>
      <c r="G200" s="3"/>
      <c r="H200" s="3"/>
      <c r="I200" s="3"/>
    </row>
    <row r="201" spans="1:9" x14ac:dyDescent="0.2">
      <c r="A201" s="2" t="s">
        <v>197</v>
      </c>
      <c r="B201" s="3">
        <v>12</v>
      </c>
      <c r="C201" s="3">
        <v>12</v>
      </c>
      <c r="D201" s="3">
        <v>13</v>
      </c>
      <c r="E201" s="3"/>
      <c r="F201" s="3"/>
      <c r="G201" s="3"/>
      <c r="H201" s="3"/>
      <c r="I201" s="3"/>
    </row>
    <row r="202" spans="1:9" x14ac:dyDescent="0.2">
      <c r="A202" s="2" t="s">
        <v>100</v>
      </c>
      <c r="B202" s="3"/>
      <c r="C202" s="3"/>
      <c r="D202" s="3"/>
      <c r="E202" s="3">
        <v>116</v>
      </c>
      <c r="F202" s="3">
        <v>111</v>
      </c>
      <c r="G202" s="3">
        <v>132</v>
      </c>
      <c r="H202" s="3">
        <v>136</v>
      </c>
      <c r="I202" s="3">
        <v>134</v>
      </c>
    </row>
    <row r="203" spans="1:9" x14ac:dyDescent="0.2">
      <c r="A203" s="2" t="s">
        <v>101</v>
      </c>
      <c r="B203" s="3">
        <v>46</v>
      </c>
      <c r="C203" s="3">
        <v>48</v>
      </c>
      <c r="D203" s="3">
        <v>54</v>
      </c>
      <c r="E203" s="3">
        <v>56</v>
      </c>
      <c r="F203" s="3">
        <v>50</v>
      </c>
      <c r="G203" s="3">
        <v>44</v>
      </c>
      <c r="H203" s="3">
        <v>46</v>
      </c>
      <c r="I203" s="3">
        <v>41</v>
      </c>
    </row>
    <row r="204" spans="1:9" x14ac:dyDescent="0.2">
      <c r="A204" s="2" t="s">
        <v>207</v>
      </c>
      <c r="B204" s="73">
        <v>22</v>
      </c>
      <c r="C204" s="73">
        <v>18</v>
      </c>
      <c r="D204" s="73">
        <v>18</v>
      </c>
    </row>
    <row r="205" spans="1:9" x14ac:dyDescent="0.2">
      <c r="A205" s="2" t="s">
        <v>105</v>
      </c>
      <c r="B205" s="73"/>
      <c r="C205" s="73"/>
      <c r="D205" s="73"/>
      <c r="E205" s="3">
        <v>55</v>
      </c>
      <c r="F205" s="3">
        <v>53</v>
      </c>
      <c r="G205" s="3">
        <v>46</v>
      </c>
      <c r="H205" s="3">
        <v>43</v>
      </c>
      <c r="I205" s="3">
        <v>42</v>
      </c>
    </row>
    <row r="206" spans="1:9" x14ac:dyDescent="0.2">
      <c r="A206" s="2" t="s">
        <v>208</v>
      </c>
      <c r="B206" s="3">
        <v>27</v>
      </c>
      <c r="C206" s="3">
        <v>25</v>
      </c>
      <c r="D206" s="3">
        <v>38</v>
      </c>
      <c r="E206" s="3"/>
      <c r="F206" s="3"/>
      <c r="G206" s="3"/>
      <c r="H206" s="3"/>
      <c r="I206" s="3"/>
    </row>
    <row r="207" spans="1:9" x14ac:dyDescent="0.2">
      <c r="A207" s="2" t="s">
        <v>106</v>
      </c>
      <c r="B207" s="73">
        <v>210</v>
      </c>
      <c r="C207" s="73">
        <v>230</v>
      </c>
      <c r="D207" s="73">
        <v>233</v>
      </c>
      <c r="E207" s="73">
        <v>217</v>
      </c>
      <c r="F207" s="73">
        <v>195</v>
      </c>
      <c r="G207" s="73">
        <v>214</v>
      </c>
      <c r="H207" s="3">
        <v>222</v>
      </c>
      <c r="I207" s="3">
        <v>220</v>
      </c>
    </row>
    <row r="208" spans="1:9" x14ac:dyDescent="0.2">
      <c r="A208" s="4" t="s">
        <v>118</v>
      </c>
      <c r="B208" s="5">
        <f t="shared" ref="B208:I208" si="42">+SUM(B199:B207)</f>
        <v>513</v>
      </c>
      <c r="C208" s="5">
        <f t="shared" si="42"/>
        <v>538</v>
      </c>
      <c r="D208" s="5">
        <f t="shared" si="42"/>
        <v>587</v>
      </c>
      <c r="E208" s="5">
        <f t="shared" si="42"/>
        <v>604</v>
      </c>
      <c r="F208" s="5">
        <f t="shared" si="42"/>
        <v>558</v>
      </c>
      <c r="G208" s="5">
        <f t="shared" si="42"/>
        <v>584</v>
      </c>
      <c r="H208" s="5">
        <f t="shared" si="42"/>
        <v>577</v>
      </c>
      <c r="I208" s="5">
        <f t="shared" si="42"/>
        <v>561</v>
      </c>
    </row>
    <row r="209" spans="1:9" x14ac:dyDescent="0.2">
      <c r="A209" s="2" t="s">
        <v>103</v>
      </c>
      <c r="B209" s="3">
        <v>18</v>
      </c>
      <c r="C209" s="3">
        <v>27</v>
      </c>
      <c r="D209" s="3">
        <v>28</v>
      </c>
      <c r="E209" s="3">
        <v>33</v>
      </c>
      <c r="F209" s="3">
        <v>31</v>
      </c>
      <c r="G209" s="3">
        <v>25</v>
      </c>
      <c r="H209" s="3">
        <v>26</v>
      </c>
      <c r="I209" s="3">
        <v>22</v>
      </c>
    </row>
    <row r="210" spans="1:9" x14ac:dyDescent="0.2">
      <c r="A210" s="2" t="s">
        <v>107</v>
      </c>
      <c r="B210" s="3">
        <v>75</v>
      </c>
      <c r="C210" s="3">
        <v>84</v>
      </c>
      <c r="D210" s="3">
        <v>91</v>
      </c>
      <c r="E210" s="3">
        <v>110</v>
      </c>
      <c r="F210" s="3">
        <v>116</v>
      </c>
      <c r="G210" s="3">
        <v>112</v>
      </c>
      <c r="H210" s="3">
        <v>141</v>
      </c>
      <c r="I210" s="3">
        <v>134</v>
      </c>
    </row>
    <row r="211" spans="1:9" ht="16" thickBot="1" x14ac:dyDescent="0.25">
      <c r="A211" s="6" t="s">
        <v>124</v>
      </c>
      <c r="B211" s="7">
        <f t="shared" ref="B211:I211" si="43">+SUM(B208:B210)</f>
        <v>606</v>
      </c>
      <c r="C211" s="7">
        <f t="shared" si="43"/>
        <v>649</v>
      </c>
      <c r="D211" s="7">
        <f t="shared" si="43"/>
        <v>706</v>
      </c>
      <c r="E211" s="7">
        <f t="shared" si="43"/>
        <v>747</v>
      </c>
      <c r="F211" s="7">
        <f t="shared" si="43"/>
        <v>705</v>
      </c>
      <c r="G211" s="7">
        <f t="shared" si="43"/>
        <v>721</v>
      </c>
      <c r="H211" s="7">
        <f t="shared" si="43"/>
        <v>744</v>
      </c>
      <c r="I211" s="7">
        <f t="shared" si="43"/>
        <v>717</v>
      </c>
    </row>
    <row r="212" spans="1:9" ht="16" thickTop="1" x14ac:dyDescent="0.2">
      <c r="A212" s="12" t="s">
        <v>110</v>
      </c>
      <c r="B212" s="13">
        <f t="shared" ref="B212:I212" si="44">+B211-B66</f>
        <v>0</v>
      </c>
      <c r="C212" s="13">
        <f t="shared" si="44"/>
        <v>0</v>
      </c>
      <c r="D212" s="13">
        <f t="shared" si="44"/>
        <v>0</v>
      </c>
      <c r="E212" s="13">
        <f t="shared" si="44"/>
        <v>0</v>
      </c>
      <c r="F212" s="13">
        <f t="shared" si="44"/>
        <v>0</v>
      </c>
      <c r="G212" s="13">
        <f t="shared" si="44"/>
        <v>0</v>
      </c>
      <c r="H212" s="13">
        <f t="shared" si="44"/>
        <v>0</v>
      </c>
      <c r="I212" s="13">
        <f t="shared" si="44"/>
        <v>0</v>
      </c>
    </row>
    <row r="213" spans="1:9" x14ac:dyDescent="0.2">
      <c r="A213" s="14" t="s">
        <v>125</v>
      </c>
      <c r="B213" s="14"/>
      <c r="C213" s="14"/>
      <c r="D213" s="14"/>
      <c r="E213" s="14"/>
      <c r="F213" s="14"/>
      <c r="G213" s="14"/>
      <c r="H213" s="14"/>
      <c r="I213" s="14"/>
    </row>
    <row r="214" spans="1:9" x14ac:dyDescent="0.2">
      <c r="A214" s="28" t="s">
        <v>126</v>
      </c>
    </row>
    <row r="215" spans="1:9" x14ac:dyDescent="0.2">
      <c r="A215" s="33" t="s">
        <v>99</v>
      </c>
      <c r="B215" s="34">
        <v>0.12</v>
      </c>
      <c r="C215" s="34">
        <v>7.0000000000000007E-2</v>
      </c>
      <c r="D215" s="34">
        <v>0.03</v>
      </c>
      <c r="E215" s="34">
        <v>-0.02</v>
      </c>
      <c r="F215" s="34">
        <v>7.0000000000000007E-2</v>
      </c>
      <c r="G215" s="34">
        <v>-0.09</v>
      </c>
      <c r="H215" s="34">
        <v>0.19</v>
      </c>
      <c r="I215" s="34">
        <v>7.0000000000000007E-2</v>
      </c>
    </row>
    <row r="216" spans="1:9" x14ac:dyDescent="0.2">
      <c r="A216" s="31" t="s">
        <v>112</v>
      </c>
      <c r="B216" s="30">
        <v>0.13</v>
      </c>
      <c r="C216" s="30">
        <v>0.09</v>
      </c>
      <c r="D216" s="30">
        <v>0.04</v>
      </c>
      <c r="E216" s="30">
        <v>-0.04</v>
      </c>
      <c r="F216" s="30">
        <v>0.08</v>
      </c>
      <c r="G216" s="30">
        <v>-7.0000000000000007E-2</v>
      </c>
      <c r="H216" s="30">
        <v>0.25</v>
      </c>
      <c r="I216" s="30">
        <v>0.05</v>
      </c>
    </row>
    <row r="217" spans="1:9" x14ac:dyDescent="0.2">
      <c r="A217" s="31" t="s">
        <v>113</v>
      </c>
      <c r="B217" s="30">
        <v>0.12</v>
      </c>
      <c r="C217" s="30">
        <v>0.08</v>
      </c>
      <c r="D217" s="30">
        <v>0.03</v>
      </c>
      <c r="E217" s="30">
        <v>0.01</v>
      </c>
      <c r="F217" s="30">
        <v>7.0000000000000007E-2</v>
      </c>
      <c r="G217" s="30">
        <v>-0.12</v>
      </c>
      <c r="H217" s="30">
        <v>0.08</v>
      </c>
      <c r="I217" s="30">
        <v>0.09</v>
      </c>
    </row>
    <row r="218" spans="1:9" x14ac:dyDescent="0.2">
      <c r="A218" s="31" t="s">
        <v>114</v>
      </c>
      <c r="B218" s="30">
        <v>-0.05</v>
      </c>
      <c r="C218" s="30">
        <v>-0.13</v>
      </c>
      <c r="D218" s="30">
        <v>-0.1</v>
      </c>
      <c r="E218" s="30">
        <v>-0.08</v>
      </c>
      <c r="F218" s="30">
        <v>0</v>
      </c>
      <c r="G218" s="30">
        <v>-0.14000000000000001</v>
      </c>
      <c r="H218" s="30">
        <v>-0.02</v>
      </c>
      <c r="I218" s="30">
        <v>0.25</v>
      </c>
    </row>
    <row r="219" spans="1:9" x14ac:dyDescent="0.2">
      <c r="A219" s="33" t="s">
        <v>100</v>
      </c>
      <c r="B219" s="34"/>
      <c r="C219" s="34"/>
      <c r="D219" s="34"/>
      <c r="E219" s="34">
        <v>0.16</v>
      </c>
      <c r="F219" s="34">
        <v>0.06</v>
      </c>
      <c r="G219" s="34">
        <v>-0.05</v>
      </c>
      <c r="H219" s="34">
        <v>0.23</v>
      </c>
      <c r="I219" s="34">
        <v>0.12</v>
      </c>
    </row>
    <row r="220" spans="1:9" x14ac:dyDescent="0.2">
      <c r="A220" s="31" t="s">
        <v>112</v>
      </c>
      <c r="B220" s="30"/>
      <c r="C220" s="30"/>
      <c r="D220" s="30"/>
      <c r="E220" s="30">
        <v>0.13</v>
      </c>
      <c r="F220" s="30">
        <v>7.0000000000000007E-2</v>
      </c>
      <c r="G220" s="30">
        <v>-0.06</v>
      </c>
      <c r="H220" s="30">
        <v>0.18</v>
      </c>
      <c r="I220" s="30">
        <v>0.09</v>
      </c>
    </row>
    <row r="221" spans="1:9" x14ac:dyDescent="0.2">
      <c r="A221" s="31" t="s">
        <v>113</v>
      </c>
      <c r="B221" s="30"/>
      <c r="C221" s="30"/>
      <c r="D221" s="30"/>
      <c r="E221" s="30">
        <v>0.23</v>
      </c>
      <c r="F221" s="30">
        <v>0.05</v>
      </c>
      <c r="G221" s="30">
        <v>-0.01</v>
      </c>
      <c r="H221" s="30">
        <v>0.31</v>
      </c>
      <c r="I221" s="30">
        <v>0.16</v>
      </c>
    </row>
    <row r="222" spans="1:9" x14ac:dyDescent="0.2">
      <c r="A222" s="31" t="s">
        <v>114</v>
      </c>
      <c r="B222" s="30"/>
      <c r="C222" s="30"/>
      <c r="D222" s="30"/>
      <c r="E222" s="30">
        <v>0.11</v>
      </c>
      <c r="F222" s="30">
        <v>0.01</v>
      </c>
      <c r="G222" s="30">
        <v>-7.0000000000000007E-2</v>
      </c>
      <c r="H222" s="30">
        <v>0.22</v>
      </c>
      <c r="I222" s="30">
        <v>0.17</v>
      </c>
    </row>
    <row r="223" spans="1:9" x14ac:dyDescent="0.2">
      <c r="A223" s="33" t="s">
        <v>101</v>
      </c>
      <c r="B223" s="34">
        <v>0.18</v>
      </c>
      <c r="C223" s="34">
        <v>0.23</v>
      </c>
      <c r="D223" s="34">
        <v>0.12</v>
      </c>
      <c r="E223" s="34">
        <v>0.21</v>
      </c>
      <c r="F223" s="34">
        <v>0.21</v>
      </c>
      <c r="G223" s="34">
        <v>0.08</v>
      </c>
      <c r="H223" s="34">
        <v>0.24</v>
      </c>
      <c r="I223" s="34">
        <v>-0.13</v>
      </c>
    </row>
    <row r="224" spans="1:9" x14ac:dyDescent="0.2">
      <c r="A224" s="31" t="s">
        <v>112</v>
      </c>
      <c r="B224" s="30">
        <v>0.26</v>
      </c>
      <c r="C224" s="30">
        <v>0.28999999999999998</v>
      </c>
      <c r="D224" s="30">
        <v>0.12</v>
      </c>
      <c r="E224" s="30">
        <v>0.2</v>
      </c>
      <c r="F224" s="30">
        <v>0.22</v>
      </c>
      <c r="G224" s="30">
        <v>0.09</v>
      </c>
      <c r="H224" s="30">
        <v>0.24</v>
      </c>
      <c r="I224" s="30">
        <v>-0.1</v>
      </c>
    </row>
    <row r="225" spans="1:9" x14ac:dyDescent="0.2">
      <c r="A225" s="31" t="s">
        <v>113</v>
      </c>
      <c r="B225" s="30">
        <v>0.06</v>
      </c>
      <c r="C225" s="30">
        <v>0.14000000000000001</v>
      </c>
      <c r="D225" s="30">
        <v>0.13</v>
      </c>
      <c r="E225" s="30">
        <v>0.27</v>
      </c>
      <c r="F225" s="30">
        <v>0.2</v>
      </c>
      <c r="G225" s="30">
        <v>0.05</v>
      </c>
      <c r="H225" s="30">
        <v>0.24</v>
      </c>
      <c r="I225" s="30">
        <v>-0.21</v>
      </c>
    </row>
    <row r="226" spans="1:9" x14ac:dyDescent="0.2">
      <c r="A226" s="31" t="s">
        <v>114</v>
      </c>
      <c r="B226" s="30">
        <v>0</v>
      </c>
      <c r="C226" s="30">
        <v>0.04</v>
      </c>
      <c r="D226" s="30">
        <v>-0.02</v>
      </c>
      <c r="E226" s="30">
        <v>0.01</v>
      </c>
      <c r="F226" s="30">
        <v>0.06</v>
      </c>
      <c r="G226" s="30">
        <v>7.0000000000000007E-2</v>
      </c>
      <c r="H226" s="30">
        <v>0.32</v>
      </c>
      <c r="I226" s="30">
        <v>-0.06</v>
      </c>
    </row>
    <row r="227" spans="1:9" x14ac:dyDescent="0.2">
      <c r="A227" s="33" t="s">
        <v>105</v>
      </c>
      <c r="B227" s="34"/>
      <c r="C227" s="34"/>
      <c r="D227" s="34"/>
      <c r="E227" s="34">
        <v>0.09</v>
      </c>
      <c r="F227" s="34">
        <v>0.02</v>
      </c>
      <c r="G227" s="34">
        <v>-0.04</v>
      </c>
      <c r="H227" s="34">
        <v>0.06</v>
      </c>
      <c r="I227" s="34">
        <v>0.16</v>
      </c>
    </row>
    <row r="228" spans="1:9" x14ac:dyDescent="0.2">
      <c r="A228" s="31" t="s">
        <v>112</v>
      </c>
      <c r="B228" s="30"/>
      <c r="C228" s="30"/>
      <c r="D228" s="30"/>
      <c r="E228" s="30">
        <v>0.09</v>
      </c>
      <c r="F228" s="30">
        <v>0.01</v>
      </c>
      <c r="G228" s="30">
        <v>-0.05</v>
      </c>
      <c r="H228" s="30">
        <v>0.06</v>
      </c>
      <c r="I228" s="30">
        <v>0.17</v>
      </c>
    </row>
    <row r="229" spans="1:9" x14ac:dyDescent="0.2">
      <c r="A229" s="31" t="s">
        <v>113</v>
      </c>
      <c r="B229" s="30"/>
      <c r="C229" s="30"/>
      <c r="D229" s="30"/>
      <c r="E229" s="30">
        <v>0.14000000000000001</v>
      </c>
      <c r="F229" s="30">
        <v>0.04</v>
      </c>
      <c r="G229" s="30">
        <v>-0.02</v>
      </c>
      <c r="H229" s="30">
        <v>0.09</v>
      </c>
      <c r="I229" s="30">
        <v>0.12</v>
      </c>
    </row>
    <row r="230" spans="1:9" x14ac:dyDescent="0.2">
      <c r="A230" s="31" t="s">
        <v>114</v>
      </c>
      <c r="B230" s="30"/>
      <c r="C230" s="30"/>
      <c r="D230" s="30"/>
      <c r="E230" s="30">
        <v>-0.09</v>
      </c>
      <c r="F230" s="30">
        <v>-0.03</v>
      </c>
      <c r="G230" s="30">
        <v>-0.1</v>
      </c>
      <c r="H230" s="30">
        <v>-0.11</v>
      </c>
      <c r="I230" s="30">
        <v>0.28000000000000003</v>
      </c>
    </row>
    <row r="231" spans="1:9" x14ac:dyDescent="0.2">
      <c r="A231" s="33" t="s">
        <v>106</v>
      </c>
      <c r="B231" s="34">
        <v>-0.08</v>
      </c>
      <c r="C231" s="34">
        <v>-0.37</v>
      </c>
      <c r="D231" s="34">
        <v>0</v>
      </c>
      <c r="E231" s="34">
        <v>0.21</v>
      </c>
      <c r="F231" s="34">
        <v>-0.52</v>
      </c>
      <c r="G231" s="34">
        <v>-0.28999999999999998</v>
      </c>
      <c r="H231" s="34">
        <v>-0.17</v>
      </c>
      <c r="I231" s="34">
        <v>3.02</v>
      </c>
    </row>
    <row r="232" spans="1:9" x14ac:dyDescent="0.2">
      <c r="A232" s="33" t="s">
        <v>196</v>
      </c>
      <c r="B232" s="34">
        <v>0.15</v>
      </c>
      <c r="C232" s="34">
        <v>0.03</v>
      </c>
      <c r="D232" s="34">
        <v>0.06</v>
      </c>
      <c r="E232" s="34"/>
      <c r="F232" s="34"/>
      <c r="G232" s="34"/>
      <c r="H232" s="34"/>
      <c r="I232" s="34"/>
    </row>
    <row r="233" spans="1:9" x14ac:dyDescent="0.2">
      <c r="A233" s="31" t="s">
        <v>112</v>
      </c>
      <c r="B233" s="30">
        <v>0.17</v>
      </c>
      <c r="C233" s="30">
        <v>0.03</v>
      </c>
      <c r="D233" s="30">
        <v>0.02</v>
      </c>
      <c r="E233" s="34"/>
      <c r="F233" s="34"/>
      <c r="G233" s="34"/>
      <c r="H233" s="34"/>
      <c r="I233" s="34"/>
    </row>
    <row r="234" spans="1:9" x14ac:dyDescent="0.2">
      <c r="A234" s="31" t="s">
        <v>113</v>
      </c>
      <c r="B234" s="30">
        <v>0.09</v>
      </c>
      <c r="C234" s="30">
        <v>0.05</v>
      </c>
      <c r="D234" s="30">
        <v>0.15</v>
      </c>
      <c r="E234" s="34"/>
      <c r="F234" s="34"/>
      <c r="G234" s="34"/>
      <c r="H234" s="34"/>
      <c r="I234" s="34"/>
    </row>
    <row r="235" spans="1:9" x14ac:dyDescent="0.2">
      <c r="A235" s="31" t="s">
        <v>114</v>
      </c>
      <c r="B235" s="30">
        <v>0.1</v>
      </c>
      <c r="C235" s="30">
        <v>-0.02</v>
      </c>
      <c r="D235" s="30">
        <v>0.01</v>
      </c>
      <c r="E235" s="34"/>
      <c r="F235" s="34"/>
      <c r="G235" s="34"/>
      <c r="H235" s="34"/>
      <c r="I235" s="34"/>
    </row>
    <row r="236" spans="1:9" x14ac:dyDescent="0.2">
      <c r="A236" s="79" t="s">
        <v>197</v>
      </c>
      <c r="B236" s="34">
        <v>0.02</v>
      </c>
      <c r="C236" s="34">
        <v>0.01</v>
      </c>
      <c r="D236" s="34">
        <v>0.04</v>
      </c>
      <c r="E236" s="34"/>
      <c r="F236" s="34"/>
      <c r="G236" s="34"/>
      <c r="H236" s="34"/>
      <c r="I236" s="34"/>
    </row>
    <row r="237" spans="1:9" x14ac:dyDescent="0.2">
      <c r="A237" s="31" t="s">
        <v>112</v>
      </c>
      <c r="B237" s="30">
        <v>0.08</v>
      </c>
      <c r="C237" s="30">
        <v>7.0000000000000007E-2</v>
      </c>
      <c r="D237" s="30">
        <v>0.05</v>
      </c>
      <c r="E237" s="34"/>
      <c r="F237" s="34"/>
      <c r="G237" s="34"/>
      <c r="H237" s="34"/>
      <c r="I237" s="34"/>
    </row>
    <row r="238" spans="1:9" x14ac:dyDescent="0.2">
      <c r="A238" s="31" t="s">
        <v>113</v>
      </c>
      <c r="B238" s="30">
        <v>-7.0000000000000007E-2</v>
      </c>
      <c r="C238" s="30">
        <v>-7.0000000000000007E-2</v>
      </c>
      <c r="D238" s="30">
        <v>0.02</v>
      </c>
      <c r="E238" s="34"/>
      <c r="F238" s="34"/>
      <c r="G238" s="34"/>
      <c r="H238" s="34"/>
      <c r="I238" s="34"/>
    </row>
    <row r="239" spans="1:9" x14ac:dyDescent="0.2">
      <c r="A239" s="31" t="s">
        <v>114</v>
      </c>
      <c r="B239" s="30">
        <v>0.03</v>
      </c>
      <c r="C239" s="30">
        <v>-0.09</v>
      </c>
      <c r="D239" s="30">
        <v>0.03</v>
      </c>
      <c r="E239" s="34"/>
      <c r="F239" s="34"/>
      <c r="G239" s="34"/>
      <c r="H239" s="34"/>
      <c r="I239" s="34"/>
    </row>
    <row r="240" spans="1:9" x14ac:dyDescent="0.2">
      <c r="A240" s="79" t="s">
        <v>207</v>
      </c>
      <c r="B240" s="34">
        <v>-0.02</v>
      </c>
      <c r="C240" s="34">
        <v>0.15</v>
      </c>
      <c r="D240" s="34">
        <v>0.17</v>
      </c>
      <c r="E240" s="34"/>
      <c r="F240" s="34"/>
      <c r="G240" s="34"/>
      <c r="H240" s="34"/>
      <c r="I240" s="34"/>
    </row>
    <row r="241" spans="1:9" x14ac:dyDescent="0.2">
      <c r="A241" s="31" t="s">
        <v>112</v>
      </c>
      <c r="B241" s="30">
        <v>0.11</v>
      </c>
      <c r="C241" s="30">
        <v>0.26</v>
      </c>
      <c r="D241" s="30">
        <v>0.17</v>
      </c>
      <c r="E241" s="34"/>
      <c r="F241" s="34"/>
      <c r="G241" s="34"/>
      <c r="H241" s="34"/>
      <c r="I241" s="34"/>
    </row>
    <row r="242" spans="1:9" x14ac:dyDescent="0.2">
      <c r="A242" s="31" t="s">
        <v>113</v>
      </c>
      <c r="B242" s="30">
        <v>-0.17</v>
      </c>
      <c r="C242" s="30">
        <v>-0.01</v>
      </c>
      <c r="D242" s="30">
        <v>0.21</v>
      </c>
      <c r="E242" s="34"/>
      <c r="F242" s="34"/>
      <c r="G242" s="34"/>
      <c r="H242" s="34"/>
      <c r="I242" s="34"/>
    </row>
    <row r="243" spans="1:9" x14ac:dyDescent="0.2">
      <c r="A243" s="31" t="s">
        <v>114</v>
      </c>
      <c r="B243" s="30">
        <v>-0.15</v>
      </c>
      <c r="C243" s="30">
        <v>-0.03</v>
      </c>
      <c r="D243" s="30">
        <v>0.03</v>
      </c>
      <c r="E243" s="34"/>
      <c r="F243" s="34"/>
      <c r="G243" s="34"/>
      <c r="H243" s="34"/>
      <c r="I243" s="34"/>
    </row>
    <row r="244" spans="1:9" x14ac:dyDescent="0.2">
      <c r="A244" s="79" t="s">
        <v>208</v>
      </c>
      <c r="B244" s="34">
        <v>-0.01</v>
      </c>
      <c r="C244" s="34">
        <v>-0.05</v>
      </c>
      <c r="D244" s="34">
        <v>0.08</v>
      </c>
      <c r="E244" s="34"/>
      <c r="F244" s="34"/>
      <c r="G244" s="34"/>
      <c r="H244" s="34"/>
      <c r="I244" s="34"/>
    </row>
    <row r="245" spans="1:9" x14ac:dyDescent="0.2">
      <c r="A245" s="31" t="s">
        <v>112</v>
      </c>
      <c r="B245" s="30">
        <v>0</v>
      </c>
      <c r="C245" s="30">
        <v>-0.04</v>
      </c>
      <c r="D245" s="30">
        <v>0.11</v>
      </c>
      <c r="E245" s="34"/>
      <c r="F245" s="34"/>
      <c r="G245" s="34"/>
      <c r="H245" s="34"/>
      <c r="I245" s="34"/>
    </row>
    <row r="246" spans="1:9" x14ac:dyDescent="0.2">
      <c r="A246" s="31" t="s">
        <v>113</v>
      </c>
      <c r="B246" s="30">
        <v>-0.04</v>
      </c>
      <c r="C246" s="30">
        <v>-7.0000000000000007E-2</v>
      </c>
      <c r="D246" s="30">
        <v>0.02</v>
      </c>
      <c r="E246" s="34"/>
      <c r="F246" s="34"/>
      <c r="G246" s="34"/>
      <c r="H246" s="34"/>
      <c r="I246" s="34"/>
    </row>
    <row r="247" spans="1:9" x14ac:dyDescent="0.2">
      <c r="A247" s="31" t="s">
        <v>114</v>
      </c>
      <c r="B247" s="30">
        <v>-0.04</v>
      </c>
      <c r="C247" s="30">
        <v>-0.08</v>
      </c>
      <c r="D247" s="30">
        <v>-0.02</v>
      </c>
      <c r="E247" s="34"/>
      <c r="F247" s="34"/>
      <c r="G247" s="34"/>
      <c r="H247" s="34"/>
      <c r="I247" s="34"/>
    </row>
    <row r="248" spans="1:9" x14ac:dyDescent="0.2">
      <c r="A248" s="35" t="s">
        <v>102</v>
      </c>
      <c r="B248" s="37"/>
      <c r="C248" s="37"/>
      <c r="D248" s="37"/>
      <c r="E248" s="37"/>
      <c r="F248" s="37"/>
      <c r="G248" s="37"/>
      <c r="H248" s="37"/>
      <c r="I248" s="37">
        <v>0.06</v>
      </c>
    </row>
    <row r="249" spans="1:9" x14ac:dyDescent="0.2">
      <c r="A249" s="33" t="s">
        <v>103</v>
      </c>
      <c r="B249" s="34">
        <v>0.18</v>
      </c>
      <c r="C249" s="34">
        <v>-0.01</v>
      </c>
      <c r="D249" s="34">
        <v>0.04</v>
      </c>
      <c r="E249" s="34">
        <v>-0.08</v>
      </c>
      <c r="F249" s="34">
        <v>0.01</v>
      </c>
      <c r="G249" s="34">
        <v>-0.03</v>
      </c>
      <c r="H249" s="34">
        <v>0.19</v>
      </c>
      <c r="I249" s="34">
        <v>7.0000000000000007E-2</v>
      </c>
    </row>
    <row r="250" spans="1:9" x14ac:dyDescent="0.2">
      <c r="A250" s="31" t="s">
        <v>112</v>
      </c>
      <c r="B250" s="30"/>
      <c r="C250" s="30"/>
      <c r="D250" s="30"/>
      <c r="E250" s="30"/>
      <c r="F250" s="30">
        <v>0.03</v>
      </c>
      <c r="G250" s="30">
        <v>-0.01</v>
      </c>
      <c r="H250" s="30">
        <v>0.21</v>
      </c>
      <c r="I250" s="30">
        <v>0.06</v>
      </c>
    </row>
    <row r="251" spans="1:9" x14ac:dyDescent="0.2">
      <c r="A251" s="31" t="s">
        <v>113</v>
      </c>
      <c r="B251" s="30"/>
      <c r="C251" s="30"/>
      <c r="D251" s="30"/>
      <c r="E251" s="30"/>
      <c r="F251" s="30">
        <v>-0.18</v>
      </c>
      <c r="G251" s="30">
        <v>-0.25</v>
      </c>
      <c r="H251" s="30">
        <v>0.17</v>
      </c>
      <c r="I251" s="30">
        <v>-0.03</v>
      </c>
    </row>
    <row r="252" spans="1:9" x14ac:dyDescent="0.2">
      <c r="A252" s="31" t="s">
        <v>114</v>
      </c>
      <c r="B252" s="30"/>
      <c r="C252" s="30"/>
      <c r="D252" s="30"/>
      <c r="E252" s="30"/>
      <c r="F252" s="30">
        <v>-0.14000000000000001</v>
      </c>
      <c r="G252" s="30">
        <v>0.04</v>
      </c>
      <c r="H252" s="30">
        <v>0.16</v>
      </c>
      <c r="I252" s="30">
        <v>-0.16</v>
      </c>
    </row>
    <row r="253" spans="1:9" x14ac:dyDescent="0.2">
      <c r="A253" s="31" t="s">
        <v>120</v>
      </c>
      <c r="B253" s="30"/>
      <c r="C253" s="30"/>
      <c r="D253" s="30"/>
      <c r="E253" s="30"/>
      <c r="F253" s="30">
        <v>0.03</v>
      </c>
      <c r="G253" s="30">
        <v>-0.15</v>
      </c>
      <c r="H253" s="30">
        <v>-0.04</v>
      </c>
      <c r="I253" s="30">
        <v>0.42</v>
      </c>
    </row>
    <row r="254" spans="1:9" x14ac:dyDescent="0.2">
      <c r="A254" s="29" t="s">
        <v>107</v>
      </c>
      <c r="B254" s="30">
        <v>0</v>
      </c>
      <c r="C254" s="30">
        <v>0</v>
      </c>
      <c r="D254" s="30">
        <v>0</v>
      </c>
      <c r="E254" s="30">
        <v>0</v>
      </c>
      <c r="F254" s="30">
        <v>0</v>
      </c>
      <c r="G254" s="30">
        <v>0</v>
      </c>
      <c r="H254" s="30">
        <v>0</v>
      </c>
      <c r="I254" s="30">
        <v>0</v>
      </c>
    </row>
    <row r="255" spans="1:9" ht="16" thickBot="1" x14ac:dyDescent="0.25">
      <c r="A255" s="32" t="s">
        <v>104</v>
      </c>
      <c r="B255" s="36">
        <v>0.17</v>
      </c>
      <c r="C255" s="36">
        <v>0.11</v>
      </c>
      <c r="D255" s="36">
        <v>0.06</v>
      </c>
      <c r="E255" s="36">
        <v>0.06</v>
      </c>
      <c r="F255" s="36">
        <v>0.11</v>
      </c>
      <c r="G255" s="36">
        <v>-0.02</v>
      </c>
      <c r="H255" s="36">
        <v>0.17</v>
      </c>
      <c r="I255" s="36">
        <v>0.06</v>
      </c>
    </row>
    <row r="256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64"/>
  <sheetViews>
    <sheetView zoomScale="113" workbookViewId="0">
      <selection activeCell="J5" sqref="J5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2">
      <c r="A2" s="40" t="s">
        <v>127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41" t="s">
        <v>138</v>
      </c>
      <c r="B3" s="3">
        <f>B21+B83+B145+B176+B207+B238+B269+B300+B335</f>
        <v>30601</v>
      </c>
      <c r="C3" s="3">
        <f t="shared" ref="C3:D3" si="1">C21+C83+C145+C176+C207+C238+C269+C300+C335</f>
        <v>32376</v>
      </c>
      <c r="D3" s="3">
        <f t="shared" si="1"/>
        <v>34350</v>
      </c>
      <c r="E3" s="3">
        <f>E21+E52+E83+E114+E269+E300+E335</f>
        <v>36397</v>
      </c>
      <c r="F3" s="3">
        <f t="shared" ref="F3:I3" si="2">F21+F52+F83+F114+F269+F300+F335</f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>J21+J52+J83+J114+J269+J300+J335</f>
        <v>54582.04548884376</v>
      </c>
      <c r="K3" s="3">
        <f t="shared" ref="K3:N3" si="3">K21+K52+K83+K114+K269+K300+K335</f>
        <v>61423.457156422155</v>
      </c>
      <c r="L3" s="3">
        <f t="shared" si="3"/>
        <v>76115.605288570892</v>
      </c>
      <c r="M3" s="3">
        <f t="shared" si="3"/>
        <v>68860.673139196369</v>
      </c>
      <c r="N3" s="3">
        <f t="shared" si="3"/>
        <v>154918.8134998813</v>
      </c>
    </row>
    <row r="4" spans="1:15" x14ac:dyDescent="0.2">
      <c r="A4" s="42" t="s">
        <v>128</v>
      </c>
      <c r="B4" s="47" t="str">
        <f t="shared" ref="B4:H4" si="4">+IFERROR(B3/A3-1,"nm")</f>
        <v>nm</v>
      </c>
      <c r="C4" s="47">
        <f t="shared" si="4"/>
        <v>5.8004640371229765E-2</v>
      </c>
      <c r="D4" s="47">
        <f t="shared" si="4"/>
        <v>6.0971089696071123E-2</v>
      </c>
      <c r="E4" s="47">
        <f t="shared" si="4"/>
        <v>5.95924308588065E-2</v>
      </c>
      <c r="F4" s="47">
        <f t="shared" si="4"/>
        <v>7.4731433909388079E-2</v>
      </c>
      <c r="G4" s="47">
        <f t="shared" si="4"/>
        <v>-4.3817266150267153E-2</v>
      </c>
      <c r="H4" s="47">
        <f t="shared" si="4"/>
        <v>0.19076009945726269</v>
      </c>
      <c r="I4" s="47">
        <f>+IFERROR(I3/H3-1,"nm")</f>
        <v>4.8767344739323759E-2</v>
      </c>
      <c r="J4" s="47">
        <f>(J3-I3)/I3</f>
        <v>0.16853019672112524</v>
      </c>
      <c r="K4" s="47">
        <f t="shared" ref="K4:N4" si="5">(K3-J3)/J3</f>
        <v>0.12534179703794243</v>
      </c>
      <c r="L4" s="47">
        <f t="shared" si="5"/>
        <v>0.23919441875004577</v>
      </c>
      <c r="M4" s="47">
        <f t="shared" si="5"/>
        <v>-9.5314648315144967E-2</v>
      </c>
      <c r="N4" s="47">
        <f t="shared" si="5"/>
        <v>1.2497429437950056</v>
      </c>
      <c r="O4" t="s">
        <v>211</v>
      </c>
    </row>
    <row r="5" spans="1:15" x14ac:dyDescent="0.2">
      <c r="A5" s="41" t="s">
        <v>129</v>
      </c>
      <c r="B5" s="59">
        <f>B35+B97+B159+B190+B221+B318+B252+B283+B349</f>
        <v>4839</v>
      </c>
      <c r="C5" s="59">
        <f t="shared" ref="C5:D5" si="6">C35+C97+C159+C190+C221+C318+C252+C283+C349</f>
        <v>5291</v>
      </c>
      <c r="D5" s="59">
        <f t="shared" si="6"/>
        <v>5651</v>
      </c>
      <c r="E5" s="59">
        <f>E35+E66+E97+E128+E283+E318+E349</f>
        <v>5126</v>
      </c>
      <c r="F5" s="59">
        <f t="shared" ref="F5:I5" si="7">F35+F66+F97+F128+F283+F318+F349</f>
        <v>5555</v>
      </c>
      <c r="G5" s="59">
        <f t="shared" si="7"/>
        <v>3697</v>
      </c>
      <c r="H5" s="59">
        <f t="shared" si="7"/>
        <v>7667</v>
      </c>
      <c r="I5" s="59">
        <f t="shared" si="7"/>
        <v>7573</v>
      </c>
      <c r="J5" s="59">
        <f>J35+J66+J97+J128+J283+J318+J349</f>
        <v>8626.011695453024</v>
      </c>
      <c r="K5" s="59">
        <f t="shared" ref="K5:N5" si="8">K35+K66+K97+K128+K283+K318+K349</f>
        <v>11027.076440700039</v>
      </c>
      <c r="L5" s="59">
        <f t="shared" si="8"/>
        <v>14272.995640367593</v>
      </c>
      <c r="M5" s="59">
        <f t="shared" si="8"/>
        <v>18653.775784042675</v>
      </c>
      <c r="N5" s="59">
        <f t="shared" si="8"/>
        <v>24225.547351707693</v>
      </c>
    </row>
    <row r="6" spans="1:15" x14ac:dyDescent="0.2">
      <c r="A6" s="42" t="s">
        <v>128</v>
      </c>
      <c r="B6" s="47" t="str">
        <f t="shared" ref="B6:H6" si="9">+IFERROR(B5/A5-1,"nm")</f>
        <v>nm</v>
      </c>
      <c r="C6" s="47">
        <f t="shared" si="9"/>
        <v>9.3407728869601137E-2</v>
      </c>
      <c r="D6" s="47">
        <f t="shared" si="9"/>
        <v>6.8040068040068125E-2</v>
      </c>
      <c r="E6" s="47">
        <f t="shared" si="9"/>
        <v>-9.2903910812245583E-2</v>
      </c>
      <c r="F6" s="47">
        <f t="shared" si="9"/>
        <v>8.3690987124463545E-2</v>
      </c>
      <c r="G6" s="47">
        <f t="shared" si="9"/>
        <v>-0.3344734473447345</v>
      </c>
      <c r="H6" s="47">
        <f t="shared" si="9"/>
        <v>1.0738436570192049</v>
      </c>
      <c r="I6" s="47">
        <f>+IFERROR(I5/H5-1,"nm")</f>
        <v>-1.2260336507108338E-2</v>
      </c>
      <c r="J6" s="47">
        <f>(J5-I5)/I5</f>
        <v>0.13904815732906695</v>
      </c>
      <c r="K6" s="47">
        <f t="shared" ref="K6:N6" si="10">(K5-J5)/J5</f>
        <v>0.2783516681889816</v>
      </c>
      <c r="L6" s="47">
        <f t="shared" si="10"/>
        <v>0.29435900051323954</v>
      </c>
      <c r="M6" s="47">
        <f t="shared" si="10"/>
        <v>0.30692786952762335</v>
      </c>
      <c r="N6" s="47">
        <f t="shared" si="10"/>
        <v>0.29869403557597046</v>
      </c>
    </row>
    <row r="7" spans="1:15" x14ac:dyDescent="0.2">
      <c r="A7" s="42" t="s">
        <v>130</v>
      </c>
      <c r="B7" s="47">
        <f>+IFERROR(B5/B$3,"nm")</f>
        <v>0.15813208718669325</v>
      </c>
      <c r="C7" s="47">
        <f t="shared" ref="C7:N7" si="11">+IFERROR(C5/C$3,"nm")</f>
        <v>0.16342352359772672</v>
      </c>
      <c r="D7" s="47">
        <f t="shared" si="11"/>
        <v>0.16451237263464338</v>
      </c>
      <c r="E7" s="47">
        <f t="shared" si="11"/>
        <v>0.14083578316894249</v>
      </c>
      <c r="F7" s="47">
        <f t="shared" si="11"/>
        <v>0.14200986783240024</v>
      </c>
      <c r="G7" s="47">
        <f t="shared" si="11"/>
        <v>9.8842338849824879E-2</v>
      </c>
      <c r="H7" s="47">
        <f t="shared" si="11"/>
        <v>0.17214513449189456</v>
      </c>
      <c r="I7" s="47">
        <f t="shared" si="11"/>
        <v>0.16212802397773496</v>
      </c>
      <c r="J7" s="47">
        <f t="shared" si="11"/>
        <v>0.15803753080701471</v>
      </c>
      <c r="K7" s="47">
        <f t="shared" si="11"/>
        <v>0.17952549321048919</v>
      </c>
      <c r="L7" s="47">
        <f t="shared" si="11"/>
        <v>0.18751733742713531</v>
      </c>
      <c r="M7" s="47">
        <f t="shared" si="11"/>
        <v>0.27089156892694838</v>
      </c>
      <c r="N7" s="47">
        <f t="shared" si="11"/>
        <v>0.15637576098351835</v>
      </c>
    </row>
    <row r="8" spans="1:15" x14ac:dyDescent="0.2">
      <c r="A8" s="41" t="s">
        <v>131</v>
      </c>
      <c r="B8" s="59">
        <f>B38+B100+B162+B193+B224+B255+B286+B321+B352+B69+B131</f>
        <v>606</v>
      </c>
      <c r="C8" s="59">
        <f t="shared" ref="C8:I8" si="12">C38+C100+C162+C193+C224+C255+C286+C321+C352+C69+C131</f>
        <v>649</v>
      </c>
      <c r="D8" s="59">
        <f t="shared" si="12"/>
        <v>706</v>
      </c>
      <c r="E8" s="59">
        <f t="shared" si="12"/>
        <v>747</v>
      </c>
      <c r="F8" s="59">
        <f t="shared" si="12"/>
        <v>705</v>
      </c>
      <c r="G8" s="59">
        <f t="shared" si="12"/>
        <v>721</v>
      </c>
      <c r="H8" s="59">
        <f t="shared" si="12"/>
        <v>744</v>
      </c>
      <c r="I8" s="59">
        <f t="shared" si="12"/>
        <v>717</v>
      </c>
      <c r="J8" s="84">
        <f>J38+J69+J100+J131+J286+J321+J352</f>
        <v>722.35626729696696</v>
      </c>
      <c r="K8" s="84">
        <f t="shared" ref="K8:N8" si="13">K38+K69+K100+K131+K286+K321+K352</f>
        <v>726.86508888046012</v>
      </c>
      <c r="L8" s="84">
        <f t="shared" si="13"/>
        <v>731.24139556730415</v>
      </c>
      <c r="M8" s="84">
        <f t="shared" si="13"/>
        <v>731.21297332920824</v>
      </c>
      <c r="N8" s="84">
        <f t="shared" si="13"/>
        <v>733.94561474338491</v>
      </c>
    </row>
    <row r="9" spans="1:15" x14ac:dyDescent="0.2">
      <c r="A9" s="42" t="s">
        <v>128</v>
      </c>
      <c r="B9" s="47" t="str">
        <f t="shared" ref="B9:H9" si="14">+IFERROR(B8/A8-1,"nm")</f>
        <v>nm</v>
      </c>
      <c r="C9" s="47">
        <f t="shared" si="14"/>
        <v>7.0957095709570872E-2</v>
      </c>
      <c r="D9" s="47">
        <f t="shared" si="14"/>
        <v>8.7827426810477727E-2</v>
      </c>
      <c r="E9" s="47">
        <f t="shared" si="14"/>
        <v>5.8073654390934815E-2</v>
      </c>
      <c r="F9" s="47">
        <f t="shared" si="14"/>
        <v>-5.6224899598393607E-2</v>
      </c>
      <c r="G9" s="47">
        <f t="shared" si="14"/>
        <v>2.2695035460992941E-2</v>
      </c>
      <c r="H9" s="47">
        <f t="shared" si="14"/>
        <v>3.1900138696255187E-2</v>
      </c>
      <c r="I9" s="47">
        <f>+IFERROR(I8/H8-1,"nm")</f>
        <v>-3.6290322580645129E-2</v>
      </c>
      <c r="J9" s="63">
        <f>(J8-I8)/I8</f>
        <v>7.4703867461184967E-3</v>
      </c>
      <c r="K9" s="63">
        <f t="shared" ref="K9:N9" si="15">(K8-J8)/J8</f>
        <v>6.2418252427780809E-3</v>
      </c>
      <c r="L9" s="63">
        <f t="shared" si="15"/>
        <v>6.0207963675687785E-3</v>
      </c>
      <c r="M9" s="63">
        <f t="shared" si="15"/>
        <v>-3.8868475264400685E-5</v>
      </c>
      <c r="N9" s="63">
        <f t="shared" si="15"/>
        <v>3.7371347525946776E-3</v>
      </c>
    </row>
    <row r="10" spans="1:15" x14ac:dyDescent="0.2">
      <c r="A10" s="42" t="s">
        <v>132</v>
      </c>
      <c r="B10" s="47">
        <f>+IFERROR(B8/B$3,"nm")</f>
        <v>1.9803274402797295E-2</v>
      </c>
      <c r="C10" s="47">
        <f t="shared" ref="C10:N10" si="16">+IFERROR(C8/C$3,"nm")</f>
        <v>2.0045712873733631E-2</v>
      </c>
      <c r="D10" s="47">
        <f t="shared" si="16"/>
        <v>2.0553129548762736E-2</v>
      </c>
      <c r="E10" s="47">
        <f t="shared" si="16"/>
        <v>2.0523669533203285E-2</v>
      </c>
      <c r="F10" s="47">
        <f t="shared" si="16"/>
        <v>1.8022854513382928E-2</v>
      </c>
      <c r="G10" s="47">
        <f t="shared" si="16"/>
        <v>1.9276528620698875E-2</v>
      </c>
      <c r="H10" s="47">
        <f t="shared" si="16"/>
        <v>1.6704836319547355E-2</v>
      </c>
      <c r="I10" s="47">
        <f t="shared" si="16"/>
        <v>1.5350032113037893E-2</v>
      </c>
      <c r="J10" s="47">
        <f t="shared" si="16"/>
        <v>1.3234320202320234E-2</v>
      </c>
      <c r="K10" s="47">
        <f t="shared" si="16"/>
        <v>1.1833672712843427E-2</v>
      </c>
      <c r="L10" s="47">
        <f t="shared" si="16"/>
        <v>9.6069839134170741E-3</v>
      </c>
      <c r="M10" s="47">
        <f t="shared" si="16"/>
        <v>1.0618731127578718E-2</v>
      </c>
      <c r="N10" s="47">
        <f t="shared" si="16"/>
        <v>4.7376144844018392E-3</v>
      </c>
    </row>
    <row r="11" spans="1:15" x14ac:dyDescent="0.2">
      <c r="A11" s="41" t="s">
        <v>133</v>
      </c>
      <c r="B11" s="59">
        <f>B5-B8</f>
        <v>4233</v>
      </c>
      <c r="C11" s="59">
        <f t="shared" ref="C11:I11" si="17">C5-C8</f>
        <v>4642</v>
      </c>
      <c r="D11" s="59">
        <f t="shared" si="17"/>
        <v>4945</v>
      </c>
      <c r="E11" s="59">
        <f t="shared" si="17"/>
        <v>4379</v>
      </c>
      <c r="F11" s="59">
        <f t="shared" si="17"/>
        <v>4850</v>
      </c>
      <c r="G11" s="59">
        <f t="shared" si="17"/>
        <v>2976</v>
      </c>
      <c r="H11" s="59">
        <f t="shared" si="17"/>
        <v>6923</v>
      </c>
      <c r="I11" s="59">
        <f t="shared" si="17"/>
        <v>6856</v>
      </c>
      <c r="J11" s="59">
        <f>J42+J73+J104+J135+J290+J325+J356</f>
        <v>12498.263849259416</v>
      </c>
      <c r="K11" s="59">
        <f t="shared" ref="K11:N11" si="18">K42+K73+K104+K135+K290+K325+K356</f>
        <v>16218.360249637481</v>
      </c>
      <c r="L11" s="59">
        <f t="shared" si="18"/>
        <v>20393.501009487172</v>
      </c>
      <c r="M11" s="59">
        <f t="shared" si="18"/>
        <v>25594.127340361734</v>
      </c>
      <c r="N11" s="59">
        <f t="shared" si="18"/>
        <v>32221.169769525011</v>
      </c>
    </row>
    <row r="12" spans="1:15" x14ac:dyDescent="0.2">
      <c r="A12" s="42" t="s">
        <v>128</v>
      </c>
      <c r="B12" s="47" t="str">
        <f t="shared" ref="B12:H12" si="19">+IFERROR(B11/A11-1,"nm")</f>
        <v>nm</v>
      </c>
      <c r="C12" s="47">
        <f t="shared" si="19"/>
        <v>9.6621781242617555E-2</v>
      </c>
      <c r="D12" s="47">
        <f t="shared" si="19"/>
        <v>6.5273588970271357E-2</v>
      </c>
      <c r="E12" s="47">
        <f t="shared" si="19"/>
        <v>-0.11445904954499497</v>
      </c>
      <c r="F12" s="47">
        <f t="shared" si="19"/>
        <v>0.10755880337976698</v>
      </c>
      <c r="G12" s="47">
        <f t="shared" si="19"/>
        <v>-0.38639175257731961</v>
      </c>
      <c r="H12" s="47">
        <f t="shared" si="19"/>
        <v>1.32627688172043</v>
      </c>
      <c r="I12" s="47">
        <f>+IFERROR(I11/H11-1,"nm")</f>
        <v>-9.67788530983682E-3</v>
      </c>
      <c r="J12" s="47">
        <f>(J11-I11)/I11</f>
        <v>0.82296730590131506</v>
      </c>
      <c r="K12" s="47">
        <f t="shared" ref="K12:N12" si="20">(K11-J11)/J11</f>
        <v>0.29764905312016587</v>
      </c>
      <c r="L12" s="47">
        <f t="shared" si="20"/>
        <v>0.2574329769215119</v>
      </c>
      <c r="M12" s="47">
        <f t="shared" si="20"/>
        <v>0.25501390508943028</v>
      </c>
      <c r="N12" s="47">
        <f t="shared" si="20"/>
        <v>0.25892824322681574</v>
      </c>
    </row>
    <row r="13" spans="1:15" x14ac:dyDescent="0.2">
      <c r="A13" s="42" t="s">
        <v>130</v>
      </c>
      <c r="B13" s="47">
        <f>+IFERROR(B11/B$3,"nm")</f>
        <v>0.13832881278389594</v>
      </c>
      <c r="C13" s="47">
        <f t="shared" ref="C13:N13" si="21">+IFERROR(C11/C$3,"nm")</f>
        <v>0.14337781072399308</v>
      </c>
      <c r="D13" s="47">
        <f t="shared" si="21"/>
        <v>0.14395924308588065</v>
      </c>
      <c r="E13" s="47">
        <f t="shared" si="21"/>
        <v>0.12031211363573921</v>
      </c>
      <c r="F13" s="47">
        <f t="shared" si="21"/>
        <v>0.12398701331901731</v>
      </c>
      <c r="G13" s="47">
        <f t="shared" si="21"/>
        <v>7.9565810229126011E-2</v>
      </c>
      <c r="H13" s="47">
        <f t="shared" si="21"/>
        <v>0.1554402981723472</v>
      </c>
      <c r="I13" s="47">
        <f t="shared" si="21"/>
        <v>0.14677799186469706</v>
      </c>
      <c r="J13" s="47">
        <f t="shared" si="21"/>
        <v>0.22898122885141756</v>
      </c>
      <c r="K13" s="47">
        <f t="shared" si="21"/>
        <v>0.26404180097410496</v>
      </c>
      <c r="L13" s="47">
        <f t="shared" si="21"/>
        <v>0.2679279883825525</v>
      </c>
      <c r="M13" s="47">
        <f t="shared" si="21"/>
        <v>0.37167988887685199</v>
      </c>
      <c r="N13" s="47">
        <f t="shared" si="21"/>
        <v>0.20798745511660982</v>
      </c>
    </row>
    <row r="14" spans="1:15" x14ac:dyDescent="0.2">
      <c r="A14" s="41" t="s">
        <v>134</v>
      </c>
      <c r="B14" s="59">
        <f>B45+B76+B107+B138+B169+B200+B231+B262+B293+B328+B359</f>
        <v>963</v>
      </c>
      <c r="C14" s="59">
        <f t="shared" ref="C14:I14" si="22">C45+C76+C107+C138+C169+C200+C231+C262+C293+C328+C359</f>
        <v>1143</v>
      </c>
      <c r="D14" s="59">
        <f t="shared" si="22"/>
        <v>1105</v>
      </c>
      <c r="E14" s="59">
        <f>E45+E76+E107+E138+E169+E200+E231+E262+E293+E328+E359</f>
        <v>1028</v>
      </c>
      <c r="F14" s="59">
        <f t="shared" si="22"/>
        <v>1119</v>
      </c>
      <c r="G14" s="59">
        <f t="shared" si="22"/>
        <v>1086</v>
      </c>
      <c r="H14" s="59">
        <f t="shared" si="22"/>
        <v>695</v>
      </c>
      <c r="I14" s="59">
        <f t="shared" si="22"/>
        <v>758</v>
      </c>
      <c r="J14" s="59">
        <f>J45+J76+J107+J138+J293+J328+J359</f>
        <v>825.10972267136481</v>
      </c>
      <c r="K14" s="59">
        <f t="shared" ref="K14:N14" si="23">K45+K76+K107+K138+K293+K328+K359</f>
        <v>937.70081254349566</v>
      </c>
      <c r="L14" s="59">
        <f t="shared" si="23"/>
        <v>1104.4257121778523</v>
      </c>
      <c r="M14" s="59">
        <f t="shared" si="23"/>
        <v>1377.7245134012901</v>
      </c>
      <c r="N14" s="59">
        <f t="shared" si="23"/>
        <v>1745.0258711563436</v>
      </c>
    </row>
    <row r="15" spans="1:15" x14ac:dyDescent="0.2">
      <c r="A15" s="42" t="s">
        <v>128</v>
      </c>
      <c r="B15" s="47" t="str">
        <f t="shared" ref="B15:H15" si="24">+IFERROR(B14/A14-1,"nm")</f>
        <v>nm</v>
      </c>
      <c r="C15" s="47">
        <f t="shared" si="24"/>
        <v>0.18691588785046731</v>
      </c>
      <c r="D15" s="47">
        <f t="shared" si="24"/>
        <v>-3.3245844269466307E-2</v>
      </c>
      <c r="E15" s="47">
        <f t="shared" si="24"/>
        <v>-6.9683257918552011E-2</v>
      </c>
      <c r="F15" s="47">
        <f t="shared" si="24"/>
        <v>8.8521400778210024E-2</v>
      </c>
      <c r="G15" s="47">
        <f t="shared" si="24"/>
        <v>-2.9490616621983934E-2</v>
      </c>
      <c r="H15" s="47">
        <f t="shared" si="24"/>
        <v>-0.36003683241252304</v>
      </c>
      <c r="I15" s="47">
        <f>+IFERROR(I14/H14-1,"nm")</f>
        <v>9.0647482014388547E-2</v>
      </c>
      <c r="J15" s="47">
        <f>(J14-I14)/I14</f>
        <v>8.8535254183858589E-2</v>
      </c>
      <c r="K15" s="47">
        <f t="shared" ref="K15:N15" si="25">(K14-J14)/J14</f>
        <v>0.1364559000803037</v>
      </c>
      <c r="L15" s="47">
        <f t="shared" si="25"/>
        <v>0.17780180778783647</v>
      </c>
      <c r="M15" s="47">
        <f t="shared" si="25"/>
        <v>0.2474578400429587</v>
      </c>
      <c r="N15" s="47">
        <f t="shared" si="25"/>
        <v>0.26660000180171689</v>
      </c>
    </row>
    <row r="16" spans="1:15" x14ac:dyDescent="0.2">
      <c r="A16" s="42" t="s">
        <v>132</v>
      </c>
      <c r="B16" s="47">
        <f>+IFERROR(B14/B$3,"nm")</f>
        <v>3.146955981830659E-2</v>
      </c>
      <c r="C16" s="47">
        <f t="shared" ref="C16:N16" si="26">+IFERROR(C14/C$3,"nm")</f>
        <v>3.5303928836174947E-2</v>
      </c>
      <c r="D16" s="47">
        <f t="shared" si="26"/>
        <v>3.2168850072780204E-2</v>
      </c>
      <c r="E16" s="47">
        <f t="shared" si="26"/>
        <v>2.8244086051048164E-2</v>
      </c>
      <c r="F16" s="47">
        <f t="shared" si="26"/>
        <v>2.8606488227624818E-2</v>
      </c>
      <c r="G16" s="47">
        <f t="shared" si="26"/>
        <v>2.9035104136031869E-2</v>
      </c>
      <c r="H16" s="47">
        <f t="shared" si="26"/>
        <v>1.5604652207104046E-2</v>
      </c>
      <c r="I16" s="47">
        <f t="shared" si="26"/>
        <v>1.6227788482123744E-2</v>
      </c>
      <c r="J16" s="47">
        <f t="shared" si="26"/>
        <v>1.5116870672060325E-2</v>
      </c>
      <c r="K16" s="47">
        <f t="shared" si="26"/>
        <v>1.5266167942249307E-2</v>
      </c>
      <c r="L16" s="47">
        <f t="shared" si="26"/>
        <v>1.4509846016342288E-2</v>
      </c>
      <c r="M16" s="47">
        <f t="shared" si="26"/>
        <v>2.0007421516434056E-2</v>
      </c>
      <c r="N16" s="47">
        <f t="shared" si="26"/>
        <v>1.1264131397170045E-2</v>
      </c>
    </row>
    <row r="17" spans="1:15" x14ac:dyDescent="0.2">
      <c r="A17" s="9" t="s">
        <v>140</v>
      </c>
      <c r="B17" s="59">
        <f>B48+B79+B110+B141+B172+B203+B234+B265+B296+B331+B362</f>
        <v>2607</v>
      </c>
      <c r="C17" s="59">
        <f t="shared" ref="C17:I17" si="27">C48+C79+C110+C141+C172+C203+C234+C265+C296+C331+C362</f>
        <v>2981</v>
      </c>
      <c r="D17" s="59">
        <f t="shared" si="27"/>
        <v>3379</v>
      </c>
      <c r="E17" s="59">
        <f t="shared" si="27"/>
        <v>4454</v>
      </c>
      <c r="F17" s="59">
        <f t="shared" si="27"/>
        <v>4744</v>
      </c>
      <c r="G17" s="59">
        <f t="shared" si="27"/>
        <v>4866</v>
      </c>
      <c r="H17" s="59">
        <f t="shared" si="27"/>
        <v>4904</v>
      </c>
      <c r="I17" s="59">
        <f t="shared" si="27"/>
        <v>4791</v>
      </c>
      <c r="J17" s="59">
        <f>J48+J79+J110+J141+J296+J331+J362</f>
        <v>4789.3895266529171</v>
      </c>
      <c r="K17" s="59">
        <f t="shared" ref="K17:N17" si="28">K48+K79+K110+K141+K296+K331+K362</f>
        <v>4744.8593839742398</v>
      </c>
      <c r="L17" s="59">
        <f t="shared" si="28"/>
        <v>4699.5326186138427</v>
      </c>
      <c r="M17" s="59">
        <f t="shared" si="28"/>
        <v>4625.1405884847482</v>
      </c>
      <c r="N17" s="59">
        <f t="shared" si="28"/>
        <v>4577.0804642654639</v>
      </c>
    </row>
    <row r="18" spans="1:15" x14ac:dyDescent="0.2">
      <c r="A18" s="42" t="s">
        <v>128</v>
      </c>
      <c r="B18" s="47" t="str">
        <f t="shared" ref="B18:H18" si="29">+IFERROR(B17/A17-1,"nm")</f>
        <v>nm</v>
      </c>
      <c r="C18" s="47">
        <f t="shared" si="29"/>
        <v>0.14345991561181437</v>
      </c>
      <c r="D18" s="47">
        <f t="shared" si="29"/>
        <v>0.13351224421335117</v>
      </c>
      <c r="E18" s="47">
        <f t="shared" si="29"/>
        <v>0.31814146197099724</v>
      </c>
      <c r="F18" s="47">
        <f t="shared" si="29"/>
        <v>6.5110013471037176E-2</v>
      </c>
      <c r="G18" s="47">
        <f t="shared" si="29"/>
        <v>2.5716694772343951E-2</v>
      </c>
      <c r="H18" s="47">
        <f t="shared" si="29"/>
        <v>7.8092889436909285E-3</v>
      </c>
      <c r="I18" s="47">
        <f>+IFERROR(I17/H17-1,"nm")</f>
        <v>-2.3042414355628038E-2</v>
      </c>
      <c r="J18" s="47">
        <f>(J17-I17)/I17</f>
        <v>-3.3614555355519017E-4</v>
      </c>
      <c r="K18" s="47">
        <f t="shared" ref="K18:N18" si="30">(K17-J17)/J17</f>
        <v>-9.2976656901401274E-3</v>
      </c>
      <c r="L18" s="47">
        <f t="shared" si="30"/>
        <v>-9.5528153086028647E-3</v>
      </c>
      <c r="M18" s="47">
        <f t="shared" si="30"/>
        <v>-1.582966566386701E-2</v>
      </c>
      <c r="N18" s="47">
        <f t="shared" si="30"/>
        <v>-1.0391062347151125E-2</v>
      </c>
    </row>
    <row r="19" spans="1:15" x14ac:dyDescent="0.2">
      <c r="A19" s="42" t="s">
        <v>132</v>
      </c>
      <c r="B19" s="47">
        <f>+IFERROR(B17/B$3,"nm")</f>
        <v>8.5193294336786379E-2</v>
      </c>
      <c r="C19" s="47">
        <f t="shared" ref="C19:N19" si="31">+IFERROR(C17/C$3,"nm")</f>
        <v>9.2074376081047696E-2</v>
      </c>
      <c r="D19" s="47">
        <f t="shared" si="31"/>
        <v>9.8369723435225626E-2</v>
      </c>
      <c r="E19" s="47">
        <f t="shared" si="31"/>
        <v>0.12237272302662307</v>
      </c>
      <c r="F19" s="47">
        <f t="shared" si="31"/>
        <v>0.1212771940588491</v>
      </c>
      <c r="G19" s="47">
        <f t="shared" si="31"/>
        <v>0.13009651632222013</v>
      </c>
      <c r="H19" s="47">
        <f t="shared" si="31"/>
        <v>0.11010822219228523</v>
      </c>
      <c r="I19" s="47">
        <f t="shared" si="31"/>
        <v>0.10256904303147078</v>
      </c>
      <c r="J19" s="47">
        <f t="shared" si="31"/>
        <v>8.7746611248415735E-2</v>
      </c>
      <c r="K19" s="47">
        <f t="shared" si="31"/>
        <v>7.7248328303808914E-2</v>
      </c>
      <c r="L19" s="47">
        <f t="shared" si="31"/>
        <v>6.1742038321798635E-2</v>
      </c>
      <c r="M19" s="47">
        <f t="shared" si="31"/>
        <v>6.7166647923051728E-2</v>
      </c>
      <c r="N19" s="47">
        <f t="shared" si="31"/>
        <v>2.9545026590776017E-2</v>
      </c>
    </row>
    <row r="20" spans="1:15" x14ac:dyDescent="0.2">
      <c r="A20" s="43" t="str">
        <f>+Historicals!A111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">
      <c r="A21" s="9" t="s">
        <v>135</v>
      </c>
      <c r="B21" s="9">
        <v>13740</v>
      </c>
      <c r="C21" s="9">
        <v>14764</v>
      </c>
      <c r="D21" s="9">
        <v>15216</v>
      </c>
      <c r="E21" s="9">
        <v>14855</v>
      </c>
      <c r="F21" s="9">
        <v>15902</v>
      </c>
      <c r="G21" s="9">
        <v>14484</v>
      </c>
      <c r="H21" s="9">
        <v>17179</v>
      </c>
      <c r="I21" s="9">
        <v>18353</v>
      </c>
      <c r="J21" s="9">
        <f>I21*(1+J22)</f>
        <v>21794.1875</v>
      </c>
      <c r="K21" s="9">
        <f t="shared" ref="K21:N21" si="32">J21*(1+K22)</f>
        <v>25880.59765625</v>
      </c>
      <c r="L21" s="9">
        <f t="shared" si="32"/>
        <v>30733.209716796875</v>
      </c>
      <c r="M21" s="9">
        <f t="shared" si="32"/>
        <v>36495.686538696289</v>
      </c>
      <c r="N21" s="9">
        <f t="shared" si="32"/>
        <v>43338.627764701843</v>
      </c>
    </row>
    <row r="22" spans="1:15" x14ac:dyDescent="0.2">
      <c r="A22" s="44" t="s">
        <v>128</v>
      </c>
      <c r="B22" s="47" t="str">
        <f t="shared" ref="B22:H22" si="33">+IFERROR(B21/A21-1,"nm")</f>
        <v>nm</v>
      </c>
      <c r="C22" s="47">
        <f t="shared" si="33"/>
        <v>7.4526928675400228E-2</v>
      </c>
      <c r="D22" s="47">
        <f t="shared" si="33"/>
        <v>3.0615009482525046E-2</v>
      </c>
      <c r="E22" s="47">
        <f t="shared" si="33"/>
        <v>-2.372502628811779E-2</v>
      </c>
      <c r="F22" s="47">
        <f t="shared" si="33"/>
        <v>7.0481319421070276E-2</v>
      </c>
      <c r="G22" s="47">
        <f t="shared" si="33"/>
        <v>-8.9171173437303519E-2</v>
      </c>
      <c r="H22" s="47">
        <f t="shared" si="33"/>
        <v>0.18606738470035911</v>
      </c>
      <c r="I22" s="47">
        <f>+IFERROR(I21/H21-1,"nm")</f>
        <v>6.8339251411607238E-2</v>
      </c>
      <c r="J22" s="47">
        <v>0.1875</v>
      </c>
      <c r="K22" s="47">
        <v>0.1875</v>
      </c>
      <c r="L22" s="47">
        <v>0.1875</v>
      </c>
      <c r="M22" s="47">
        <v>0.1875</v>
      </c>
      <c r="N22" s="47">
        <v>0.1875</v>
      </c>
    </row>
    <row r="23" spans="1:15" x14ac:dyDescent="0.2">
      <c r="A23" s="45" t="s">
        <v>112</v>
      </c>
      <c r="B23" s="3">
        <v>8506</v>
      </c>
      <c r="C23" s="3">
        <v>9299</v>
      </c>
      <c r="D23" s="3">
        <v>9684</v>
      </c>
      <c r="E23" s="3">
        <v>9322</v>
      </c>
      <c r="F23" s="3">
        <v>10045</v>
      </c>
      <c r="G23" s="3">
        <v>9329</v>
      </c>
      <c r="H23" s="3">
        <v>11644</v>
      </c>
      <c r="I23" s="3">
        <v>12228</v>
      </c>
      <c r="J23" s="3">
        <f>I23*(1+J24)</f>
        <v>12839.4</v>
      </c>
      <c r="K23" s="3">
        <f t="shared" ref="K23:N23" si="34">J23*(1+K24)</f>
        <v>13481.37</v>
      </c>
      <c r="L23" s="3">
        <f t="shared" si="34"/>
        <v>14155.438500000002</v>
      </c>
      <c r="M23" s="3">
        <f t="shared" si="34"/>
        <v>14863.210425000003</v>
      </c>
      <c r="N23" s="3">
        <f t="shared" si="34"/>
        <v>15606.370946250005</v>
      </c>
    </row>
    <row r="24" spans="1:15" x14ac:dyDescent="0.2">
      <c r="A24" s="44" t="s">
        <v>128</v>
      </c>
      <c r="B24" s="47" t="str">
        <f t="shared" ref="B24:H24" si="35">+IFERROR(B23/A23-1,"nm")</f>
        <v>nm</v>
      </c>
      <c r="C24" s="47">
        <f t="shared" si="35"/>
        <v>9.3228309428638578E-2</v>
      </c>
      <c r="D24" s="47">
        <f t="shared" si="35"/>
        <v>4.1402301322722934E-2</v>
      </c>
      <c r="E24" s="47">
        <f t="shared" si="35"/>
        <v>-3.7381247418422192E-2</v>
      </c>
      <c r="F24" s="47">
        <f t="shared" si="35"/>
        <v>7.755846384895948E-2</v>
      </c>
      <c r="G24" s="47">
        <f t="shared" si="35"/>
        <v>-7.1279243404678949E-2</v>
      </c>
      <c r="H24" s="47">
        <f t="shared" si="35"/>
        <v>0.24815092721620746</v>
      </c>
      <c r="I24" s="47">
        <f>+IFERROR(I23/H23-1,"nm")</f>
        <v>5.0154586052902683E-2</v>
      </c>
      <c r="J24" s="47">
        <v>0.05</v>
      </c>
      <c r="K24" s="47">
        <v>0.05</v>
      </c>
      <c r="L24" s="47">
        <v>0.05</v>
      </c>
      <c r="M24" s="47">
        <v>0.05</v>
      </c>
      <c r="N24" s="47">
        <v>0.05</v>
      </c>
    </row>
    <row r="25" spans="1:15" x14ac:dyDescent="0.2">
      <c r="A25" s="44" t="s">
        <v>136</v>
      </c>
      <c r="B25" s="47">
        <v>0.13</v>
      </c>
      <c r="C25" s="47">
        <v>0.09</v>
      </c>
      <c r="D25" s="47">
        <v>0.04</v>
      </c>
      <c r="E25" s="47">
        <v>-0.04</v>
      </c>
      <c r="F25" s="47">
        <v>0.08</v>
      </c>
      <c r="G25" s="47">
        <v>-7.0000000000000007E-2</v>
      </c>
      <c r="H25" s="47">
        <v>0.25</v>
      </c>
      <c r="I25" s="47">
        <v>0.05</v>
      </c>
      <c r="J25" s="49">
        <v>0.05</v>
      </c>
      <c r="K25" s="49">
        <v>0.05</v>
      </c>
      <c r="L25" s="49">
        <v>0.05</v>
      </c>
      <c r="M25" s="49">
        <v>0.05</v>
      </c>
      <c r="N25" s="49">
        <v>0.05</v>
      </c>
    </row>
    <row r="26" spans="1:15" x14ac:dyDescent="0.2">
      <c r="A26" s="44" t="s">
        <v>137</v>
      </c>
      <c r="B26" s="47" t="str">
        <f t="shared" ref="B26:H26" si="36">+IFERROR(B24-B25,"nm")</f>
        <v>nm</v>
      </c>
      <c r="C26" s="47">
        <f t="shared" si="36"/>
        <v>3.2283094286385816E-3</v>
      </c>
      <c r="D26" s="47">
        <f t="shared" si="36"/>
        <v>1.4023013227229333E-3</v>
      </c>
      <c r="E26" s="47">
        <f t="shared" si="36"/>
        <v>2.6187525815778087E-3</v>
      </c>
      <c r="F26" s="47">
        <f t="shared" si="36"/>
        <v>-2.4415361510405215E-3</v>
      </c>
      <c r="G26" s="47">
        <f t="shared" si="36"/>
        <v>-1.2792434046789425E-3</v>
      </c>
      <c r="H26" s="47">
        <f t="shared" si="36"/>
        <v>-1.849072783792538E-3</v>
      </c>
      <c r="I26" s="47">
        <f>+IFERROR(I24-I25,"nm")</f>
        <v>1.5458605290268046E-4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</row>
    <row r="27" spans="1:15" x14ac:dyDescent="0.2">
      <c r="A27" s="45" t="s">
        <v>113</v>
      </c>
      <c r="B27" s="3">
        <v>4410</v>
      </c>
      <c r="C27" s="3">
        <v>4746</v>
      </c>
      <c r="D27" s="3">
        <v>4886</v>
      </c>
      <c r="E27" s="3">
        <v>4938</v>
      </c>
      <c r="F27" s="3">
        <v>5260</v>
      </c>
      <c r="G27" s="3">
        <v>4639</v>
      </c>
      <c r="H27" s="3">
        <v>5028</v>
      </c>
      <c r="I27" s="3">
        <v>5492</v>
      </c>
      <c r="J27" s="3">
        <f>I27*(1+J28)</f>
        <v>6041.2000000000007</v>
      </c>
      <c r="K27" s="3">
        <f t="shared" ref="K27:N27" si="37">J27*(1+K28)</f>
        <v>6693.6496000000016</v>
      </c>
      <c r="L27" s="3">
        <f t="shared" si="37"/>
        <v>7470.1129536000026</v>
      </c>
      <c r="M27" s="3">
        <f t="shared" si="37"/>
        <v>8381.4667339392017</v>
      </c>
      <c r="N27" s="3">
        <f t="shared" si="37"/>
        <v>9471.0574093512969</v>
      </c>
    </row>
    <row r="28" spans="1:15" x14ac:dyDescent="0.2">
      <c r="A28" s="44" t="s">
        <v>128</v>
      </c>
      <c r="B28" s="47" t="str">
        <f t="shared" ref="B28:H28" si="38">+IFERROR(B27/A27-1,"nm")</f>
        <v>nm</v>
      </c>
      <c r="C28" s="47">
        <f t="shared" si="38"/>
        <v>7.6190476190476142E-2</v>
      </c>
      <c r="D28" s="47">
        <f t="shared" si="38"/>
        <v>2.9498525073746285E-2</v>
      </c>
      <c r="E28" s="47">
        <f t="shared" si="38"/>
        <v>1.0642652476463343E-2</v>
      </c>
      <c r="F28" s="47">
        <f t="shared" si="38"/>
        <v>6.5208586472256025E-2</v>
      </c>
      <c r="G28" s="47">
        <f t="shared" si="38"/>
        <v>-0.11806083650190113</v>
      </c>
      <c r="H28" s="47">
        <f t="shared" si="38"/>
        <v>8.3854278939426541E-2</v>
      </c>
      <c r="I28" s="47">
        <f>+IFERROR(I27/H27-1,"nm")</f>
        <v>9.2283214001591007E-2</v>
      </c>
      <c r="J28" s="47">
        <v>0.1</v>
      </c>
      <c r="K28" s="47">
        <v>0.108</v>
      </c>
      <c r="L28" s="47">
        <v>0.11600000000000001</v>
      </c>
      <c r="M28" s="47">
        <v>0.122</v>
      </c>
      <c r="N28" s="47">
        <v>0.13</v>
      </c>
    </row>
    <row r="29" spans="1:15" x14ac:dyDescent="0.2">
      <c r="A29" s="44" t="s">
        <v>136</v>
      </c>
      <c r="B29" s="47">
        <v>0</v>
      </c>
      <c r="C29" s="47">
        <v>0</v>
      </c>
      <c r="D29" s="47">
        <v>0</v>
      </c>
      <c r="E29" s="47">
        <v>0.13</v>
      </c>
      <c r="F29" s="47">
        <v>7.0000000000000007E-2</v>
      </c>
      <c r="G29" s="47">
        <v>-0.06</v>
      </c>
      <c r="H29" s="47">
        <v>0.18</v>
      </c>
      <c r="I29" s="47">
        <v>0.09</v>
      </c>
      <c r="J29" s="49">
        <f>I29</f>
        <v>0.09</v>
      </c>
      <c r="K29" s="49">
        <f t="shared" ref="K29:N29" si="39">J29</f>
        <v>0.09</v>
      </c>
      <c r="L29" s="49">
        <f t="shared" si="39"/>
        <v>0.09</v>
      </c>
      <c r="M29" s="49">
        <f t="shared" si="39"/>
        <v>0.09</v>
      </c>
      <c r="N29" s="49">
        <f t="shared" si="39"/>
        <v>0.09</v>
      </c>
    </row>
    <row r="30" spans="1:15" x14ac:dyDescent="0.2">
      <c r="A30" s="44" t="s">
        <v>137</v>
      </c>
      <c r="B30" s="47" t="str">
        <f t="shared" ref="B30:H30" si="40">+IFERROR(B28-B29,"nm")</f>
        <v>nm</v>
      </c>
      <c r="C30" s="47">
        <f t="shared" si="40"/>
        <v>7.6190476190476142E-2</v>
      </c>
      <c r="D30" s="47">
        <f t="shared" si="40"/>
        <v>2.9498525073746285E-2</v>
      </c>
      <c r="E30" s="47">
        <f t="shared" si="40"/>
        <v>-0.11935734752353666</v>
      </c>
      <c r="F30" s="47">
        <f t="shared" si="40"/>
        <v>-4.7914135277439818E-3</v>
      </c>
      <c r="G30" s="47">
        <f t="shared" si="40"/>
        <v>-5.8060836501901136E-2</v>
      </c>
      <c r="H30" s="47">
        <f t="shared" si="40"/>
        <v>-9.6145721060573452E-2</v>
      </c>
      <c r="I30" s="47">
        <f>+IFERROR(I28-I29,"nm")</f>
        <v>2.2832140015910107E-3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</row>
    <row r="31" spans="1:15" x14ac:dyDescent="0.2">
      <c r="A31" s="45" t="s">
        <v>114</v>
      </c>
      <c r="B31" s="3">
        <v>824</v>
      </c>
      <c r="C31" s="3">
        <v>719</v>
      </c>
      <c r="D31" s="3">
        <v>646</v>
      </c>
      <c r="E31" s="3">
        <v>595</v>
      </c>
      <c r="F31" s="3">
        <v>597</v>
      </c>
      <c r="G31" s="3">
        <v>516</v>
      </c>
      <c r="H31" s="3">
        <v>507</v>
      </c>
      <c r="I31" s="3">
        <v>633</v>
      </c>
      <c r="J31" s="3">
        <f>I31*(1+J32)</f>
        <v>614.08752863209497</v>
      </c>
      <c r="K31" s="3">
        <f t="shared" ref="K31:N31" si="41">J31*(1+K32)</f>
        <v>604.29783378453919</v>
      </c>
      <c r="L31" s="3">
        <f t="shared" si="41"/>
        <v>602.05287216764316</v>
      </c>
      <c r="M31" s="3">
        <f t="shared" si="41"/>
        <v>606.28680318026363</v>
      </c>
      <c r="N31" s="3">
        <f t="shared" si="41"/>
        <v>610.86847602292005</v>
      </c>
    </row>
    <row r="32" spans="1:15" x14ac:dyDescent="0.2">
      <c r="A32" s="44" t="s">
        <v>128</v>
      </c>
      <c r="B32" s="47" t="str">
        <f t="shared" ref="B32:H32" si="42">+IFERROR(B31/A31-1,"nm")</f>
        <v>nm</v>
      </c>
      <c r="C32" s="47">
        <f t="shared" si="42"/>
        <v>-0.12742718446601942</v>
      </c>
      <c r="D32" s="47">
        <f t="shared" si="42"/>
        <v>-0.10152990264255912</v>
      </c>
      <c r="E32" s="47">
        <f t="shared" si="42"/>
        <v>-7.8947368421052655E-2</v>
      </c>
      <c r="F32" s="47">
        <f t="shared" si="42"/>
        <v>3.3613445378151141E-3</v>
      </c>
      <c r="G32" s="47">
        <f t="shared" si="42"/>
        <v>-0.13567839195979903</v>
      </c>
      <c r="H32" s="47">
        <f t="shared" si="42"/>
        <v>-1.744186046511631E-2</v>
      </c>
      <c r="I32" s="47">
        <f>+IFERROR(I31/H31-1,"nm")</f>
        <v>0.24852071005917153</v>
      </c>
      <c r="J32" s="47">
        <f>AVERAGE(C32:I32)</f>
        <v>-2.9877521908222841E-2</v>
      </c>
      <c r="K32" s="47">
        <f t="shared" ref="K32:N32" si="43">AVERAGE(D32:J32)</f>
        <v>-1.5941855828537615E-2</v>
      </c>
      <c r="L32" s="47">
        <f t="shared" si="43"/>
        <v>-3.7149919979631144E-3</v>
      </c>
      <c r="M32" s="47">
        <f t="shared" si="43"/>
        <v>7.0324903481925327E-3</v>
      </c>
      <c r="N32" s="47">
        <f t="shared" si="43"/>
        <v>7.5569397496750212E-3</v>
      </c>
      <c r="O32" t="s">
        <v>212</v>
      </c>
    </row>
    <row r="33" spans="1:14" x14ac:dyDescent="0.2">
      <c r="A33" s="44" t="s">
        <v>136</v>
      </c>
      <c r="B33" s="47">
        <v>-0.05</v>
      </c>
      <c r="C33" s="47">
        <v>-0.13</v>
      </c>
      <c r="D33" s="47">
        <v>-0.1</v>
      </c>
      <c r="E33" s="47">
        <v>-0.08</v>
      </c>
      <c r="F33" s="47">
        <v>0</v>
      </c>
      <c r="G33" s="47">
        <v>-0.14000000000000001</v>
      </c>
      <c r="H33" s="47">
        <v>-0.02</v>
      </c>
      <c r="I33" s="47">
        <v>0.25</v>
      </c>
      <c r="J33" s="49">
        <f>AVERAGE(B33:I33)</f>
        <v>-3.3750000000000002E-2</v>
      </c>
      <c r="K33" s="49">
        <f t="shared" ref="K33:N33" si="44">AVERAGE(C33:J33)</f>
        <v>-3.1718750000000004E-2</v>
      </c>
      <c r="L33" s="49">
        <f t="shared" si="44"/>
        <v>-1.9433593750000006E-2</v>
      </c>
      <c r="M33" s="49">
        <f t="shared" si="44"/>
        <v>-9.3627929687500038E-3</v>
      </c>
      <c r="N33" s="49">
        <f t="shared" si="44"/>
        <v>-5.3314208984375235E-4</v>
      </c>
    </row>
    <row r="34" spans="1:14" x14ac:dyDescent="0.2">
      <c r="A34" s="44" t="s">
        <v>137</v>
      </c>
      <c r="B34" s="47" t="str">
        <f t="shared" ref="B34:H34" si="45">+IFERROR(B32-B33,"nm")</f>
        <v>nm</v>
      </c>
      <c r="C34" s="47">
        <f t="shared" si="45"/>
        <v>2.572815533980588E-3</v>
      </c>
      <c r="D34" s="47">
        <f t="shared" si="45"/>
        <v>-1.5299026425591167E-3</v>
      </c>
      <c r="E34" s="47">
        <f t="shared" si="45"/>
        <v>1.0526315789473467E-3</v>
      </c>
      <c r="F34" s="47">
        <f t="shared" si="45"/>
        <v>3.3613445378151141E-3</v>
      </c>
      <c r="G34" s="47">
        <f t="shared" si="45"/>
        <v>4.321608040200986E-3</v>
      </c>
      <c r="H34" s="47">
        <f t="shared" si="45"/>
        <v>2.5581395348836904E-3</v>
      </c>
      <c r="I34" s="47">
        <f>+IFERROR(I32-I33,"nm")</f>
        <v>-1.4792899408284654E-3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</row>
    <row r="35" spans="1:14" x14ac:dyDescent="0.2">
      <c r="A35" s="9" t="s">
        <v>129</v>
      </c>
      <c r="B35" s="48">
        <f t="shared" ref="B35:H35" si="46">+B42+B38</f>
        <v>3766</v>
      </c>
      <c r="C35" s="48">
        <f t="shared" si="46"/>
        <v>3896</v>
      </c>
      <c r="D35" s="48">
        <f t="shared" si="46"/>
        <v>4015</v>
      </c>
      <c r="E35" s="48">
        <f t="shared" si="46"/>
        <v>3760</v>
      </c>
      <c r="F35" s="48">
        <f t="shared" si="46"/>
        <v>4074</v>
      </c>
      <c r="G35" s="48">
        <f t="shared" si="46"/>
        <v>3047</v>
      </c>
      <c r="H35" s="48">
        <f t="shared" si="46"/>
        <v>5219</v>
      </c>
      <c r="I35" s="48">
        <f>+I42+I38</f>
        <v>5238</v>
      </c>
      <c r="J35" s="48">
        <f>I35*(1+J36)</f>
        <v>5649.1446699044627</v>
      </c>
      <c r="K35" s="48">
        <f t="shared" ref="K35:N35" si="47">J35*(1+K36)</f>
        <v>6128.048548327838</v>
      </c>
      <c r="L35" s="48">
        <f t="shared" si="47"/>
        <v>6695.0265505675952</v>
      </c>
      <c r="M35" s="48">
        <f t="shared" si="47"/>
        <v>7463.6979725315387</v>
      </c>
      <c r="N35" s="48">
        <f t="shared" si="47"/>
        <v>8353.9974994238837</v>
      </c>
    </row>
    <row r="36" spans="1:14" x14ac:dyDescent="0.2">
      <c r="A36" s="46" t="s">
        <v>128</v>
      </c>
      <c r="B36" s="47" t="str">
        <f t="shared" ref="B36:H36" si="48">+IFERROR(B35/A35-1,"nm")</f>
        <v>nm</v>
      </c>
      <c r="C36" s="47">
        <f t="shared" si="48"/>
        <v>3.4519383961763239E-2</v>
      </c>
      <c r="D36" s="47">
        <f t="shared" si="48"/>
        <v>3.0544147843942548E-2</v>
      </c>
      <c r="E36" s="47">
        <f t="shared" si="48"/>
        <v>-6.3511830635118338E-2</v>
      </c>
      <c r="F36" s="47">
        <f t="shared" si="48"/>
        <v>8.3510638297872308E-2</v>
      </c>
      <c r="G36" s="47">
        <f t="shared" si="48"/>
        <v>-0.25208640157093765</v>
      </c>
      <c r="H36" s="47">
        <f t="shared" si="48"/>
        <v>0.71283229405973092</v>
      </c>
      <c r="I36" s="47">
        <f>+IFERROR(I35/H35-1,"nm")</f>
        <v>3.6405441655489312E-3</v>
      </c>
      <c r="J36" s="64">
        <f>AVERAGE(C36:I36)</f>
        <v>7.8492682303257427E-2</v>
      </c>
      <c r="K36" s="64">
        <f t="shared" ref="K36:N36" si="49">AVERAGE(D36:J36)</f>
        <v>8.4774582066328028E-2</v>
      </c>
      <c r="L36" s="64">
        <f t="shared" si="49"/>
        <v>9.2521786955240243E-2</v>
      </c>
      <c r="M36" s="64">
        <f t="shared" si="49"/>
        <v>0.11481230375386289</v>
      </c>
      <c r="N36" s="64">
        <f t="shared" si="49"/>
        <v>0.11928397024757584</v>
      </c>
    </row>
    <row r="37" spans="1:14" x14ac:dyDescent="0.2">
      <c r="A37" s="46" t="s">
        <v>130</v>
      </c>
      <c r="B37" s="47">
        <f t="shared" ref="B37:H37" si="50">+IFERROR(B35/B$21,"nm")</f>
        <v>0.27409024745269289</v>
      </c>
      <c r="C37" s="47">
        <f t="shared" si="50"/>
        <v>0.26388512598211866</v>
      </c>
      <c r="D37" s="47">
        <f t="shared" si="50"/>
        <v>0.26386698212407994</v>
      </c>
      <c r="E37" s="47">
        <f t="shared" si="50"/>
        <v>0.25311342982160889</v>
      </c>
      <c r="F37" s="47">
        <f t="shared" si="50"/>
        <v>0.25619418941013711</v>
      </c>
      <c r="G37" s="47">
        <f t="shared" si="50"/>
        <v>0.2103700635183651</v>
      </c>
      <c r="H37" s="47">
        <f t="shared" si="50"/>
        <v>0.30380115256999823</v>
      </c>
      <c r="I37" s="47">
        <f>+IFERROR(I35/I$21,"nm")</f>
        <v>0.28540293140086087</v>
      </c>
      <c r="J37" s="47">
        <f>AVERAGE(B37:I37)</f>
        <v>0.26384051528498276</v>
      </c>
      <c r="K37" s="47">
        <f t="shared" ref="K37:N37" si="51">AVERAGE(C37:J37)</f>
        <v>0.26255929876401896</v>
      </c>
      <c r="L37" s="47">
        <f t="shared" si="51"/>
        <v>0.26239357036175648</v>
      </c>
      <c r="M37" s="47">
        <f t="shared" si="51"/>
        <v>0.26220939389146602</v>
      </c>
      <c r="N37" s="47">
        <f t="shared" si="51"/>
        <v>0.26334638940019817</v>
      </c>
    </row>
    <row r="38" spans="1:14" x14ac:dyDescent="0.2">
      <c r="A38" s="9" t="s">
        <v>131</v>
      </c>
      <c r="B38" s="9">
        <v>121</v>
      </c>
      <c r="C38" s="9">
        <v>133</v>
      </c>
      <c r="D38" s="9">
        <v>140</v>
      </c>
      <c r="E38" s="9">
        <v>160</v>
      </c>
      <c r="F38" s="9">
        <v>149</v>
      </c>
      <c r="G38" s="9">
        <v>148</v>
      </c>
      <c r="H38" s="9">
        <v>130</v>
      </c>
      <c r="I38" s="9">
        <v>124</v>
      </c>
      <c r="J38" s="48">
        <f>I38*(1+J39)</f>
        <v>124.91096419937966</v>
      </c>
      <c r="K38" s="48">
        <f t="shared" ref="K38:N38" si="52">J38*(1+K39)</f>
        <v>124.19001969352497</v>
      </c>
      <c r="L38" s="48">
        <f t="shared" si="52"/>
        <v>122.43707905650004</v>
      </c>
      <c r="M38" s="48">
        <f t="shared" si="52"/>
        <v>117.96327984198429</v>
      </c>
      <c r="N38" s="48">
        <f t="shared" si="52"/>
        <v>114.19575807912911</v>
      </c>
    </row>
    <row r="39" spans="1:14" x14ac:dyDescent="0.2">
      <c r="A39" s="46" t="s">
        <v>128</v>
      </c>
      <c r="B39" s="47" t="str">
        <f t="shared" ref="B39:H39" si="53">+IFERROR(B38/A38-1,"nm")</f>
        <v>nm</v>
      </c>
      <c r="C39" s="47">
        <f t="shared" si="53"/>
        <v>9.9173553719008156E-2</v>
      </c>
      <c r="D39" s="47">
        <f t="shared" si="53"/>
        <v>5.2631578947368363E-2</v>
      </c>
      <c r="E39" s="47">
        <f t="shared" si="53"/>
        <v>0.14285714285714279</v>
      </c>
      <c r="F39" s="47">
        <f t="shared" si="53"/>
        <v>-6.8749999999999978E-2</v>
      </c>
      <c r="G39" s="47">
        <f t="shared" si="53"/>
        <v>-6.7114093959731447E-3</v>
      </c>
      <c r="H39" s="47">
        <f t="shared" si="53"/>
        <v>-0.1216216216216216</v>
      </c>
      <c r="I39" s="47">
        <f>+IFERROR(I38/H38-1,"nm")</f>
        <v>-4.6153846153846101E-2</v>
      </c>
      <c r="J39" s="47">
        <f>AVERAGE(C39:I39)</f>
        <v>7.3464854788683554E-3</v>
      </c>
      <c r="K39" s="47">
        <f t="shared" ref="K39:N39" si="54">AVERAGE(D39:J39)</f>
        <v>-5.7716671268659018E-3</v>
      </c>
      <c r="L39" s="47">
        <f t="shared" si="54"/>
        <v>-1.4114987994613653E-2</v>
      </c>
      <c r="M39" s="47">
        <f t="shared" si="54"/>
        <v>-3.6539578116293152E-2</v>
      </c>
      <c r="N39" s="47">
        <f t="shared" si="54"/>
        <v>-3.1938089275763602E-2</v>
      </c>
    </row>
    <row r="40" spans="1:14" x14ac:dyDescent="0.2">
      <c r="A40" s="46" t="s">
        <v>132</v>
      </c>
      <c r="B40" s="47">
        <f t="shared" ref="B40:H40" si="55">+IFERROR(B38/B$21,"nm")</f>
        <v>8.8064046579330417E-3</v>
      </c>
      <c r="C40" s="47">
        <f t="shared" si="55"/>
        <v>9.0083988079111346E-3</v>
      </c>
      <c r="D40" s="47">
        <f t="shared" si="55"/>
        <v>9.2008412197686646E-3</v>
      </c>
      <c r="E40" s="47">
        <f t="shared" si="55"/>
        <v>1.0770784247728038E-2</v>
      </c>
      <c r="F40" s="47">
        <f t="shared" si="55"/>
        <v>9.3698905798012821E-3</v>
      </c>
      <c r="G40" s="47">
        <f t="shared" si="55"/>
        <v>1.0218171775752554E-2</v>
      </c>
      <c r="H40" s="47">
        <f t="shared" si="55"/>
        <v>7.5673787764130628E-3</v>
      </c>
      <c r="I40" s="47">
        <f>+IFERROR(I38/I$21,"nm")</f>
        <v>6.7563886013185855E-3</v>
      </c>
      <c r="J40" s="47">
        <f t="shared" ref="J40:N40" si="56">+IFERROR(J38/J$21,"nm")</f>
        <v>5.7313888943728531E-3</v>
      </c>
      <c r="K40" s="47">
        <f t="shared" si="56"/>
        <v>4.7985761898946674E-3</v>
      </c>
      <c r="L40" s="47">
        <f t="shared" si="56"/>
        <v>3.9838689217541598E-3</v>
      </c>
      <c r="M40" s="47">
        <f t="shared" si="56"/>
        <v>3.2322526585959166E-3</v>
      </c>
      <c r="N40" s="47">
        <f t="shared" si="56"/>
        <v>2.6349647870516683E-3</v>
      </c>
    </row>
    <row r="41" spans="1:14" x14ac:dyDescent="0.2">
      <c r="A41" s="46" t="s">
        <v>139</v>
      </c>
      <c r="B41" s="47">
        <f t="shared" ref="B41:H41" si="57">+IFERROR(B38/B48,"nm")</f>
        <v>0.19145569620253164</v>
      </c>
      <c r="C41" s="47">
        <f t="shared" si="57"/>
        <v>0.17924528301886791</v>
      </c>
      <c r="D41" s="47">
        <f t="shared" si="57"/>
        <v>0.17094017094017094</v>
      </c>
      <c r="E41" s="47">
        <f t="shared" si="57"/>
        <v>0.18867924528301888</v>
      </c>
      <c r="F41" s="47">
        <f t="shared" si="57"/>
        <v>0.18304668304668303</v>
      </c>
      <c r="G41" s="47">
        <f t="shared" si="57"/>
        <v>0.22945736434108527</v>
      </c>
      <c r="H41" s="47">
        <f t="shared" si="57"/>
        <v>0.21069692058346839</v>
      </c>
      <c r="I41" s="47">
        <f>+IFERROR(I38/I48,"nm")</f>
        <v>0.19405320813771518</v>
      </c>
      <c r="J41" s="47">
        <f t="shared" ref="J41:N41" si="58">+IFERROR(J38/J48,"nm")</f>
        <v>0.18719887187095635</v>
      </c>
      <c r="K41" s="47">
        <f t="shared" si="58"/>
        <v>0.18701112868253311</v>
      </c>
      <c r="L41" s="47">
        <f t="shared" si="58"/>
        <v>0.19126516483118364</v>
      </c>
      <c r="M41" s="47">
        <f t="shared" si="58"/>
        <v>0.19384871968459433</v>
      </c>
      <c r="N41" s="47">
        <f t="shared" si="58"/>
        <v>0.19604035545167656</v>
      </c>
    </row>
    <row r="42" spans="1:14" x14ac:dyDescent="0.2">
      <c r="A42" s="9" t="s">
        <v>133</v>
      </c>
      <c r="B42" s="9">
        <v>3645</v>
      </c>
      <c r="C42" s="9">
        <v>3763</v>
      </c>
      <c r="D42" s="9">
        <v>3875</v>
      </c>
      <c r="E42" s="9">
        <v>3600</v>
      </c>
      <c r="F42" s="9">
        <v>3925</v>
      </c>
      <c r="G42" s="9">
        <v>2899</v>
      </c>
      <c r="H42" s="9">
        <v>5089</v>
      </c>
      <c r="I42" s="9">
        <v>5114</v>
      </c>
      <c r="J42" s="9">
        <f>I42*(1+J43)</f>
        <v>5548.69</v>
      </c>
      <c r="K42" s="9">
        <f t="shared" ref="K42:N42" si="59">J42*(1+K43)</f>
        <v>6547.4541999999992</v>
      </c>
      <c r="L42" s="9">
        <f t="shared" si="59"/>
        <v>7856.9450399999987</v>
      </c>
      <c r="M42" s="9">
        <f t="shared" si="59"/>
        <v>9428.3340479999988</v>
      </c>
      <c r="N42" s="9">
        <f t="shared" si="59"/>
        <v>11314.000857599998</v>
      </c>
    </row>
    <row r="43" spans="1:14" x14ac:dyDescent="0.2">
      <c r="A43" s="46" t="s">
        <v>128</v>
      </c>
      <c r="B43" s="47" t="str">
        <f t="shared" ref="B43:H43" si="60">+IFERROR(B42/A42-1,"nm")</f>
        <v>nm</v>
      </c>
      <c r="C43" s="47">
        <f t="shared" si="60"/>
        <v>3.2373113854595292E-2</v>
      </c>
      <c r="D43" s="47">
        <f t="shared" si="60"/>
        <v>2.9763486579856391E-2</v>
      </c>
      <c r="E43" s="47">
        <f t="shared" si="60"/>
        <v>-7.096774193548383E-2</v>
      </c>
      <c r="F43" s="47">
        <f t="shared" si="60"/>
        <v>9.0277777777777679E-2</v>
      </c>
      <c r="G43" s="47">
        <f t="shared" si="60"/>
        <v>-0.26140127388535028</v>
      </c>
      <c r="H43" s="47">
        <f t="shared" si="60"/>
        <v>0.75543290789927564</v>
      </c>
      <c r="I43" s="47">
        <f>+IFERROR(I42/H42-1,"nm")</f>
        <v>4.9125564943997002E-3</v>
      </c>
      <c r="J43" s="47">
        <v>8.5000000000000006E-2</v>
      </c>
      <c r="K43" s="47">
        <v>0.18</v>
      </c>
      <c r="L43" s="47">
        <v>0.2</v>
      </c>
      <c r="M43" s="47">
        <v>0.2</v>
      </c>
      <c r="N43" s="47">
        <v>0.2</v>
      </c>
    </row>
    <row r="44" spans="1:14" x14ac:dyDescent="0.2">
      <c r="A44" s="46" t="s">
        <v>130</v>
      </c>
      <c r="B44" s="47">
        <f t="shared" ref="B44:H44" si="61">+IFERROR(B42/B$21,"nm")</f>
        <v>0.26528384279475981</v>
      </c>
      <c r="C44" s="47">
        <f t="shared" si="61"/>
        <v>0.25487672717420751</v>
      </c>
      <c r="D44" s="47">
        <f t="shared" si="61"/>
        <v>0.25466614090431128</v>
      </c>
      <c r="E44" s="47">
        <f t="shared" si="61"/>
        <v>0.24234264557388085</v>
      </c>
      <c r="F44" s="47">
        <f t="shared" si="61"/>
        <v>0.2468242988303358</v>
      </c>
      <c r="G44" s="47">
        <f t="shared" si="61"/>
        <v>0.20015189174261253</v>
      </c>
      <c r="H44" s="47">
        <f t="shared" si="61"/>
        <v>0.29623377379358518</v>
      </c>
      <c r="I44" s="47">
        <f>+IFERROR(I42/I$21,"nm")</f>
        <v>0.27864654279954232</v>
      </c>
      <c r="J44" s="47">
        <f t="shared" ref="J44:N44" si="62">+IFERROR(J42/J$21,"nm")</f>
        <v>0.25459494647368708</v>
      </c>
      <c r="K44" s="47">
        <f t="shared" si="62"/>
        <v>0.25298697839069534</v>
      </c>
      <c r="L44" s="47">
        <f t="shared" si="62"/>
        <v>0.25564999921586057</v>
      </c>
      <c r="M44" s="47">
        <f t="shared" si="62"/>
        <v>0.25834105183918538</v>
      </c>
      <c r="N44" s="47">
        <f t="shared" si="62"/>
        <v>0.26106043133222945</v>
      </c>
    </row>
    <row r="45" spans="1:14" x14ac:dyDescent="0.2">
      <c r="A45" s="9" t="s">
        <v>134</v>
      </c>
      <c r="B45" s="9">
        <f>Historicals!B184</f>
        <v>0</v>
      </c>
      <c r="C45" s="9">
        <f>Historicals!C184</f>
        <v>0</v>
      </c>
      <c r="D45" s="9">
        <f>Historicals!D184</f>
        <v>0</v>
      </c>
      <c r="E45" s="9">
        <f>Historicals!E184</f>
        <v>196</v>
      </c>
      <c r="F45" s="9">
        <f>Historicals!F184</f>
        <v>117</v>
      </c>
      <c r="G45" s="9">
        <f>Historicals!G184</f>
        <v>110</v>
      </c>
      <c r="H45" s="9">
        <f>Historicals!H184</f>
        <v>98</v>
      </c>
      <c r="I45" s="9">
        <f>Historicals!I184</f>
        <v>146</v>
      </c>
      <c r="J45" s="48">
        <f>I45*(1+J46)</f>
        <v>143.00023746095175</v>
      </c>
      <c r="K45" s="48">
        <f t="shared" ref="K45:N45" si="63">J45*(1+K46)</f>
        <v>153.7370395871439</v>
      </c>
      <c r="L45" s="48">
        <f t="shared" si="63"/>
        <v>170.46520907264585</v>
      </c>
      <c r="M45" s="48">
        <f t="shared" si="63"/>
        <v>198.29971797903028</v>
      </c>
      <c r="N45" s="48">
        <f t="shared" si="63"/>
        <v>214.49247307356802</v>
      </c>
    </row>
    <row r="46" spans="1:14" x14ac:dyDescent="0.2">
      <c r="A46" s="46" t="s">
        <v>128</v>
      </c>
      <c r="B46" s="47" t="str">
        <f t="shared" ref="B46:H46" si="64">+IFERROR(B45/A45-1,"nm")</f>
        <v>nm</v>
      </c>
      <c r="C46" s="47" t="str">
        <f t="shared" si="64"/>
        <v>nm</v>
      </c>
      <c r="D46" s="47" t="str">
        <f t="shared" si="64"/>
        <v>nm</v>
      </c>
      <c r="E46" s="47" t="str">
        <f t="shared" si="64"/>
        <v>nm</v>
      </c>
      <c r="F46" s="47">
        <f t="shared" si="64"/>
        <v>-0.40306122448979587</v>
      </c>
      <c r="G46" s="47">
        <f t="shared" si="64"/>
        <v>-5.9829059829059839E-2</v>
      </c>
      <c r="H46" s="47">
        <f t="shared" si="64"/>
        <v>-0.10909090909090913</v>
      </c>
      <c r="I46" s="47">
        <f>+IFERROR(I45/H45-1,"nm")</f>
        <v>0.48979591836734704</v>
      </c>
      <c r="J46" s="47">
        <f>AVERAGE(F46:I46)</f>
        <v>-2.0546318760604448E-2</v>
      </c>
      <c r="K46" s="47">
        <f t="shared" ref="K46:N46" si="65">AVERAGE(G46:J46)</f>
        <v>7.5082407671693413E-2</v>
      </c>
      <c r="L46" s="47">
        <f t="shared" si="65"/>
        <v>0.10881027454688172</v>
      </c>
      <c r="M46" s="47">
        <f t="shared" si="65"/>
        <v>0.16328557045632944</v>
      </c>
      <c r="N46" s="47">
        <f t="shared" si="65"/>
        <v>8.165798347857503E-2</v>
      </c>
    </row>
    <row r="47" spans="1:14" x14ac:dyDescent="0.2">
      <c r="A47" s="46" t="s">
        <v>132</v>
      </c>
      <c r="B47" s="47">
        <f t="shared" ref="B47:H47" si="66">+IFERROR(B45/B$21,"nm")</f>
        <v>0</v>
      </c>
      <c r="C47" s="47">
        <f t="shared" si="66"/>
        <v>0</v>
      </c>
      <c r="D47" s="47">
        <f t="shared" si="66"/>
        <v>0</v>
      </c>
      <c r="E47" s="47">
        <f t="shared" si="66"/>
        <v>1.3194210703466847E-2</v>
      </c>
      <c r="F47" s="47">
        <f t="shared" si="66"/>
        <v>7.3575650861526856E-3</v>
      </c>
      <c r="G47" s="47">
        <f t="shared" si="66"/>
        <v>7.5945871306268989E-3</v>
      </c>
      <c r="H47" s="47">
        <f t="shared" si="66"/>
        <v>5.7046393852960009E-3</v>
      </c>
      <c r="I47" s="47">
        <f>+IFERROR(I45/I$21,"nm")</f>
        <v>7.9551027080041418E-3</v>
      </c>
      <c r="J47" s="47">
        <f t="shared" ref="J47:N47" si="67">+IFERROR(J45/J$21,"nm")</f>
        <v>6.5613933743091709E-3</v>
      </c>
      <c r="K47" s="47">
        <f t="shared" si="67"/>
        <v>5.9402430202386523E-3</v>
      </c>
      <c r="L47" s="47">
        <f t="shared" si="67"/>
        <v>5.5466126266492787E-3</v>
      </c>
      <c r="M47" s="47">
        <f t="shared" si="67"/>
        <v>5.4335111018879879E-3</v>
      </c>
      <c r="N47" s="47">
        <f t="shared" si="67"/>
        <v>4.9492216098329361E-3</v>
      </c>
    </row>
    <row r="48" spans="1:14" x14ac:dyDescent="0.2">
      <c r="A48" s="9" t="s">
        <v>140</v>
      </c>
      <c r="B48" s="9">
        <v>632</v>
      </c>
      <c r="C48" s="9">
        <v>742</v>
      </c>
      <c r="D48" s="9">
        <v>819</v>
      </c>
      <c r="E48" s="9">
        <v>848</v>
      </c>
      <c r="F48" s="9">
        <v>814</v>
      </c>
      <c r="G48" s="9">
        <v>645</v>
      </c>
      <c r="H48" s="9">
        <v>617</v>
      </c>
      <c r="I48" s="9">
        <v>639</v>
      </c>
      <c r="J48" s="48">
        <f>I48*(1+J49)</f>
        <v>667.26344529194478</v>
      </c>
      <c r="K48" s="48">
        <f t="shared" ref="K48:N48" si="68">J48*(1+K49)</f>
        <v>664.07823196633296</v>
      </c>
      <c r="L48" s="48">
        <f t="shared" si="68"/>
        <v>640.14311840092091</v>
      </c>
      <c r="M48" s="48">
        <f t="shared" si="68"/>
        <v>608.53267452020805</v>
      </c>
      <c r="N48" s="48">
        <f t="shared" si="68"/>
        <v>582.51148247523997</v>
      </c>
    </row>
    <row r="49" spans="1:14" x14ac:dyDescent="0.2">
      <c r="A49" s="46" t="s">
        <v>128</v>
      </c>
      <c r="B49" s="47" t="str">
        <f t="shared" ref="B49:H49" si="69">+IFERROR(B48/A48-1,"nm")</f>
        <v>nm</v>
      </c>
      <c r="C49" s="47">
        <f t="shared" si="69"/>
        <v>0.17405063291139244</v>
      </c>
      <c r="D49" s="47">
        <f t="shared" si="69"/>
        <v>0.10377358490566047</v>
      </c>
      <c r="E49" s="47">
        <f t="shared" si="69"/>
        <v>3.5409035409035505E-2</v>
      </c>
      <c r="F49" s="47">
        <f t="shared" si="69"/>
        <v>-4.0094339622641528E-2</v>
      </c>
      <c r="G49" s="47">
        <f t="shared" si="69"/>
        <v>-0.20761670761670759</v>
      </c>
      <c r="H49" s="47">
        <f t="shared" si="69"/>
        <v>-4.3410852713178349E-2</v>
      </c>
      <c r="I49" s="47">
        <f>+IFERROR(I48/H48-1,"nm")</f>
        <v>3.5656401944894611E-2</v>
      </c>
      <c r="J49" s="47">
        <f>AVERAGE(D49,E49,C49,F49,H49,I49)</f>
        <v>4.4230743805860527E-2</v>
      </c>
      <c r="K49" s="47">
        <f t="shared" ref="K49:N49" si="70">AVERAGE(E49,F49,D49,G49,I49,J49)</f>
        <v>-4.7735468623163338E-3</v>
      </c>
      <c r="L49" s="47">
        <f t="shared" si="70"/>
        <v>-3.6042611266657962E-2</v>
      </c>
      <c r="M49" s="47">
        <f t="shared" si="70"/>
        <v>-4.9380276022767865E-2</v>
      </c>
      <c r="N49" s="47">
        <f t="shared" si="70"/>
        <v>-4.2760550311426095E-2</v>
      </c>
    </row>
    <row r="50" spans="1:14" x14ac:dyDescent="0.2">
      <c r="A50" s="46" t="s">
        <v>132</v>
      </c>
      <c r="B50" s="47">
        <f t="shared" ref="B50:H50" si="71">+IFERROR(B48/B$21,"nm")</f>
        <v>4.599708879184862E-2</v>
      </c>
      <c r="C50" s="47">
        <f t="shared" si="71"/>
        <v>5.0257382823083174E-2</v>
      </c>
      <c r="D50" s="47">
        <f t="shared" si="71"/>
        <v>5.3824921135646686E-2</v>
      </c>
      <c r="E50" s="47">
        <f t="shared" si="71"/>
        <v>5.7085156512958597E-2</v>
      </c>
      <c r="F50" s="47">
        <f t="shared" si="71"/>
        <v>5.1188529744686205E-2</v>
      </c>
      <c r="G50" s="47">
        <f t="shared" si="71"/>
        <v>4.4531897265948632E-2</v>
      </c>
      <c r="H50" s="47">
        <f t="shared" si="71"/>
        <v>3.5915943884975841E-2</v>
      </c>
      <c r="I50" s="47">
        <f>+IFERROR(I48/I$21,"nm")</f>
        <v>3.4817196098730456E-2</v>
      </c>
      <c r="J50" s="49">
        <f>AVERAGE(B50:I50)</f>
        <v>4.670226453223477E-2</v>
      </c>
      <c r="K50" s="49">
        <f t="shared" ref="K50:N50" si="72">AVERAGE(C50:J50)</f>
        <v>4.6790411499783038E-2</v>
      </c>
      <c r="L50" s="49">
        <f t="shared" si="72"/>
        <v>4.6357040084370527E-2</v>
      </c>
      <c r="M50" s="49">
        <f t="shared" si="72"/>
        <v>4.5423554952961007E-2</v>
      </c>
      <c r="N50" s="49">
        <f t="shared" si="72"/>
        <v>4.396585475796131E-2</v>
      </c>
    </row>
    <row r="51" spans="1:14" x14ac:dyDescent="0.2">
      <c r="A51" s="43" t="s">
        <v>100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">
      <c r="A52" s="9" t="s">
        <v>135</v>
      </c>
      <c r="E52">
        <v>9242</v>
      </c>
      <c r="F52">
        <v>9812</v>
      </c>
      <c r="G52">
        <v>9347</v>
      </c>
      <c r="H52">
        <v>11456</v>
      </c>
      <c r="I52">
        <v>12479</v>
      </c>
      <c r="J52" s="69">
        <f>I52*(1+J53)</f>
        <v>15037.195000000002</v>
      </c>
      <c r="K52" s="69">
        <f t="shared" ref="K52:N52" si="73">J52*(1+K53)</f>
        <v>18119.819975000002</v>
      </c>
      <c r="L52" s="69">
        <f t="shared" si="73"/>
        <v>21834.383069875003</v>
      </c>
      <c r="M52" s="69">
        <f t="shared" si="73"/>
        <v>26310.431599199379</v>
      </c>
      <c r="N52" s="69">
        <f t="shared" si="73"/>
        <v>31704.070077035252</v>
      </c>
    </row>
    <row r="53" spans="1:14" x14ac:dyDescent="0.2">
      <c r="A53" s="44" t="s">
        <v>128</v>
      </c>
      <c r="E53" s="61" t="s">
        <v>193</v>
      </c>
      <c r="F53" s="62">
        <f>F52/E52-1</f>
        <v>6.1674962129409261E-2</v>
      </c>
      <c r="G53" s="62">
        <f t="shared" ref="G53:I53" si="74">G52/F52-1</f>
        <v>-4.7390949857317621E-2</v>
      </c>
      <c r="H53" s="62">
        <f t="shared" si="74"/>
        <v>0.22563389322777372</v>
      </c>
      <c r="I53" s="63">
        <f t="shared" si="74"/>
        <v>8.9298184357541999E-2</v>
      </c>
      <c r="J53" s="62">
        <v>0.20499999999999999</v>
      </c>
      <c r="K53" s="62">
        <f>J53</f>
        <v>0.20499999999999999</v>
      </c>
      <c r="L53" s="62">
        <f t="shared" ref="L53:N53" si="75">K53</f>
        <v>0.20499999999999999</v>
      </c>
      <c r="M53" s="62">
        <f t="shared" si="75"/>
        <v>0.20499999999999999</v>
      </c>
      <c r="N53" s="62">
        <f t="shared" si="75"/>
        <v>0.20499999999999999</v>
      </c>
    </row>
    <row r="54" spans="1:14" x14ac:dyDescent="0.2">
      <c r="A54" s="45" t="s">
        <v>112</v>
      </c>
      <c r="E54">
        <v>5875</v>
      </c>
      <c r="F54">
        <v>6293</v>
      </c>
      <c r="G54">
        <v>5892</v>
      </c>
      <c r="H54">
        <v>6970</v>
      </c>
      <c r="I54">
        <v>7388</v>
      </c>
      <c r="J54" s="3">
        <f>I54*(1+J55)</f>
        <v>8311.5</v>
      </c>
      <c r="K54" s="3">
        <f t="shared" ref="K54:N54" si="76">J54*(1+K55)</f>
        <v>9558.2249999999985</v>
      </c>
      <c r="L54" s="3">
        <f t="shared" si="76"/>
        <v>11230.914374999998</v>
      </c>
      <c r="M54" s="3">
        <f t="shared" si="76"/>
        <v>13477.097249999997</v>
      </c>
      <c r="N54" s="3">
        <f t="shared" si="76"/>
        <v>16509.444131249998</v>
      </c>
    </row>
    <row r="55" spans="1:14" x14ac:dyDescent="0.2">
      <c r="A55" s="44" t="s">
        <v>128</v>
      </c>
      <c r="E55" s="61" t="s">
        <v>193</v>
      </c>
      <c r="F55" s="62">
        <f>F54/E54-1</f>
        <v>7.1148936170212673E-2</v>
      </c>
      <c r="G55" s="62">
        <f t="shared" ref="G55:I55" si="77">G54/F54-1</f>
        <v>-6.3721595423486432E-2</v>
      </c>
      <c r="H55" s="62">
        <f t="shared" si="77"/>
        <v>0.18295994568907004</v>
      </c>
      <c r="I55" s="62">
        <f t="shared" si="77"/>
        <v>5.9971305595408975E-2</v>
      </c>
      <c r="J55" s="64">
        <v>0.125</v>
      </c>
      <c r="K55" s="64">
        <v>0.15</v>
      </c>
      <c r="L55" s="64">
        <v>0.17499999999999999</v>
      </c>
      <c r="M55" s="64">
        <v>0.2</v>
      </c>
      <c r="N55" s="64">
        <v>0.22500000000000001</v>
      </c>
    </row>
    <row r="56" spans="1:14" x14ac:dyDescent="0.2">
      <c r="A56" s="44" t="s">
        <v>136</v>
      </c>
      <c r="E56" s="63">
        <v>0.13</v>
      </c>
      <c r="F56" s="63">
        <v>7.0000000000000007E-2</v>
      </c>
      <c r="G56" s="63">
        <v>-0.06</v>
      </c>
      <c r="H56" s="63">
        <v>0.18</v>
      </c>
      <c r="I56" s="63">
        <v>0.09</v>
      </c>
      <c r="J56" s="49">
        <f>AVERAGE(E56:I56)</f>
        <v>8.2000000000000003E-2</v>
      </c>
      <c r="K56" s="49">
        <f t="shared" ref="K56:N56" si="78">AVERAGE(F56:J56)</f>
        <v>7.2400000000000006E-2</v>
      </c>
      <c r="L56" s="49">
        <f t="shared" si="78"/>
        <v>7.288E-2</v>
      </c>
      <c r="M56" s="49">
        <f t="shared" si="78"/>
        <v>9.9456000000000017E-2</v>
      </c>
      <c r="N56" s="49">
        <f t="shared" si="78"/>
        <v>8.3347199999999996E-2</v>
      </c>
    </row>
    <row r="57" spans="1:14" x14ac:dyDescent="0.2">
      <c r="A57" s="44" t="s">
        <v>137</v>
      </c>
      <c r="E57" t="s">
        <v>193</v>
      </c>
      <c r="F57" s="63">
        <f>F55-F56</f>
        <v>1.1489361702126666E-3</v>
      </c>
      <c r="G57" s="63">
        <f t="shared" ref="G57:I57" si="79">G55-G56</f>
        <v>-3.7215954234864346E-3</v>
      </c>
      <c r="H57" s="63">
        <f t="shared" si="79"/>
        <v>2.9599456890700426E-3</v>
      </c>
      <c r="I57" s="63">
        <f t="shared" si="79"/>
        <v>-3.0028694404591022E-2</v>
      </c>
      <c r="J57" s="49">
        <v>0</v>
      </c>
      <c r="K57" s="49">
        <v>0</v>
      </c>
      <c r="L57" s="49">
        <v>0</v>
      </c>
      <c r="M57" s="49">
        <v>0</v>
      </c>
      <c r="N57" s="49">
        <v>0</v>
      </c>
    </row>
    <row r="58" spans="1:14" x14ac:dyDescent="0.2">
      <c r="A58" s="45" t="s">
        <v>113</v>
      </c>
      <c r="E58">
        <v>2940</v>
      </c>
      <c r="F58">
        <v>3087</v>
      </c>
      <c r="G58">
        <v>3053</v>
      </c>
      <c r="H58">
        <v>3996</v>
      </c>
      <c r="I58">
        <v>4527</v>
      </c>
      <c r="J58" s="85">
        <f>I58*(1+J59)</f>
        <v>4979.7000000000007</v>
      </c>
      <c r="K58" s="85">
        <f t="shared" ref="K58:N58" si="80">J58*(1+K59)</f>
        <v>5328.2790000000014</v>
      </c>
      <c r="L58" s="85">
        <f t="shared" si="80"/>
        <v>5594.6929500000015</v>
      </c>
      <c r="M58" s="85">
        <f t="shared" si="80"/>
        <v>5706.5868090000013</v>
      </c>
      <c r="N58" s="85">
        <f t="shared" si="80"/>
        <v>5706.5868090000013</v>
      </c>
    </row>
    <row r="59" spans="1:14" x14ac:dyDescent="0.2">
      <c r="A59" s="44" t="s">
        <v>128</v>
      </c>
      <c r="E59" s="61" t="s">
        <v>193</v>
      </c>
      <c r="F59" s="62">
        <f>F58/E58-1</f>
        <v>5.0000000000000044E-2</v>
      </c>
      <c r="G59" s="62">
        <f t="shared" ref="G59:I59" si="81">G58/F58-1</f>
        <v>-1.1013929381276322E-2</v>
      </c>
      <c r="H59" s="62">
        <f t="shared" si="81"/>
        <v>0.30887651490337364</v>
      </c>
      <c r="I59" s="62">
        <f t="shared" si="81"/>
        <v>0.13288288288288297</v>
      </c>
      <c r="J59" s="64">
        <v>0.1</v>
      </c>
      <c r="K59" s="64">
        <v>7.0000000000000007E-2</v>
      </c>
      <c r="L59" s="64">
        <v>0.05</v>
      </c>
      <c r="M59" s="64">
        <v>0.02</v>
      </c>
      <c r="N59" s="64">
        <v>0</v>
      </c>
    </row>
    <row r="60" spans="1:14" x14ac:dyDescent="0.2">
      <c r="A60" s="44" t="s">
        <v>136</v>
      </c>
      <c r="E60" s="62">
        <v>0.23</v>
      </c>
      <c r="F60" s="62">
        <v>0.05</v>
      </c>
      <c r="G60" s="62">
        <v>-0.01</v>
      </c>
      <c r="H60" s="62">
        <v>0.31</v>
      </c>
      <c r="I60" s="62">
        <v>0.16</v>
      </c>
      <c r="J60" s="65">
        <f>AVERAGE(F60,E60,H60,I600)</f>
        <v>0.19666666666666668</v>
      </c>
      <c r="K60" s="65">
        <f t="shared" ref="K60:N60" si="82">AVERAGE(G60,F60,I60,J600)</f>
        <v>6.6666666666666666E-2</v>
      </c>
      <c r="L60" s="65">
        <f t="shared" si="82"/>
        <v>0.16555555555555557</v>
      </c>
      <c r="M60" s="65">
        <f t="shared" si="82"/>
        <v>0.17888888888888888</v>
      </c>
      <c r="N60" s="65">
        <f t="shared" si="82"/>
        <v>0.17407407407407408</v>
      </c>
    </row>
    <row r="61" spans="1:14" x14ac:dyDescent="0.2">
      <c r="A61" s="44" t="s">
        <v>137</v>
      </c>
      <c r="E61" s="61" t="s">
        <v>193</v>
      </c>
      <c r="F61" s="62">
        <f>F59-F60</f>
        <v>0</v>
      </c>
      <c r="G61" s="62">
        <f t="shared" ref="G61:I61" si="83">G59-G60</f>
        <v>-1.0139293812763215E-3</v>
      </c>
      <c r="H61" s="62">
        <f t="shared" si="83"/>
        <v>-1.1234850966263532E-3</v>
      </c>
      <c r="I61" s="62">
        <f t="shared" si="83"/>
        <v>-2.7117117117117034E-2</v>
      </c>
      <c r="J61" s="65">
        <v>0</v>
      </c>
      <c r="K61" s="65">
        <v>0</v>
      </c>
      <c r="L61" s="65">
        <v>0</v>
      </c>
      <c r="M61" s="65">
        <v>0</v>
      </c>
      <c r="N61" s="65">
        <v>0</v>
      </c>
    </row>
    <row r="62" spans="1:14" x14ac:dyDescent="0.2">
      <c r="A62" s="45" t="s">
        <v>114</v>
      </c>
      <c r="E62">
        <v>427</v>
      </c>
      <c r="F62">
        <v>432</v>
      </c>
      <c r="G62">
        <v>402</v>
      </c>
      <c r="H62">
        <v>490</v>
      </c>
      <c r="I62">
        <v>564</v>
      </c>
      <c r="J62" s="85">
        <f>I62*(1+J63)</f>
        <v>608.01893639031346</v>
      </c>
      <c r="K62" s="85">
        <f t="shared" ref="K62:N62" si="84">J62*(1+K63)</f>
        <v>665.55716616322854</v>
      </c>
      <c r="L62" s="85">
        <f t="shared" si="84"/>
        <v>755.84098399511436</v>
      </c>
      <c r="M62" s="85">
        <f t="shared" si="84"/>
        <v>842.64024175675092</v>
      </c>
      <c r="N62" s="85">
        <f t="shared" si="84"/>
        <v>931.78516078644657</v>
      </c>
    </row>
    <row r="63" spans="1:14" x14ac:dyDescent="0.2">
      <c r="A63" s="44" t="s">
        <v>128</v>
      </c>
      <c r="E63" s="61" t="s">
        <v>193</v>
      </c>
      <c r="F63" s="62">
        <f>F62/E62-1</f>
        <v>1.1709601873536313E-2</v>
      </c>
      <c r="G63" s="62">
        <f t="shared" ref="G63:I63" si="85">G62/F62-1</f>
        <v>-6.944444444444442E-2</v>
      </c>
      <c r="H63" s="62">
        <f t="shared" si="85"/>
        <v>0.21890547263681581</v>
      </c>
      <c r="I63" s="62">
        <f t="shared" si="85"/>
        <v>0.15102040816326534</v>
      </c>
      <c r="J63" s="64">
        <f>AVERAGE(F63:I63)</f>
        <v>7.8047759557293261E-2</v>
      </c>
      <c r="K63" s="64">
        <f>AVERAGE(G63:J63)</f>
        <v>9.4632298978232499E-2</v>
      </c>
      <c r="L63" s="64">
        <f>AVERAGE(H63:K63)</f>
        <v>0.13565148483390171</v>
      </c>
      <c r="M63" s="64">
        <f>AVERAGE(I63:L63)</f>
        <v>0.1148379878831732</v>
      </c>
      <c r="N63" s="64">
        <f>AVERAGE(J63:M63)</f>
        <v>0.10579238281315018</v>
      </c>
    </row>
    <row r="64" spans="1:14" x14ac:dyDescent="0.2">
      <c r="A64" s="44" t="s">
        <v>136</v>
      </c>
      <c r="E64" s="62">
        <v>0.11</v>
      </c>
      <c r="F64" s="62">
        <v>0.01</v>
      </c>
      <c r="G64" s="62">
        <v>-7.0000000000000007E-2</v>
      </c>
      <c r="H64" s="62">
        <v>0.22</v>
      </c>
      <c r="I64" s="62">
        <v>0.17</v>
      </c>
      <c r="J64" s="65">
        <f>AVERAGE(E64:I64)</f>
        <v>8.8000000000000009E-2</v>
      </c>
      <c r="K64" s="65">
        <f t="shared" ref="K64:N64" si="86">AVERAGE(F64:J64)</f>
        <v>8.3600000000000008E-2</v>
      </c>
      <c r="L64" s="65">
        <f t="shared" si="86"/>
        <v>9.8320000000000005E-2</v>
      </c>
      <c r="M64" s="65">
        <f t="shared" si="86"/>
        <v>0.13198400000000002</v>
      </c>
      <c r="N64" s="65">
        <f t="shared" si="86"/>
        <v>0.11438080000000002</v>
      </c>
    </row>
    <row r="65" spans="1:14" x14ac:dyDescent="0.2">
      <c r="A65" s="44" t="s">
        <v>137</v>
      </c>
      <c r="E65" s="61" t="s">
        <v>193</v>
      </c>
      <c r="F65" s="62">
        <f>F63-F64</f>
        <v>1.7096018735363126E-3</v>
      </c>
      <c r="G65" s="62">
        <f t="shared" ref="G65:I65" si="87">G63-G64</f>
        <v>5.5555555555558689E-4</v>
      </c>
      <c r="H65" s="62">
        <f t="shared" si="87"/>
        <v>-1.094527363184189E-3</v>
      </c>
      <c r="I65" s="62">
        <f t="shared" si="87"/>
        <v>-1.8979591836734672E-2</v>
      </c>
      <c r="J65" s="65">
        <v>0</v>
      </c>
      <c r="K65" s="65">
        <v>0</v>
      </c>
      <c r="L65" s="65">
        <v>0</v>
      </c>
      <c r="M65" s="65">
        <v>0</v>
      </c>
      <c r="N65" s="65">
        <v>0</v>
      </c>
    </row>
    <row r="66" spans="1:14" x14ac:dyDescent="0.2">
      <c r="A66" s="9" t="s">
        <v>129</v>
      </c>
      <c r="E66" s="59">
        <f>E69+E73</f>
        <v>1703</v>
      </c>
      <c r="F66" s="59">
        <f t="shared" ref="F66:I66" si="88">F69+F73</f>
        <v>2106</v>
      </c>
      <c r="G66" s="59">
        <f t="shared" si="88"/>
        <v>1673</v>
      </c>
      <c r="H66" s="59">
        <f t="shared" si="88"/>
        <v>2571</v>
      </c>
      <c r="I66" s="59">
        <f t="shared" si="88"/>
        <v>3427</v>
      </c>
      <c r="J66" s="48">
        <f>I66*(1+J67)</f>
        <v>4568.0003889537147</v>
      </c>
      <c r="K66" s="48">
        <f t="shared" ref="K66:N66" si="89">J66*(1+K67)</f>
        <v>6088.8904445524622</v>
      </c>
      <c r="L66" s="48">
        <f t="shared" si="89"/>
        <v>8116.152296180976</v>
      </c>
      <c r="M66" s="48">
        <f t="shared" si="89"/>
        <v>10818.379587324856</v>
      </c>
      <c r="N66" s="48">
        <f t="shared" si="89"/>
        <v>14420.298267507695</v>
      </c>
    </row>
    <row r="67" spans="1:14" x14ac:dyDescent="0.2">
      <c r="A67" s="46" t="s">
        <v>128</v>
      </c>
      <c r="E67" s="61" t="s">
        <v>193</v>
      </c>
      <c r="F67" s="66">
        <f>F66/E66-1</f>
        <v>0.23664122137404586</v>
      </c>
      <c r="G67" s="66">
        <f t="shared" ref="G67:I67" si="90">G66/F66-1</f>
        <v>-0.20560303893637222</v>
      </c>
      <c r="H67" s="66">
        <f t="shared" si="90"/>
        <v>0.53676031081888831</v>
      </c>
      <c r="I67" s="66">
        <f t="shared" si="90"/>
        <v>0.33294437961882539</v>
      </c>
      <c r="J67" s="67">
        <f>I67</f>
        <v>0.33294437961882539</v>
      </c>
      <c r="K67" s="67">
        <f t="shared" ref="K67:N67" si="91">J67</f>
        <v>0.33294437961882539</v>
      </c>
      <c r="L67" s="67">
        <f t="shared" si="91"/>
        <v>0.33294437961882539</v>
      </c>
      <c r="M67" s="67">
        <f t="shared" si="91"/>
        <v>0.33294437961882539</v>
      </c>
      <c r="N67" s="67">
        <f t="shared" si="91"/>
        <v>0.33294437961882539</v>
      </c>
    </row>
    <row r="68" spans="1:14" x14ac:dyDescent="0.2">
      <c r="A68" s="46" t="s">
        <v>130</v>
      </c>
      <c r="E68" s="66">
        <f>E66/E52</f>
        <v>0.18426747457260334</v>
      </c>
      <c r="F68" s="66">
        <f t="shared" ref="F68:I68" si="92">F66/F52</f>
        <v>0.21463514064410924</v>
      </c>
      <c r="G68" s="66">
        <f t="shared" si="92"/>
        <v>0.17898791055953783</v>
      </c>
      <c r="H68" s="66">
        <f t="shared" si="92"/>
        <v>0.22442388268156424</v>
      </c>
      <c r="I68" s="66">
        <f t="shared" si="92"/>
        <v>0.27462136389133746</v>
      </c>
      <c r="J68" s="66">
        <f>AVERAGE(E68:I68)</f>
        <v>0.21538715446983039</v>
      </c>
      <c r="K68" s="66">
        <f>AVERAGE(F68:J68)</f>
        <v>0.22161109044927585</v>
      </c>
      <c r="L68" s="66">
        <f>AVERAGE(G68:K68)</f>
        <v>0.22300628041030918</v>
      </c>
      <c r="M68" s="66">
        <f>AVERAGE(H68:L68)</f>
        <v>0.23180995438046342</v>
      </c>
      <c r="N68" s="66">
        <f>AVERAGE(I68:M68)</f>
        <v>0.23328716872024327</v>
      </c>
    </row>
    <row r="69" spans="1:14" x14ac:dyDescent="0.2">
      <c r="A69" s="9" t="s">
        <v>131</v>
      </c>
      <c r="B69">
        <f>Historicals!B202</f>
        <v>0</v>
      </c>
      <c r="C69">
        <f>Historicals!C202</f>
        <v>0</v>
      </c>
      <c r="D69">
        <f>Historicals!D202</f>
        <v>0</v>
      </c>
      <c r="E69">
        <f>Historicals!E202</f>
        <v>116</v>
      </c>
      <c r="F69">
        <f>Historicals!F202</f>
        <v>111</v>
      </c>
      <c r="G69">
        <f>Historicals!G202</f>
        <v>132</v>
      </c>
      <c r="H69">
        <f>Historicals!H202</f>
        <v>136</v>
      </c>
      <c r="I69">
        <f>Historicals!I202</f>
        <v>134</v>
      </c>
      <c r="J69" s="48">
        <f>I69*(1+J70)</f>
        <v>132.02941176470588</v>
      </c>
      <c r="K69" s="48">
        <f t="shared" ref="K69:N69" si="93">J69*(1+K70)</f>
        <v>130.08780276816609</v>
      </c>
      <c r="L69" s="48">
        <f t="shared" si="93"/>
        <v>128.17474684510483</v>
      </c>
      <c r="M69" s="48">
        <f t="shared" si="93"/>
        <v>126.28982409738271</v>
      </c>
      <c r="N69" s="48">
        <f t="shared" si="93"/>
        <v>124.43262080183297</v>
      </c>
    </row>
    <row r="70" spans="1:14" x14ac:dyDescent="0.2">
      <c r="A70" s="46" t="s">
        <v>128</v>
      </c>
      <c r="E70" s="61" t="str">
        <f>IFERROR(E69/D69-1, "nm")</f>
        <v>nm</v>
      </c>
      <c r="F70" s="66">
        <f>IFERROR(F69/E69-1, "nm")</f>
        <v>-4.31034482758621E-2</v>
      </c>
      <c r="G70" s="66">
        <f>IFERROR(G69/F69-1, "nm")</f>
        <v>0.18918918918918926</v>
      </c>
      <c r="H70" s="66">
        <f>IFERROR(H69/G69-1, "nm")</f>
        <v>3.0303030303030276E-2</v>
      </c>
      <c r="I70" s="66">
        <f>IFERROR(I69/H69-1, "nm")</f>
        <v>-1.4705882352941124E-2</v>
      </c>
      <c r="J70" s="67">
        <f>I70</f>
        <v>-1.4705882352941124E-2</v>
      </c>
      <c r="K70" s="67">
        <f t="shared" ref="K70:N70" si="94">J70</f>
        <v>-1.4705882352941124E-2</v>
      </c>
      <c r="L70" s="67">
        <f t="shared" si="94"/>
        <v>-1.4705882352941124E-2</v>
      </c>
      <c r="M70" s="67">
        <f t="shared" si="94"/>
        <v>-1.4705882352941124E-2</v>
      </c>
      <c r="N70" s="67">
        <f t="shared" si="94"/>
        <v>-1.4705882352941124E-2</v>
      </c>
    </row>
    <row r="71" spans="1:14" x14ac:dyDescent="0.2">
      <c r="A71" s="46" t="s">
        <v>132</v>
      </c>
      <c r="E71" s="63">
        <f>E69/E52</f>
        <v>1.2551395801774508E-2</v>
      </c>
      <c r="F71" s="63">
        <f t="shared" ref="F71:I71" si="95">F69/F52</f>
        <v>1.1312678353037097E-2</v>
      </c>
      <c r="G71" s="63">
        <f t="shared" si="95"/>
        <v>1.4122178239007167E-2</v>
      </c>
      <c r="H71" s="63">
        <f t="shared" si="95"/>
        <v>1.1871508379888268E-2</v>
      </c>
      <c r="I71" s="63">
        <f t="shared" si="95"/>
        <v>1.0738039907043834E-2</v>
      </c>
      <c r="J71" s="63">
        <f>AVERAGE(E71:I71)</f>
        <v>1.2119160136150175E-2</v>
      </c>
      <c r="K71" s="63">
        <f t="shared" ref="K71:N72" si="96">AVERAGE(F71:J71)</f>
        <v>1.2032713003025308E-2</v>
      </c>
      <c r="L71" s="63">
        <f t="shared" si="96"/>
        <v>1.2176719933022951E-2</v>
      </c>
      <c r="M71" s="63">
        <f t="shared" si="96"/>
        <v>1.1787628271826108E-2</v>
      </c>
      <c r="N71" s="63">
        <f t="shared" si="96"/>
        <v>1.1770852250213676E-2</v>
      </c>
    </row>
    <row r="72" spans="1:14" x14ac:dyDescent="0.2">
      <c r="A72" s="46" t="s">
        <v>139</v>
      </c>
      <c r="E72" s="63">
        <f>E69/E79</f>
        <v>0.13663133097762073</v>
      </c>
      <c r="F72" s="63">
        <f t="shared" ref="F72:I72" si="97">F69/F79</f>
        <v>0.11948331539289558</v>
      </c>
      <c r="G72" s="63">
        <f t="shared" si="97"/>
        <v>0.14915254237288136</v>
      </c>
      <c r="H72" s="63">
        <f t="shared" si="97"/>
        <v>0.1384928716904277</v>
      </c>
      <c r="I72" s="63">
        <f t="shared" si="97"/>
        <v>0.14565217391304347</v>
      </c>
      <c r="J72" s="63">
        <f>AVERAGE(E72:I72)</f>
        <v>0.13788244686937373</v>
      </c>
      <c r="K72" s="63">
        <f t="shared" si="96"/>
        <v>0.13813267004772439</v>
      </c>
      <c r="L72" s="63">
        <f t="shared" si="96"/>
        <v>0.14186254097869014</v>
      </c>
      <c r="M72" s="63">
        <f t="shared" si="96"/>
        <v>0.14040454069985189</v>
      </c>
      <c r="N72" s="63">
        <f t="shared" si="96"/>
        <v>0.14078687450173671</v>
      </c>
    </row>
    <row r="73" spans="1:14" x14ac:dyDescent="0.2">
      <c r="A73" s="9" t="s">
        <v>133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59">
        <f>I73*(1+J74)</f>
        <v>4453.3260780287474</v>
      </c>
      <c r="K73" s="59">
        <f t="shared" ref="K73:N73" si="98">J73*(1+K74)</f>
        <v>6022.5062730795335</v>
      </c>
      <c r="L73" s="59">
        <f t="shared" si="98"/>
        <v>8144.6049927108434</v>
      </c>
      <c r="M73" s="59">
        <f t="shared" si="98"/>
        <v>11014.449380286163</v>
      </c>
      <c r="N73" s="59">
        <f t="shared" si="98"/>
        <v>14895.516143442437</v>
      </c>
    </row>
    <row r="74" spans="1:14" x14ac:dyDescent="0.2">
      <c r="A74" s="46" t="s">
        <v>128</v>
      </c>
      <c r="E74" s="62" t="s">
        <v>193</v>
      </c>
      <c r="F74" s="66">
        <f t="shared" ref="F74:I74" si="99">F73/E73-1</f>
        <v>0.25708884688090738</v>
      </c>
      <c r="G74" s="66">
        <f t="shared" si="99"/>
        <v>-0.22756892230576442</v>
      </c>
      <c r="H74" s="66">
        <f t="shared" si="99"/>
        <v>0.58014276443867629</v>
      </c>
      <c r="I74" s="66">
        <f t="shared" si="99"/>
        <v>0.3523613963039014</v>
      </c>
      <c r="J74" s="47">
        <f>I74</f>
        <v>0.3523613963039014</v>
      </c>
      <c r="K74" s="47">
        <f t="shared" ref="K74:N74" si="100">J74</f>
        <v>0.3523613963039014</v>
      </c>
      <c r="L74" s="47">
        <f t="shared" si="100"/>
        <v>0.3523613963039014</v>
      </c>
      <c r="M74" s="47">
        <f t="shared" si="100"/>
        <v>0.3523613963039014</v>
      </c>
      <c r="N74" s="47">
        <f t="shared" si="100"/>
        <v>0.3523613963039014</v>
      </c>
    </row>
    <row r="75" spans="1:14" x14ac:dyDescent="0.2">
      <c r="A75" s="46" t="s">
        <v>130</v>
      </c>
      <c r="E75" s="66">
        <f>E73/E52</f>
        <v>0.17171607877082881</v>
      </c>
      <c r="F75" s="66">
        <f t="shared" ref="F75:N75" si="101">F73/F52</f>
        <v>0.20332246229107215</v>
      </c>
      <c r="G75" s="66">
        <f t="shared" si="101"/>
        <v>0.16486573232053064</v>
      </c>
      <c r="H75" s="66">
        <f t="shared" si="101"/>
        <v>0.21255237430167598</v>
      </c>
      <c r="I75" s="66">
        <f t="shared" si="101"/>
        <v>0.26388332398429359</v>
      </c>
      <c r="J75" s="66">
        <f t="shared" si="101"/>
        <v>0.29615404189602829</v>
      </c>
      <c r="K75" s="66">
        <f t="shared" si="101"/>
        <v>0.33237119802452852</v>
      </c>
      <c r="L75" s="66">
        <f t="shared" si="101"/>
        <v>0.37301740867357008</v>
      </c>
      <c r="M75" s="66">
        <f t="shared" si="101"/>
        <v>0.41863431007423424</v>
      </c>
      <c r="N75" s="66">
        <f t="shared" si="101"/>
        <v>0.46982977602714671</v>
      </c>
    </row>
    <row r="76" spans="1:14" x14ac:dyDescent="0.2">
      <c r="A76" s="9" t="s">
        <v>134</v>
      </c>
      <c r="B76">
        <f>Historicals!B187</f>
        <v>0</v>
      </c>
      <c r="C76">
        <f>Historicals!C187</f>
        <v>0</v>
      </c>
      <c r="D76">
        <f>Historicals!D187</f>
        <v>0</v>
      </c>
      <c r="E76">
        <f>Historicals!E187</f>
        <v>240</v>
      </c>
      <c r="F76">
        <f>Historicals!F187</f>
        <v>233</v>
      </c>
      <c r="G76">
        <f>Historicals!G187</f>
        <v>139</v>
      </c>
      <c r="H76">
        <f>Historicals!H187</f>
        <v>153</v>
      </c>
      <c r="I76">
        <f>Historicals!I187</f>
        <v>197</v>
      </c>
      <c r="J76" s="85">
        <f>I76*(1+J77)</f>
        <v>253.65359477124184</v>
      </c>
      <c r="K76" s="85">
        <f t="shared" ref="K76:N76" si="102">J76*(1+K77)</f>
        <v>326.59972660088005</v>
      </c>
      <c r="L76" s="85">
        <f t="shared" si="102"/>
        <v>420.52383098283252</v>
      </c>
      <c r="M76" s="85">
        <f t="shared" si="102"/>
        <v>541.45878891253608</v>
      </c>
      <c r="N76" s="85">
        <f t="shared" si="102"/>
        <v>697.17242755404982</v>
      </c>
    </row>
    <row r="77" spans="1:14" x14ac:dyDescent="0.2">
      <c r="A77" s="46" t="s">
        <v>128</v>
      </c>
      <c r="E77" s="61" t="s">
        <v>193</v>
      </c>
      <c r="F77" s="66">
        <f>F76/E76-1</f>
        <v>-2.9166666666666674E-2</v>
      </c>
      <c r="G77" s="66">
        <f t="shared" ref="G77:I77" si="103">G76/F76-1</f>
        <v>-0.40343347639484983</v>
      </c>
      <c r="H77" s="66">
        <f t="shared" si="103"/>
        <v>0.10071942446043169</v>
      </c>
      <c r="I77" s="66">
        <f t="shared" si="103"/>
        <v>0.28758169934640532</v>
      </c>
      <c r="J77" s="67">
        <f>I77</f>
        <v>0.28758169934640532</v>
      </c>
      <c r="K77" s="67">
        <f t="shared" ref="K77:N77" si="104">J77</f>
        <v>0.28758169934640532</v>
      </c>
      <c r="L77" s="67">
        <f t="shared" si="104"/>
        <v>0.28758169934640532</v>
      </c>
      <c r="M77" s="67">
        <f t="shared" si="104"/>
        <v>0.28758169934640532</v>
      </c>
      <c r="N77" s="67">
        <f t="shared" si="104"/>
        <v>0.28758169934640532</v>
      </c>
    </row>
    <row r="78" spans="1:14" x14ac:dyDescent="0.2">
      <c r="A78" s="46" t="s">
        <v>132</v>
      </c>
      <c r="E78" s="63">
        <f>E76/E52</f>
        <v>2.5968405107119671E-2</v>
      </c>
      <c r="F78" s="63">
        <f t="shared" ref="F78:N78" si="105">F76/F52</f>
        <v>2.3746432939258051E-2</v>
      </c>
      <c r="G78" s="63">
        <f t="shared" si="105"/>
        <v>1.4871081630469669E-2</v>
      </c>
      <c r="H78" s="63">
        <f t="shared" si="105"/>
        <v>1.3355446927374302E-2</v>
      </c>
      <c r="I78" s="63">
        <f t="shared" si="105"/>
        <v>1.5786521355877874E-2</v>
      </c>
      <c r="J78" s="63">
        <f t="shared" si="105"/>
        <v>1.6868411613418715E-2</v>
      </c>
      <c r="K78" s="63">
        <f t="shared" si="105"/>
        <v>1.8024446548116437E-2</v>
      </c>
      <c r="L78" s="63">
        <f t="shared" si="105"/>
        <v>1.9259707482325486E-2</v>
      </c>
      <c r="M78" s="63">
        <f t="shared" si="105"/>
        <v>2.057962397427994E-2</v>
      </c>
      <c r="N78" s="63">
        <f t="shared" si="105"/>
        <v>2.1989997683579579E-2</v>
      </c>
    </row>
    <row r="79" spans="1:14" ht="16" x14ac:dyDescent="0.2">
      <c r="A79" s="71" t="s">
        <v>140</v>
      </c>
      <c r="E79">
        <v>849</v>
      </c>
      <c r="F79">
        <v>929</v>
      </c>
      <c r="G79">
        <v>885</v>
      </c>
      <c r="H79">
        <v>982</v>
      </c>
      <c r="I79">
        <v>920</v>
      </c>
      <c r="J79" s="69">
        <f>I79*(1+J80)</f>
        <v>941.46677676769525</v>
      </c>
      <c r="K79" s="69">
        <f t="shared" ref="K79:N79" si="106">J79*(1+K80)</f>
        <v>946.74811374703972</v>
      </c>
      <c r="L79" s="69">
        <f t="shared" si="106"/>
        <v>964.59696819545513</v>
      </c>
      <c r="M79" s="69">
        <f t="shared" si="106"/>
        <v>960.89761552920413</v>
      </c>
      <c r="N79" s="69">
        <f t="shared" si="106"/>
        <v>971.45807661601464</v>
      </c>
    </row>
    <row r="80" spans="1:14" x14ac:dyDescent="0.2">
      <c r="A80" s="46" t="s">
        <v>128</v>
      </c>
      <c r="E80" t="s">
        <v>193</v>
      </c>
      <c r="F80" s="63">
        <f>F79/E79-1</f>
        <v>9.4228504122497059E-2</v>
      </c>
      <c r="G80" s="63">
        <f t="shared" ref="G80:I80" si="107">G79/F79-1</f>
        <v>-4.7362755651237931E-2</v>
      </c>
      <c r="H80" s="63">
        <f t="shared" si="107"/>
        <v>0.1096045197740112</v>
      </c>
      <c r="I80" s="63">
        <f t="shared" si="107"/>
        <v>-6.313645621181263E-2</v>
      </c>
      <c r="J80" s="47">
        <f>AVERAGE(F80:I80)</f>
        <v>2.3333453008364424E-2</v>
      </c>
      <c r="K80" s="47">
        <f t="shared" ref="K80:N80" si="108">AVERAGE(G80:J80)</f>
        <v>5.6096902298312656E-3</v>
      </c>
      <c r="L80" s="47">
        <f t="shared" si="108"/>
        <v>1.8852801700098565E-2</v>
      </c>
      <c r="M80" s="47">
        <f t="shared" si="108"/>
        <v>-3.8351278183795939E-3</v>
      </c>
      <c r="N80" s="47">
        <f t="shared" si="108"/>
        <v>1.0990204279978665E-2</v>
      </c>
    </row>
    <row r="81" spans="1:15" x14ac:dyDescent="0.2">
      <c r="A81" s="46" t="s">
        <v>132</v>
      </c>
      <c r="E81" s="63">
        <f>E79/E52</f>
        <v>9.1863233066435832E-2</v>
      </c>
      <c r="F81" s="63">
        <f t="shared" ref="F81:I81" si="109">F79/F52</f>
        <v>9.4679983693436609E-2</v>
      </c>
      <c r="G81" s="63">
        <f t="shared" si="109"/>
        <v>9.4682785920616241E-2</v>
      </c>
      <c r="H81" s="63">
        <f t="shared" si="109"/>
        <v>8.5719273743016758E-2</v>
      </c>
      <c r="I81" s="63">
        <f t="shared" si="109"/>
        <v>7.37238560782114E-2</v>
      </c>
      <c r="J81" s="63">
        <f>I81</f>
        <v>7.37238560782114E-2</v>
      </c>
      <c r="K81" s="63">
        <f t="shared" ref="K81:N81" si="110">J81</f>
        <v>7.37238560782114E-2</v>
      </c>
      <c r="L81" s="63">
        <f t="shared" si="110"/>
        <v>7.37238560782114E-2</v>
      </c>
      <c r="M81" s="63">
        <f t="shared" si="110"/>
        <v>7.37238560782114E-2</v>
      </c>
      <c r="N81" s="63">
        <f t="shared" si="110"/>
        <v>7.37238560782114E-2</v>
      </c>
    </row>
    <row r="82" spans="1:15" x14ac:dyDescent="0.2">
      <c r="A82" s="43" t="s">
        <v>194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</row>
    <row r="83" spans="1:15" x14ac:dyDescent="0.2">
      <c r="A83" s="9" t="s">
        <v>135</v>
      </c>
      <c r="B83">
        <v>3067</v>
      </c>
      <c r="C83">
        <v>3785</v>
      </c>
      <c r="D83">
        <v>4237</v>
      </c>
      <c r="E83">
        <v>5134</v>
      </c>
      <c r="F83">
        <v>6208</v>
      </c>
      <c r="G83">
        <v>6679</v>
      </c>
      <c r="H83">
        <v>8290</v>
      </c>
      <c r="I83">
        <v>7547</v>
      </c>
      <c r="J83" s="69">
        <f>I83*(1+J84)</f>
        <v>7924.35</v>
      </c>
      <c r="K83" s="69">
        <f t="shared" ref="K83:N83" si="111">J83*(1+K84)</f>
        <v>8320.567500000001</v>
      </c>
      <c r="L83" s="69">
        <f t="shared" si="111"/>
        <v>8736.5958750000009</v>
      </c>
      <c r="M83" s="69">
        <f t="shared" si="111"/>
        <v>9173.4256687500019</v>
      </c>
      <c r="N83" s="69">
        <f t="shared" si="111"/>
        <v>9632.0969521875031</v>
      </c>
    </row>
    <row r="84" spans="1:15" x14ac:dyDescent="0.2">
      <c r="A84" s="44" t="s">
        <v>128</v>
      </c>
      <c r="B84" t="s">
        <v>193</v>
      </c>
      <c r="C84" s="63">
        <f>C83/B83-1</f>
        <v>0.23410498858819695</v>
      </c>
      <c r="D84" s="63">
        <f t="shared" ref="D84:E84" si="112">D83/C83-1</f>
        <v>0.11941875825627468</v>
      </c>
      <c r="E84" s="63">
        <f t="shared" si="112"/>
        <v>0.21170639603493036</v>
      </c>
      <c r="F84" s="62">
        <f>F83/E83-1</f>
        <v>0.20919361121932223</v>
      </c>
      <c r="G84" s="62">
        <f t="shared" ref="G84:I84" si="113">G83/F83-1</f>
        <v>7.5869845360824639E-2</v>
      </c>
      <c r="H84" s="62">
        <f t="shared" si="113"/>
        <v>0.24120377301991325</v>
      </c>
      <c r="I84" s="62">
        <f t="shared" si="113"/>
        <v>-8.9626055488540413E-2</v>
      </c>
      <c r="J84" s="62">
        <v>0.05</v>
      </c>
      <c r="K84" s="62">
        <v>0.05</v>
      </c>
      <c r="L84" s="62">
        <v>0.05</v>
      </c>
      <c r="M84" s="62">
        <v>0.05</v>
      </c>
      <c r="N84" s="62">
        <v>0.05</v>
      </c>
      <c r="O84" t="s">
        <v>213</v>
      </c>
    </row>
    <row r="85" spans="1:15" x14ac:dyDescent="0.2">
      <c r="A85" s="45" t="s">
        <v>112</v>
      </c>
      <c r="B85">
        <v>2016</v>
      </c>
      <c r="C85">
        <v>2599</v>
      </c>
      <c r="D85">
        <v>2920</v>
      </c>
      <c r="E85">
        <v>3496</v>
      </c>
      <c r="F85">
        <v>4262</v>
      </c>
      <c r="G85">
        <v>4635</v>
      </c>
      <c r="H85">
        <v>5748</v>
      </c>
      <c r="I85">
        <v>5416</v>
      </c>
      <c r="J85" s="69">
        <f>I85*(1+J86)</f>
        <v>6266.2742442497247</v>
      </c>
      <c r="K85" s="69">
        <f t="shared" ref="K85:N85" si="114">J85*(1+K86)</f>
        <v>7131.6983898485332</v>
      </c>
      <c r="L85" s="69">
        <f t="shared" si="114"/>
        <v>8131.5186207727893</v>
      </c>
      <c r="M85" s="69">
        <f t="shared" si="114"/>
        <v>9205.2165364965331</v>
      </c>
      <c r="N85" s="69">
        <f t="shared" si="114"/>
        <v>10306.192584500022</v>
      </c>
    </row>
    <row r="86" spans="1:15" x14ac:dyDescent="0.2">
      <c r="A86" s="46" t="s">
        <v>128</v>
      </c>
      <c r="B86" t="s">
        <v>193</v>
      </c>
      <c r="C86" s="63">
        <f>C85/B85-1</f>
        <v>0.28918650793650791</v>
      </c>
      <c r="D86" s="63">
        <f t="shared" ref="D86:E86" si="115">D85/C85-1</f>
        <v>0.12350904193920731</v>
      </c>
      <c r="E86" s="63">
        <f t="shared" si="115"/>
        <v>0.19726027397260282</v>
      </c>
      <c r="F86" s="62">
        <f>F85/E85-1</f>
        <v>0.21910755148741412</v>
      </c>
      <c r="G86" s="62">
        <f t="shared" ref="G86:I86" si="116">G85/F85-1</f>
        <v>8.7517597372125833E-2</v>
      </c>
      <c r="H86" s="62">
        <f t="shared" si="116"/>
        <v>0.24012944983818763</v>
      </c>
      <c r="I86" s="62">
        <f t="shared" si="116"/>
        <v>-5.7759220598469052E-2</v>
      </c>
      <c r="J86" s="64">
        <f>AVERAGE(C86:I86)</f>
        <v>0.15699302884965377</v>
      </c>
      <c r="K86" s="64">
        <f t="shared" ref="K86:N86" si="117">AVERAGE(D86:J86)</f>
        <v>0.13810824612296035</v>
      </c>
      <c r="L86" s="64">
        <f t="shared" si="117"/>
        <v>0.14019384672063936</v>
      </c>
      <c r="M86" s="64">
        <f t="shared" si="117"/>
        <v>0.13204149997035888</v>
      </c>
      <c r="N86" s="64">
        <f t="shared" si="117"/>
        <v>0.11960349261077954</v>
      </c>
    </row>
    <row r="87" spans="1:15" x14ac:dyDescent="0.2">
      <c r="A87" s="44" t="s">
        <v>136</v>
      </c>
      <c r="B87" s="30">
        <v>0.26</v>
      </c>
      <c r="C87" s="30">
        <v>0.28999999999999998</v>
      </c>
      <c r="D87" s="30">
        <v>0.12</v>
      </c>
      <c r="E87" s="30">
        <v>0.2</v>
      </c>
      <c r="F87" s="30">
        <v>0.22</v>
      </c>
      <c r="G87" s="30">
        <v>0.09</v>
      </c>
      <c r="H87" s="30">
        <v>0.24</v>
      </c>
      <c r="I87" s="30">
        <v>-0.1</v>
      </c>
      <c r="J87" s="49">
        <v>0.15</v>
      </c>
      <c r="K87" s="49">
        <v>0.15</v>
      </c>
      <c r="L87" s="49">
        <v>0.15</v>
      </c>
      <c r="M87" s="49">
        <v>0.15</v>
      </c>
      <c r="N87" s="49">
        <v>0.15</v>
      </c>
    </row>
    <row r="88" spans="1:15" x14ac:dyDescent="0.2">
      <c r="A88" s="44" t="s">
        <v>137</v>
      </c>
      <c r="B88" t="s">
        <v>193</v>
      </c>
      <c r="C88" s="63">
        <f>C86-C87</f>
        <v>-8.134920634920717E-4</v>
      </c>
      <c r="D88" s="63">
        <f t="shared" ref="D88:E88" si="118">D86-D87</f>
        <v>3.5090419392073136E-3</v>
      </c>
      <c r="E88" s="63">
        <f t="shared" si="118"/>
        <v>-2.7397260273971935E-3</v>
      </c>
      <c r="F88" s="62">
        <f>F86-F87</f>
        <v>-8.9244851258588054E-4</v>
      </c>
      <c r="G88" s="62">
        <f t="shared" ref="G88:H88" si="119">G86-G87</f>
        <v>-2.482402627874164E-3</v>
      </c>
      <c r="H88" s="62">
        <f t="shared" si="119"/>
        <v>1.2944983818763411E-4</v>
      </c>
      <c r="I88" s="62">
        <f>I86-I87</f>
        <v>4.2240779401530953E-2</v>
      </c>
      <c r="J88" s="49">
        <v>0</v>
      </c>
      <c r="K88" s="49">
        <v>0</v>
      </c>
      <c r="L88" s="49">
        <v>0</v>
      </c>
      <c r="M88" s="49">
        <v>0</v>
      </c>
      <c r="N88" s="49">
        <v>0</v>
      </c>
    </row>
    <row r="89" spans="1:15" x14ac:dyDescent="0.2">
      <c r="A89" s="45" t="s">
        <v>113</v>
      </c>
      <c r="B89">
        <v>925</v>
      </c>
      <c r="C89">
        <v>1055</v>
      </c>
      <c r="D89">
        <v>1188</v>
      </c>
      <c r="E89">
        <v>1508</v>
      </c>
      <c r="F89">
        <v>1808</v>
      </c>
      <c r="G89">
        <v>1896</v>
      </c>
      <c r="H89">
        <v>2347</v>
      </c>
      <c r="I89">
        <v>1938</v>
      </c>
      <c r="J89" s="69">
        <f>I89*(1+J90)</f>
        <v>2172.5486366633004</v>
      </c>
      <c r="K89" s="69">
        <f t="shared" ref="K89:N89" si="120">J89*(1+K90)</f>
        <v>2429.4272139095406</v>
      </c>
      <c r="L89" s="69">
        <f t="shared" si="120"/>
        <v>2713.9618993860108</v>
      </c>
      <c r="M89" s="69">
        <f t="shared" si="120"/>
        <v>2972.7964356601233</v>
      </c>
      <c r="N89" s="69">
        <f t="shared" si="120"/>
        <v>3212.3328079079351</v>
      </c>
    </row>
    <row r="90" spans="1:15" x14ac:dyDescent="0.2">
      <c r="A90" s="44" t="s">
        <v>128</v>
      </c>
      <c r="B90" t="s">
        <v>193</v>
      </c>
      <c r="C90" s="63">
        <f>C89/B89-1</f>
        <v>0.14054054054054044</v>
      </c>
      <c r="D90" s="63">
        <f>D89/C89-1</f>
        <v>0.12606635071090055</v>
      </c>
      <c r="E90" s="63">
        <f>E89/D89-1</f>
        <v>0.26936026936026947</v>
      </c>
      <c r="F90" s="62">
        <f>F89/E89-1</f>
        <v>0.19893899204244025</v>
      </c>
      <c r="G90" s="62">
        <f t="shared" ref="G90:I90" si="121">G89/F89-1</f>
        <v>4.8672566371681381E-2</v>
      </c>
      <c r="H90" s="62">
        <f t="shared" si="121"/>
        <v>0.2378691983122363</v>
      </c>
      <c r="I90" s="62">
        <f t="shared" si="121"/>
        <v>-0.17426501917341286</v>
      </c>
      <c r="J90" s="64">
        <f>AVERAGE(C90:I90)</f>
        <v>0.12102612830923651</v>
      </c>
      <c r="K90" s="64">
        <f t="shared" ref="K90:N90" si="122">AVERAGE(D90:J90)</f>
        <v>0.11823835513333594</v>
      </c>
      <c r="L90" s="64">
        <f t="shared" si="122"/>
        <v>0.11712007005082671</v>
      </c>
      <c r="M90" s="64">
        <f t="shared" si="122"/>
        <v>9.5371470149477749E-2</v>
      </c>
      <c r="N90" s="64">
        <f t="shared" si="122"/>
        <v>8.057610987905453E-2</v>
      </c>
    </row>
    <row r="91" spans="1:15" x14ac:dyDescent="0.2">
      <c r="A91" s="44" t="s">
        <v>136</v>
      </c>
      <c r="B91" s="63">
        <v>0.06</v>
      </c>
      <c r="C91" s="63">
        <v>0.14000000000000001</v>
      </c>
      <c r="D91" s="63">
        <v>0.13</v>
      </c>
      <c r="E91" s="63">
        <v>0.27</v>
      </c>
      <c r="F91" s="63">
        <v>0.2</v>
      </c>
      <c r="G91" s="63">
        <v>0.05</v>
      </c>
      <c r="H91" s="63">
        <v>0.24</v>
      </c>
      <c r="I91" s="63">
        <v>-0.21</v>
      </c>
      <c r="J91" s="65">
        <f>AVERAGE(B91:I91)</f>
        <v>0.11000000000000001</v>
      </c>
      <c r="K91" s="65">
        <f t="shared" ref="K91:N91" si="123">AVERAGE(C91:J91)</f>
        <v>0.11625000000000001</v>
      </c>
      <c r="L91" s="65">
        <f t="shared" si="123"/>
        <v>0.11328125000000001</v>
      </c>
      <c r="M91" s="65">
        <f t="shared" si="123"/>
        <v>0.11119140625</v>
      </c>
      <c r="N91" s="65">
        <f t="shared" si="123"/>
        <v>9.1340332031249999E-2</v>
      </c>
    </row>
    <row r="92" spans="1:15" x14ac:dyDescent="0.2">
      <c r="A92" s="44" t="s">
        <v>137</v>
      </c>
      <c r="B92" t="s">
        <v>193</v>
      </c>
      <c r="C92" s="63">
        <f>C90-C91</f>
        <v>5.40540540540424E-4</v>
      </c>
      <c r="D92" s="63">
        <f>D90-D91</f>
        <v>-3.9336492890994501E-3</v>
      </c>
      <c r="E92" s="63">
        <f>E90-E91</f>
        <v>-6.3973063973055133E-4</v>
      </c>
      <c r="F92" s="68">
        <f>F90-F91</f>
        <v>-1.0610079575597564E-3</v>
      </c>
      <c r="G92" s="68">
        <f t="shared" ref="G92:I92" si="124">G90-G91</f>
        <v>-1.3274336283186222E-3</v>
      </c>
      <c r="H92" s="68">
        <f t="shared" si="124"/>
        <v>-2.1308016877636948E-3</v>
      </c>
      <c r="I92" s="68">
        <f t="shared" si="124"/>
        <v>3.5734980826587132E-2</v>
      </c>
      <c r="J92" s="65">
        <v>0</v>
      </c>
      <c r="K92" s="65">
        <v>0</v>
      </c>
      <c r="L92" s="65">
        <v>0</v>
      </c>
      <c r="M92" s="65">
        <v>0</v>
      </c>
      <c r="N92" s="65">
        <v>0</v>
      </c>
    </row>
    <row r="93" spans="1:15" x14ac:dyDescent="0.2">
      <c r="A93" s="45" t="s">
        <v>114</v>
      </c>
      <c r="B93">
        <v>126</v>
      </c>
      <c r="C93">
        <v>131</v>
      </c>
      <c r="D93">
        <v>129</v>
      </c>
      <c r="E93">
        <v>130</v>
      </c>
      <c r="F93">
        <v>138</v>
      </c>
      <c r="G93">
        <v>148</v>
      </c>
      <c r="H93">
        <v>195</v>
      </c>
      <c r="I93">
        <v>193</v>
      </c>
      <c r="J93" s="69">
        <f>I93*(1+J94)</f>
        <v>198.01520540800908</v>
      </c>
      <c r="K93" s="69">
        <f t="shared" ref="K93:N93" si="125">J93*(1+K94)</f>
        <v>213.52771923600403</v>
      </c>
      <c r="L93" s="69">
        <f t="shared" si="125"/>
        <v>232.29699573473255</v>
      </c>
      <c r="M93" s="69">
        <f t="shared" si="125"/>
        <v>253.79220321109923</v>
      </c>
      <c r="N93" s="69">
        <f t="shared" si="125"/>
        <v>278.18306187940033</v>
      </c>
    </row>
    <row r="94" spans="1:15" x14ac:dyDescent="0.2">
      <c r="A94" s="44" t="s">
        <v>128</v>
      </c>
      <c r="B94" t="s">
        <v>193</v>
      </c>
      <c r="C94" s="63">
        <f>C93/B93-1</f>
        <v>3.9682539682539764E-2</v>
      </c>
      <c r="D94" s="63">
        <f>D93/C93-1</f>
        <v>-1.5267175572519109E-2</v>
      </c>
      <c r="E94" s="63">
        <f>E93/D93-1</f>
        <v>7.7519379844961378E-3</v>
      </c>
      <c r="F94" s="62">
        <f>F93/E93-1</f>
        <v>6.1538461538461542E-2</v>
      </c>
      <c r="G94" s="62">
        <f t="shared" ref="G94:I94" si="126">G93/F93-1</f>
        <v>7.2463768115942129E-2</v>
      </c>
      <c r="H94" s="62">
        <f t="shared" si="126"/>
        <v>0.31756756756756754</v>
      </c>
      <c r="I94" s="62">
        <f t="shared" si="126"/>
        <v>-1.025641025641022E-2</v>
      </c>
      <c r="J94" s="64">
        <f>AVERAGE(C94,D94,E94,F94,G94,I94)</f>
        <v>2.5985520248751708E-2</v>
      </c>
      <c r="K94" s="64">
        <f t="shared" ref="K94:N94" si="127">AVERAGE(D94,E94,F94,G94,H94,J94)</f>
        <v>7.8340013313783333E-2</v>
      </c>
      <c r="L94" s="64">
        <f t="shared" si="127"/>
        <v>8.7900889710640084E-2</v>
      </c>
      <c r="M94" s="64">
        <f t="shared" si="127"/>
        <v>9.2533299487492129E-2</v>
      </c>
      <c r="N94" s="64">
        <f t="shared" si="127"/>
        <v>9.6105626412854431E-2</v>
      </c>
    </row>
    <row r="95" spans="1:15" x14ac:dyDescent="0.2">
      <c r="A95" s="44" t="s">
        <v>136</v>
      </c>
      <c r="B95" s="63">
        <v>0</v>
      </c>
      <c r="C95" s="63">
        <v>0.04</v>
      </c>
      <c r="D95" s="63">
        <v>-0.02</v>
      </c>
      <c r="E95" s="63">
        <v>0.01</v>
      </c>
      <c r="F95" s="63">
        <v>0.06</v>
      </c>
      <c r="G95" s="63">
        <v>7.0000000000000007E-2</v>
      </c>
      <c r="H95" s="63">
        <v>0.32</v>
      </c>
      <c r="I95" s="63">
        <v>-0.06</v>
      </c>
      <c r="J95" s="65">
        <f>AVERAGE(B95:I95)</f>
        <v>5.2499999999999998E-2</v>
      </c>
      <c r="K95" s="65">
        <f t="shared" ref="K95:N95" si="128">AVERAGE(C95:J95)</f>
        <v>5.9062499999999997E-2</v>
      </c>
      <c r="L95" s="65">
        <f t="shared" si="128"/>
        <v>6.1445312500000002E-2</v>
      </c>
      <c r="M95" s="65">
        <f t="shared" si="128"/>
        <v>7.1625976562499999E-2</v>
      </c>
      <c r="N95" s="65">
        <f t="shared" si="128"/>
        <v>7.9329223632812501E-2</v>
      </c>
    </row>
    <row r="96" spans="1:15" x14ac:dyDescent="0.2">
      <c r="A96" s="44" t="s">
        <v>137</v>
      </c>
      <c r="B96" t="s">
        <v>193</v>
      </c>
      <c r="C96" s="63">
        <f>C94-C95</f>
        <v>-3.1746031746023723E-4</v>
      </c>
      <c r="D96" s="63">
        <f t="shared" ref="D96:E96" si="129">D94-D95</f>
        <v>4.732824427480891E-3</v>
      </c>
      <c r="E96" s="63">
        <f t="shared" si="129"/>
        <v>-2.2480620155038624E-3</v>
      </c>
      <c r="F96" s="62">
        <f>F94-F95</f>
        <v>1.5384615384615441E-3</v>
      </c>
      <c r="G96" s="62">
        <f t="shared" ref="G96:I96" si="130">G94-G95</f>
        <v>2.4637681159421221E-3</v>
      </c>
      <c r="H96" s="62">
        <f t="shared" si="130"/>
        <v>-2.4324324324324631E-3</v>
      </c>
      <c r="I96" s="62">
        <f t="shared" si="130"/>
        <v>4.9743589743589778E-2</v>
      </c>
      <c r="J96" s="65">
        <v>0</v>
      </c>
      <c r="K96" s="65">
        <v>0</v>
      </c>
      <c r="L96" s="65">
        <v>0</v>
      </c>
      <c r="M96" s="65">
        <v>0</v>
      </c>
      <c r="N96" s="65">
        <v>0</v>
      </c>
    </row>
    <row r="97" spans="1:14" x14ac:dyDescent="0.2">
      <c r="A97" s="9" t="s">
        <v>129</v>
      </c>
      <c r="B97" s="59">
        <f>B100+B104</f>
        <v>1039</v>
      </c>
      <c r="C97" s="59">
        <f t="shared" ref="C97:I97" si="131">C100+C104</f>
        <v>1420</v>
      </c>
      <c r="D97" s="59">
        <f t="shared" si="131"/>
        <v>1561</v>
      </c>
      <c r="E97" s="59">
        <f t="shared" si="131"/>
        <v>1863</v>
      </c>
      <c r="F97" s="59">
        <f t="shared" si="131"/>
        <v>2426</v>
      </c>
      <c r="G97" s="59">
        <f t="shared" si="131"/>
        <v>2534</v>
      </c>
      <c r="H97" s="59">
        <f t="shared" si="131"/>
        <v>3289</v>
      </c>
      <c r="I97" s="59">
        <f t="shared" si="131"/>
        <v>2406</v>
      </c>
      <c r="J97" s="48">
        <f>I97*(1+J98)</f>
        <v>1760.0595925813316</v>
      </c>
      <c r="K97" s="48">
        <f t="shared" ref="K97:N97" si="132">J97*(1+K98)</f>
        <v>1287.5352325176905</v>
      </c>
      <c r="L97" s="48">
        <f t="shared" si="132"/>
        <v>941.8697991600983</v>
      </c>
      <c r="M97" s="48">
        <f t="shared" si="132"/>
        <v>689.00539275743279</v>
      </c>
      <c r="N97" s="48">
        <f t="shared" si="132"/>
        <v>504.02766037530654</v>
      </c>
    </row>
    <row r="98" spans="1:14" x14ac:dyDescent="0.2">
      <c r="A98" s="46" t="s">
        <v>128</v>
      </c>
      <c r="B98" t="s">
        <v>193</v>
      </c>
      <c r="C98" s="63">
        <f>C97/B97-1</f>
        <v>0.36669874879692022</v>
      </c>
      <c r="D98" s="63">
        <f t="shared" ref="D98:I98" si="133">D97/C97-1</f>
        <v>9.9295774647887303E-2</v>
      </c>
      <c r="E98" s="63">
        <f t="shared" si="133"/>
        <v>0.19346572709801402</v>
      </c>
      <c r="F98" s="63">
        <f t="shared" si="133"/>
        <v>0.3022007514761138</v>
      </c>
      <c r="G98" s="63">
        <f t="shared" si="133"/>
        <v>4.4517724649629109E-2</v>
      </c>
      <c r="H98" s="63">
        <f t="shared" si="133"/>
        <v>0.29794790844514596</v>
      </c>
      <c r="I98" s="63">
        <f t="shared" si="133"/>
        <v>-0.26847065977500761</v>
      </c>
      <c r="J98" s="67">
        <f>I98</f>
        <v>-0.26847065977500761</v>
      </c>
      <c r="K98" s="67">
        <f t="shared" ref="K98:N98" si="134">J98</f>
        <v>-0.26847065977500761</v>
      </c>
      <c r="L98" s="67">
        <f t="shared" si="134"/>
        <v>-0.26847065977500761</v>
      </c>
      <c r="M98" s="67">
        <f t="shared" si="134"/>
        <v>-0.26847065977500761</v>
      </c>
      <c r="N98" s="67">
        <f t="shared" si="134"/>
        <v>-0.26847065977500761</v>
      </c>
    </row>
    <row r="99" spans="1:14" x14ac:dyDescent="0.2">
      <c r="A99" s="46" t="s">
        <v>130</v>
      </c>
      <c r="B99" s="63">
        <f>B97/B83</f>
        <v>0.33876752526899251</v>
      </c>
      <c r="C99" s="63">
        <f t="shared" ref="C99:I99" si="135">C97/C83</f>
        <v>0.37516512549537651</v>
      </c>
      <c r="D99" s="63">
        <f t="shared" si="135"/>
        <v>0.36842105263157893</v>
      </c>
      <c r="E99" s="63">
        <f t="shared" si="135"/>
        <v>0.36287495130502534</v>
      </c>
      <c r="F99" s="63">
        <f t="shared" si="135"/>
        <v>0.3907860824742268</v>
      </c>
      <c r="G99" s="63">
        <f t="shared" si="135"/>
        <v>0.37939811349004343</v>
      </c>
      <c r="H99" s="63">
        <f t="shared" si="135"/>
        <v>0.39674306393244874</v>
      </c>
      <c r="I99" s="63">
        <f t="shared" si="135"/>
        <v>0.31880217304889358</v>
      </c>
      <c r="J99" s="66">
        <f>AVERAGE(B99:I99)</f>
        <v>0.36636976095582324</v>
      </c>
      <c r="K99" s="66">
        <f t="shared" ref="K99:N99" si="136">AVERAGE(C99:J99)</f>
        <v>0.3698200404166771</v>
      </c>
      <c r="L99" s="66">
        <f t="shared" si="136"/>
        <v>0.36915190478183968</v>
      </c>
      <c r="M99" s="66">
        <f t="shared" si="136"/>
        <v>0.36924326130062224</v>
      </c>
      <c r="N99" s="66">
        <f t="shared" si="136"/>
        <v>0.37003930005007191</v>
      </c>
    </row>
    <row r="100" spans="1:14" x14ac:dyDescent="0.2">
      <c r="A100" s="9" t="s">
        <v>131</v>
      </c>
      <c r="B100">
        <f>Historicals!B203</f>
        <v>46</v>
      </c>
      <c r="C100">
        <f>Historicals!C203</f>
        <v>48</v>
      </c>
      <c r="D100">
        <f>Historicals!D203</f>
        <v>54</v>
      </c>
      <c r="E100">
        <f>Historicals!E203</f>
        <v>56</v>
      </c>
      <c r="F100">
        <f>Historicals!F203</f>
        <v>50</v>
      </c>
      <c r="G100">
        <f>Historicals!G203</f>
        <v>44</v>
      </c>
      <c r="H100">
        <f>Historicals!H203</f>
        <v>46</v>
      </c>
      <c r="I100">
        <f>Historicals!I203</f>
        <v>41</v>
      </c>
      <c r="J100" s="48">
        <f>I100*(1+J101)</f>
        <v>40.502912099402785</v>
      </c>
      <c r="K100" s="48">
        <f t="shared" ref="K100:N100" si="137">J100*(1+K101)</f>
        <v>39.690128462970179</v>
      </c>
      <c r="L100" s="48">
        <f t="shared" si="137"/>
        <v>38.071121000501257</v>
      </c>
      <c r="M100" s="48">
        <f t="shared" si="137"/>
        <v>36.094867953974763</v>
      </c>
      <c r="N100" s="48">
        <f t="shared" si="137"/>
        <v>34.506007017977296</v>
      </c>
    </row>
    <row r="101" spans="1:14" x14ac:dyDescent="0.2">
      <c r="A101" s="46" t="s">
        <v>128</v>
      </c>
      <c r="B101" t="s">
        <v>193</v>
      </c>
      <c r="C101" s="63">
        <f>C100/B100-1</f>
        <v>4.3478260869565188E-2</v>
      </c>
      <c r="D101" s="63">
        <f t="shared" ref="D101:I101" si="138">D100/C100-1</f>
        <v>0.125</v>
      </c>
      <c r="E101" s="63">
        <f t="shared" si="138"/>
        <v>3.7037037037036979E-2</v>
      </c>
      <c r="F101" s="63">
        <f t="shared" si="138"/>
        <v>-0.1071428571428571</v>
      </c>
      <c r="G101" s="63">
        <f t="shared" si="138"/>
        <v>-0.12</v>
      </c>
      <c r="H101" s="63">
        <f t="shared" si="138"/>
        <v>4.5454545454545414E-2</v>
      </c>
      <c r="I101" s="63">
        <f t="shared" si="138"/>
        <v>-0.10869565217391308</v>
      </c>
      <c r="J101" s="67">
        <f>AVERAGE(C101:I101)</f>
        <v>-1.2124095136517512E-2</v>
      </c>
      <c r="K101" s="67">
        <f t="shared" ref="K101:N101" si="139">AVERAGE(D101:J101)</f>
        <v>-2.0067288851672187E-2</v>
      </c>
      <c r="L101" s="67">
        <f t="shared" si="139"/>
        <v>-4.0791187259053931E-2</v>
      </c>
      <c r="M101" s="67">
        <f t="shared" si="139"/>
        <v>-5.1909505015638346E-2</v>
      </c>
      <c r="N101" s="67">
        <f t="shared" si="139"/>
        <v>-4.4019026140321382E-2</v>
      </c>
    </row>
    <row r="102" spans="1:14" x14ac:dyDescent="0.2">
      <c r="A102" s="46" t="s">
        <v>132</v>
      </c>
      <c r="B102" s="63">
        <f>B100/B83</f>
        <v>1.4998369742419302E-2</v>
      </c>
      <c r="C102" s="63">
        <f t="shared" ref="C102:I102" si="140">C100/C83</f>
        <v>1.2681638044914135E-2</v>
      </c>
      <c r="D102" s="63">
        <f t="shared" si="140"/>
        <v>1.2744866650932263E-2</v>
      </c>
      <c r="E102" s="63">
        <f t="shared" si="140"/>
        <v>1.090767432800935E-2</v>
      </c>
      <c r="F102" s="63">
        <f t="shared" si="140"/>
        <v>8.0541237113402053E-3</v>
      </c>
      <c r="G102" s="63">
        <f t="shared" si="140"/>
        <v>6.5878125467884411E-3</v>
      </c>
      <c r="H102" s="63">
        <f t="shared" si="140"/>
        <v>5.5488540410132689E-3</v>
      </c>
      <c r="I102" s="63">
        <f t="shared" si="140"/>
        <v>5.4326222340002651E-3</v>
      </c>
      <c r="J102" s="63">
        <f>AVERAGE(B102:I102)</f>
        <v>9.6194951624271538E-3</v>
      </c>
      <c r="K102" s="63">
        <f t="shared" ref="K102:N103" si="141">AVERAGE(C102:J102)</f>
        <v>8.9471358399281359E-3</v>
      </c>
      <c r="L102" s="63">
        <f t="shared" si="141"/>
        <v>8.4803230643048857E-3</v>
      </c>
      <c r="M102" s="63">
        <f t="shared" si="141"/>
        <v>7.9472551159764631E-3</v>
      </c>
      <c r="N102" s="63">
        <f t="shared" si="141"/>
        <v>7.5772027144723527E-3</v>
      </c>
    </row>
    <row r="103" spans="1:14" x14ac:dyDescent="0.2">
      <c r="A103" s="46" t="s">
        <v>139</v>
      </c>
      <c r="B103" s="63">
        <f>B100/B110</f>
        <v>0.18110236220472442</v>
      </c>
      <c r="C103" s="63">
        <f t="shared" ref="C103:I103" si="142">C100/C110</f>
        <v>0.20512820512820512</v>
      </c>
      <c r="D103" s="63">
        <f t="shared" si="142"/>
        <v>0.24</v>
      </c>
      <c r="E103" s="63">
        <f t="shared" si="142"/>
        <v>0.21875</v>
      </c>
      <c r="F103" s="63">
        <f t="shared" si="142"/>
        <v>0.2109704641350211</v>
      </c>
      <c r="G103" s="63">
        <f t="shared" si="142"/>
        <v>0.20560747663551401</v>
      </c>
      <c r="H103" s="63">
        <f t="shared" si="142"/>
        <v>0.15972222222222221</v>
      </c>
      <c r="I103" s="63">
        <f t="shared" si="142"/>
        <v>0.13531353135313531</v>
      </c>
      <c r="J103" s="63">
        <f>AVERAGE(B103:I103)</f>
        <v>0.19457428270985277</v>
      </c>
      <c r="K103" s="63">
        <f t="shared" si="141"/>
        <v>0.19625827277299379</v>
      </c>
      <c r="L103" s="63">
        <f t="shared" si="141"/>
        <v>0.19514953122859241</v>
      </c>
      <c r="M103" s="63">
        <f t="shared" si="141"/>
        <v>0.18954322263216644</v>
      </c>
      <c r="N103" s="63">
        <f t="shared" si="141"/>
        <v>0.18589237546118725</v>
      </c>
    </row>
    <row r="104" spans="1:14" x14ac:dyDescent="0.2">
      <c r="A104" s="9" t="s">
        <v>133</v>
      </c>
      <c r="B104">
        <v>993</v>
      </c>
      <c r="C104">
        <v>1372</v>
      </c>
      <c r="D104">
        <v>1507</v>
      </c>
      <c r="E104">
        <v>1807</v>
      </c>
      <c r="F104">
        <v>2376</v>
      </c>
      <c r="G104">
        <v>2490</v>
      </c>
      <c r="H104">
        <v>3243</v>
      </c>
      <c r="I104">
        <v>2365</v>
      </c>
      <c r="J104" s="59">
        <f>I104*(1+J105)</f>
        <v>2524.6374999999998</v>
      </c>
      <c r="K104" s="59">
        <f t="shared" ref="K104:N104" si="143">J104*(1+K105)</f>
        <v>2695.0505312499995</v>
      </c>
      <c r="L104" s="59">
        <f t="shared" si="143"/>
        <v>2876.9664421093744</v>
      </c>
      <c r="M104" s="59">
        <f t="shared" si="143"/>
        <v>3071.1616769517568</v>
      </c>
      <c r="N104" s="59">
        <f t="shared" si="143"/>
        <v>3278.465090146</v>
      </c>
    </row>
    <row r="105" spans="1:14" x14ac:dyDescent="0.2">
      <c r="A105" s="46" t="s">
        <v>128</v>
      </c>
      <c r="B105" t="s">
        <v>193</v>
      </c>
      <c r="C105" s="63">
        <f>C104/B104-1</f>
        <v>0.38167170191339372</v>
      </c>
      <c r="D105" s="63">
        <f t="shared" ref="D105:I105" si="144">D104/C104-1</f>
        <v>9.8396501457725938E-2</v>
      </c>
      <c r="E105" s="63">
        <f t="shared" si="144"/>
        <v>0.19907100199071004</v>
      </c>
      <c r="F105" s="63">
        <f t="shared" si="144"/>
        <v>0.31488655229662421</v>
      </c>
      <c r="G105" s="63">
        <f t="shared" si="144"/>
        <v>4.7979797979798011E-2</v>
      </c>
      <c r="H105" s="63">
        <f t="shared" si="144"/>
        <v>0.30240963855421676</v>
      </c>
      <c r="I105" s="63">
        <f t="shared" si="144"/>
        <v>-0.27073697193956214</v>
      </c>
      <c r="J105" s="47">
        <v>6.7500000000000004E-2</v>
      </c>
      <c r="K105" s="47">
        <v>6.7500000000000004E-2</v>
      </c>
      <c r="L105" s="47">
        <v>6.7500000000000004E-2</v>
      </c>
      <c r="M105" s="47">
        <v>6.7500000000000004E-2</v>
      </c>
      <c r="N105" s="47">
        <v>6.7500000000000004E-2</v>
      </c>
    </row>
    <row r="106" spans="1:14" x14ac:dyDescent="0.2">
      <c r="A106" s="46" t="s">
        <v>130</v>
      </c>
      <c r="B106" s="63">
        <f>B104/B83</f>
        <v>0.3237691555265732</v>
      </c>
      <c r="C106" s="63">
        <f t="shared" ref="C106:I106" si="145">C104/C83</f>
        <v>0.36248348745046233</v>
      </c>
      <c r="D106" s="63">
        <f t="shared" si="145"/>
        <v>0.35567618598064671</v>
      </c>
      <c r="E106" s="63">
        <f t="shared" si="145"/>
        <v>0.35196727697701596</v>
      </c>
      <c r="F106" s="63">
        <f t="shared" si="145"/>
        <v>0.38273195876288657</v>
      </c>
      <c r="G106" s="63">
        <f t="shared" si="145"/>
        <v>0.37281030094325496</v>
      </c>
      <c r="H106" s="63">
        <f t="shared" si="145"/>
        <v>0.39119420989143544</v>
      </c>
      <c r="I106" s="63">
        <f t="shared" si="145"/>
        <v>0.31336955081489332</v>
      </c>
      <c r="J106" s="63">
        <f>I106</f>
        <v>0.31336955081489332</v>
      </c>
      <c r="K106" s="63">
        <f t="shared" ref="K106:N106" si="146">J106</f>
        <v>0.31336955081489332</v>
      </c>
      <c r="L106" s="63">
        <f t="shared" si="146"/>
        <v>0.31336955081489332</v>
      </c>
      <c r="M106" s="63">
        <f t="shared" si="146"/>
        <v>0.31336955081489332</v>
      </c>
      <c r="N106" s="63">
        <f t="shared" si="146"/>
        <v>0.31336955081489332</v>
      </c>
    </row>
    <row r="107" spans="1:14" x14ac:dyDescent="0.2">
      <c r="A107" s="9" t="s">
        <v>134</v>
      </c>
      <c r="B107">
        <f>Historicals!B188</f>
        <v>0</v>
      </c>
      <c r="C107">
        <f>Historicals!C188</f>
        <v>0</v>
      </c>
      <c r="D107">
        <f>Historicals!D188</f>
        <v>0</v>
      </c>
      <c r="E107">
        <f>Historicals!E188</f>
        <v>76</v>
      </c>
      <c r="F107">
        <f>Historicals!F188</f>
        <v>49</v>
      </c>
      <c r="G107">
        <f>Historicals!G188</f>
        <v>28</v>
      </c>
      <c r="H107">
        <f>Historicals!H188</f>
        <v>94</v>
      </c>
      <c r="I107">
        <f>Historicals!I188</f>
        <v>78</v>
      </c>
      <c r="J107" s="69">
        <f>I107*(1+J108)</f>
        <v>64.723404255319153</v>
      </c>
      <c r="K107" s="69">
        <f t="shared" ref="K107:N107" si="147">J107*(1+K108)</f>
        <v>53.706654594839293</v>
      </c>
      <c r="L107" s="69">
        <f t="shared" si="147"/>
        <v>44.565096365930479</v>
      </c>
      <c r="M107" s="69">
        <f t="shared" si="147"/>
        <v>36.979548048325292</v>
      </c>
      <c r="N107" s="69">
        <f t="shared" si="147"/>
        <v>30.68515689116354</v>
      </c>
    </row>
    <row r="108" spans="1:14" x14ac:dyDescent="0.2">
      <c r="A108" s="46" t="s">
        <v>128</v>
      </c>
      <c r="E108" t="s">
        <v>193</v>
      </c>
      <c r="F108" s="63">
        <f>F107/E107-1</f>
        <v>-0.35526315789473684</v>
      </c>
      <c r="G108" s="63">
        <f t="shared" ref="G108:I108" si="148">G107/F107-1</f>
        <v>-0.4285714285714286</v>
      </c>
      <c r="H108" s="63">
        <f t="shared" si="148"/>
        <v>2.3571428571428572</v>
      </c>
      <c r="I108" s="63">
        <f t="shared" si="148"/>
        <v>-0.17021276595744683</v>
      </c>
      <c r="J108" s="67">
        <f>I108</f>
        <v>-0.17021276595744683</v>
      </c>
      <c r="K108" s="67">
        <f t="shared" ref="K108:N108" si="149">J108</f>
        <v>-0.17021276595744683</v>
      </c>
      <c r="L108" s="67">
        <f t="shared" si="149"/>
        <v>-0.17021276595744683</v>
      </c>
      <c r="M108" s="67">
        <f t="shared" si="149"/>
        <v>-0.17021276595744683</v>
      </c>
      <c r="N108" s="67">
        <f t="shared" si="149"/>
        <v>-0.17021276595744683</v>
      </c>
    </row>
    <row r="109" spans="1:14" x14ac:dyDescent="0.2">
      <c r="A109" s="46" t="s">
        <v>132</v>
      </c>
      <c r="E109" s="63">
        <f>E107/E83</f>
        <v>1.4803272302298403E-2</v>
      </c>
      <c r="F109" s="63">
        <f t="shared" ref="F109:H109" si="150">F107/F83</f>
        <v>7.8930412371134018E-3</v>
      </c>
      <c r="G109" s="63">
        <f t="shared" si="150"/>
        <v>4.1922443479562805E-3</v>
      </c>
      <c r="H109" s="63">
        <f t="shared" si="150"/>
        <v>1.1338962605548853E-2</v>
      </c>
      <c r="I109" s="63">
        <f>I107/I83</f>
        <v>1.0335232542732211E-2</v>
      </c>
      <c r="J109" s="63">
        <f t="shared" ref="J109:N109" si="151">J107/J83</f>
        <v>8.1676609760193766E-3</v>
      </c>
      <c r="K109" s="63">
        <f t="shared" si="151"/>
        <v>6.4546864856080176E-3</v>
      </c>
      <c r="L109" s="63">
        <f t="shared" si="151"/>
        <v>5.1009680433376434E-3</v>
      </c>
      <c r="M109" s="63">
        <f t="shared" si="151"/>
        <v>4.0311601558291402E-3</v>
      </c>
      <c r="N109" s="63">
        <f t="shared" si="151"/>
        <v>3.1857192720838186E-3</v>
      </c>
    </row>
    <row r="110" spans="1:14" x14ac:dyDescent="0.2">
      <c r="A110" s="46" t="s">
        <v>140</v>
      </c>
      <c r="B110">
        <v>254</v>
      </c>
      <c r="C110">
        <v>234</v>
      </c>
      <c r="D110">
        <v>225</v>
      </c>
      <c r="E110">
        <v>256</v>
      </c>
      <c r="F110">
        <v>237</v>
      </c>
      <c r="G110">
        <v>214</v>
      </c>
      <c r="H110">
        <v>288</v>
      </c>
      <c r="I110">
        <v>303</v>
      </c>
      <c r="J110" s="69">
        <f>I110*(1+J111)</f>
        <v>318.78125</v>
      </c>
      <c r="K110" s="69">
        <f t="shared" ref="K110:N110" si="152">J110*(1+K111)</f>
        <v>335.38444010416663</v>
      </c>
      <c r="L110" s="69">
        <f t="shared" si="152"/>
        <v>352.8523796929253</v>
      </c>
      <c r="M110" s="69">
        <f t="shared" si="152"/>
        <v>371.23010780193181</v>
      </c>
      <c r="N110" s="69">
        <f t="shared" si="152"/>
        <v>390.56500924994907</v>
      </c>
    </row>
    <row r="111" spans="1:14" x14ac:dyDescent="0.2">
      <c r="A111" s="46" t="s">
        <v>128</v>
      </c>
      <c r="B111" t="s">
        <v>193</v>
      </c>
      <c r="C111" s="63">
        <f>C110/B110-1</f>
        <v>-7.8740157480314932E-2</v>
      </c>
      <c r="D111" s="63">
        <f t="shared" ref="D111:I111" si="153">D110/C110-1</f>
        <v>-3.8461538461538436E-2</v>
      </c>
      <c r="E111" s="63">
        <f t="shared" si="153"/>
        <v>0.13777777777777778</v>
      </c>
      <c r="F111" s="63">
        <f t="shared" si="153"/>
        <v>-7.421875E-2</v>
      </c>
      <c r="G111" s="63">
        <f t="shared" si="153"/>
        <v>-9.7046413502109741E-2</v>
      </c>
      <c r="H111" s="63">
        <f t="shared" si="153"/>
        <v>0.34579439252336441</v>
      </c>
      <c r="I111" s="63">
        <f t="shared" si="153"/>
        <v>5.2083333333333259E-2</v>
      </c>
      <c r="J111" s="47">
        <f>I111</f>
        <v>5.2083333333333259E-2</v>
      </c>
      <c r="K111" s="47">
        <f t="shared" ref="K111:N111" si="154">J111</f>
        <v>5.2083333333333259E-2</v>
      </c>
      <c r="L111" s="47">
        <f t="shared" si="154"/>
        <v>5.2083333333333259E-2</v>
      </c>
      <c r="M111" s="47">
        <f t="shared" si="154"/>
        <v>5.2083333333333259E-2</v>
      </c>
      <c r="N111" s="47">
        <f t="shared" si="154"/>
        <v>5.2083333333333259E-2</v>
      </c>
    </row>
    <row r="112" spans="1:14" x14ac:dyDescent="0.2">
      <c r="A112" s="46" t="s">
        <v>132</v>
      </c>
      <c r="B112" s="63">
        <f>B110/B83</f>
        <v>8.2817085099445714E-2</v>
      </c>
      <c r="C112" s="63">
        <f t="shared" ref="C112:N112" si="155">C110/C83</f>
        <v>6.1822985468956405E-2</v>
      </c>
      <c r="D112" s="63">
        <f t="shared" si="155"/>
        <v>5.31036110455511E-2</v>
      </c>
      <c r="E112" s="63">
        <f t="shared" si="155"/>
        <v>4.9863654070899883E-2</v>
      </c>
      <c r="F112" s="63">
        <f t="shared" si="155"/>
        <v>3.817654639175258E-2</v>
      </c>
      <c r="G112" s="63">
        <f t="shared" si="155"/>
        <v>3.2040724659380147E-2</v>
      </c>
      <c r="H112" s="63">
        <f t="shared" si="155"/>
        <v>3.4740651387213509E-2</v>
      </c>
      <c r="I112" s="63">
        <f t="shared" si="155"/>
        <v>4.0148403339075128E-2</v>
      </c>
      <c r="J112" s="63">
        <f t="shared" si="155"/>
        <v>4.0228062869509799E-2</v>
      </c>
      <c r="K112" s="63">
        <f t="shared" si="155"/>
        <v>4.0307880454568346E-2</v>
      </c>
      <c r="L112" s="63">
        <f t="shared" si="155"/>
        <v>4.0387856407851218E-2</v>
      </c>
      <c r="M112" s="63">
        <f t="shared" si="155"/>
        <v>4.0467991043581078E-2</v>
      </c>
      <c r="N112" s="63">
        <f t="shared" si="155"/>
        <v>4.0548284676604048E-2</v>
      </c>
    </row>
    <row r="113" spans="1:14" x14ac:dyDescent="0.2">
      <c r="A113" s="43" t="s">
        <v>195</v>
      </c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</row>
    <row r="114" spans="1:14" x14ac:dyDescent="0.2">
      <c r="A114" s="9" t="s">
        <v>135</v>
      </c>
      <c r="E114">
        <v>5166</v>
      </c>
      <c r="F114">
        <v>5254</v>
      </c>
      <c r="G114">
        <v>5028</v>
      </c>
      <c r="H114">
        <v>5343</v>
      </c>
      <c r="I114">
        <v>5955</v>
      </c>
      <c r="J114" s="69">
        <f>I114*(1+J115)</f>
        <v>7012.0124999999998</v>
      </c>
      <c r="K114" s="69">
        <f t="shared" ref="K114:N114" si="156">J114*(1+K115)</f>
        <v>7472.9978621256641</v>
      </c>
      <c r="L114" s="69">
        <f t="shared" si="156"/>
        <v>8037.088054639471</v>
      </c>
      <c r="M114" s="69">
        <f t="shared" si="156"/>
        <v>8834.2347043412465</v>
      </c>
      <c r="N114" s="69">
        <f t="shared" si="156"/>
        <v>9774.99576777334</v>
      </c>
    </row>
    <row r="115" spans="1:14" x14ac:dyDescent="0.2">
      <c r="A115" s="44" t="s">
        <v>128</v>
      </c>
      <c r="E115" t="s">
        <v>193</v>
      </c>
      <c r="F115" s="63">
        <f>F114/E114-1</f>
        <v>1.7034456058846237E-2</v>
      </c>
      <c r="G115" s="63">
        <f t="shared" ref="G115:I115" si="157">G114/F114-1</f>
        <v>-4.3014845831747195E-2</v>
      </c>
      <c r="H115" s="63">
        <f t="shared" si="157"/>
        <v>6.2649164677804237E-2</v>
      </c>
      <c r="I115" s="63">
        <f t="shared" si="157"/>
        <v>0.11454239191465465</v>
      </c>
      <c r="J115" s="62">
        <v>0.17749999999999999</v>
      </c>
      <c r="K115" s="62">
        <f>AVERAGE(F115:J115)</f>
        <v>6.5742233363911579E-2</v>
      </c>
      <c r="L115" s="62">
        <f t="shared" ref="L115:N115" si="158">AVERAGE(G115:K115)</f>
        <v>7.5483788824924652E-2</v>
      </c>
      <c r="M115" s="62">
        <f t="shared" si="158"/>
        <v>9.9183515756259027E-2</v>
      </c>
      <c r="N115" s="62">
        <f t="shared" si="158"/>
        <v>0.10649038597195</v>
      </c>
    </row>
    <row r="116" spans="1:14" x14ac:dyDescent="0.2">
      <c r="A116" s="45" t="s">
        <v>112</v>
      </c>
      <c r="E116">
        <v>3575</v>
      </c>
      <c r="F116">
        <v>3622</v>
      </c>
      <c r="G116">
        <v>3449</v>
      </c>
      <c r="H116">
        <v>3659</v>
      </c>
      <c r="I116">
        <v>4111</v>
      </c>
      <c r="J116" s="69">
        <f>I116*(1+J117)</f>
        <v>4618.8360207707019</v>
      </c>
      <c r="K116" s="69">
        <f t="shared" ref="K116:N116" si="159">J116*(1+K117)</f>
        <v>5189.4055428773854</v>
      </c>
      <c r="L116" s="69">
        <f t="shared" si="159"/>
        <v>5830.4580996908799</v>
      </c>
      <c r="M116" s="69">
        <f t="shared" si="159"/>
        <v>6550.7005323392195</v>
      </c>
      <c r="N116" s="69">
        <f t="shared" si="159"/>
        <v>7359.9152469107757</v>
      </c>
    </row>
    <row r="117" spans="1:14" x14ac:dyDescent="0.2">
      <c r="A117" s="46" t="s">
        <v>128</v>
      </c>
      <c r="E117" t="s">
        <v>193</v>
      </c>
      <c r="F117" s="63">
        <f>F116/E116-1</f>
        <v>1.3146853146853044E-2</v>
      </c>
      <c r="G117" s="63">
        <f t="shared" ref="G117:I117" si="160">G116/F116-1</f>
        <v>-4.7763666482606326E-2</v>
      </c>
      <c r="H117" s="63">
        <f t="shared" si="160"/>
        <v>6.0887213685126174E-2</v>
      </c>
      <c r="I117" s="63">
        <f t="shared" si="160"/>
        <v>0.12353101940420874</v>
      </c>
      <c r="J117" s="63">
        <f>I117</f>
        <v>0.12353101940420874</v>
      </c>
      <c r="K117" s="63">
        <f t="shared" ref="K117:N117" si="161">J117</f>
        <v>0.12353101940420874</v>
      </c>
      <c r="L117" s="63">
        <f t="shared" si="161"/>
        <v>0.12353101940420874</v>
      </c>
      <c r="M117" s="63">
        <f t="shared" si="161"/>
        <v>0.12353101940420874</v>
      </c>
      <c r="N117" s="63">
        <f t="shared" si="161"/>
        <v>0.12353101940420874</v>
      </c>
    </row>
    <row r="118" spans="1:14" x14ac:dyDescent="0.2">
      <c r="A118" s="44" t="s">
        <v>136</v>
      </c>
      <c r="E118" s="63">
        <v>0.09</v>
      </c>
      <c r="F118" s="63">
        <v>0.01</v>
      </c>
      <c r="G118" s="63">
        <v>-0.05</v>
      </c>
      <c r="H118" s="63">
        <v>0.06</v>
      </c>
      <c r="I118" s="63">
        <v>0.17</v>
      </c>
      <c r="J118" s="63">
        <v>0.17</v>
      </c>
      <c r="K118" s="63">
        <v>0.17</v>
      </c>
      <c r="L118" s="63">
        <v>0.17</v>
      </c>
      <c r="M118" s="63">
        <v>0.17</v>
      </c>
      <c r="N118" s="63">
        <v>0.17</v>
      </c>
    </row>
    <row r="119" spans="1:14" x14ac:dyDescent="0.2">
      <c r="A119" s="44" t="s">
        <v>137</v>
      </c>
      <c r="E119" t="s">
        <v>193</v>
      </c>
      <c r="F119" s="63">
        <f>F117-F118</f>
        <v>3.1468531468530434E-3</v>
      </c>
      <c r="G119" s="63">
        <f t="shared" ref="G119:I119" si="162">G117-G118</f>
        <v>2.2363335173936766E-3</v>
      </c>
      <c r="H119" s="63">
        <f t="shared" si="162"/>
        <v>8.8721368512617582E-4</v>
      </c>
      <c r="I119" s="63">
        <f t="shared" si="162"/>
        <v>-4.646898059579127E-2</v>
      </c>
      <c r="J119" s="49">
        <v>0</v>
      </c>
      <c r="K119" s="49">
        <v>0</v>
      </c>
      <c r="L119" s="49">
        <v>0</v>
      </c>
      <c r="M119" s="49">
        <v>0</v>
      </c>
      <c r="N119" s="49">
        <v>0</v>
      </c>
    </row>
    <row r="120" spans="1:14" x14ac:dyDescent="0.2">
      <c r="A120" s="45" t="s">
        <v>113</v>
      </c>
      <c r="E120">
        <v>1347</v>
      </c>
      <c r="F120">
        <v>1395</v>
      </c>
      <c r="G120">
        <v>1365</v>
      </c>
      <c r="H120">
        <v>1494</v>
      </c>
      <c r="I120">
        <v>1610</v>
      </c>
      <c r="J120" s="69">
        <f>I120*(1+J121)</f>
        <v>1735.0066934404285</v>
      </c>
      <c r="K120" s="69">
        <f t="shared" ref="K120:N120" si="163">J120*(1+K121)</f>
        <v>1869.7193952068876</v>
      </c>
      <c r="L120" s="69">
        <f t="shared" si="163"/>
        <v>2014.8917177262981</v>
      </c>
      <c r="M120" s="69">
        <f t="shared" si="163"/>
        <v>2171.3357868402545</v>
      </c>
      <c r="N120" s="69">
        <f t="shared" si="163"/>
        <v>2339.9267850152678</v>
      </c>
    </row>
    <row r="121" spans="1:14" x14ac:dyDescent="0.2">
      <c r="A121" s="44" t="s">
        <v>128</v>
      </c>
      <c r="E121" t="s">
        <v>193</v>
      </c>
      <c r="F121" s="63">
        <f>F120/E120-1</f>
        <v>3.563474387527843E-2</v>
      </c>
      <c r="G121" s="63">
        <f t="shared" ref="G121:I121" si="164">G120/F120-1</f>
        <v>-2.1505376344086002E-2</v>
      </c>
      <c r="H121" s="63">
        <f t="shared" si="164"/>
        <v>9.4505494505494614E-2</v>
      </c>
      <c r="I121" s="63">
        <f t="shared" si="164"/>
        <v>7.7643908969210251E-2</v>
      </c>
      <c r="J121" s="64">
        <f>I121</f>
        <v>7.7643908969210251E-2</v>
      </c>
      <c r="K121" s="64">
        <f t="shared" ref="K121:N121" si="165">J121</f>
        <v>7.7643908969210251E-2</v>
      </c>
      <c r="L121" s="64">
        <f t="shared" si="165"/>
        <v>7.7643908969210251E-2</v>
      </c>
      <c r="M121" s="64">
        <f t="shared" si="165"/>
        <v>7.7643908969210251E-2</v>
      </c>
      <c r="N121" s="64">
        <f t="shared" si="165"/>
        <v>7.7643908969210251E-2</v>
      </c>
    </row>
    <row r="122" spans="1:14" x14ac:dyDescent="0.2">
      <c r="A122" s="44" t="s">
        <v>136</v>
      </c>
      <c r="E122" s="63">
        <v>0.14000000000000001</v>
      </c>
      <c r="F122" s="63">
        <v>0.04</v>
      </c>
      <c r="G122" s="63">
        <v>-0.02</v>
      </c>
      <c r="H122" s="63">
        <v>0.09</v>
      </c>
      <c r="I122" s="63">
        <v>0.12</v>
      </c>
      <c r="J122" s="65">
        <f>AVERAGE(E122:I122)</f>
        <v>7.3999999999999996E-2</v>
      </c>
      <c r="K122" s="65">
        <f t="shared" ref="K122:N122" si="166">AVERAGE(F122:J122)</f>
        <v>6.08E-2</v>
      </c>
      <c r="L122" s="65">
        <f t="shared" si="166"/>
        <v>6.4960000000000004E-2</v>
      </c>
      <c r="M122" s="65">
        <f t="shared" si="166"/>
        <v>8.1951999999999997E-2</v>
      </c>
      <c r="N122" s="65">
        <f t="shared" si="166"/>
        <v>8.0342400000000008E-2</v>
      </c>
    </row>
    <row r="123" spans="1:14" x14ac:dyDescent="0.2">
      <c r="A123" s="44" t="s">
        <v>137</v>
      </c>
      <c r="E123" t="s">
        <v>193</v>
      </c>
      <c r="F123" s="63">
        <f>F121-F122</f>
        <v>-4.3652561247215713E-3</v>
      </c>
      <c r="G123" s="63">
        <f t="shared" ref="G123:I123" si="167">G121-G122</f>
        <v>-1.505376344086002E-3</v>
      </c>
      <c r="H123" s="63">
        <f t="shared" si="167"/>
        <v>4.5054945054946172E-3</v>
      </c>
      <c r="I123" s="63">
        <f t="shared" si="167"/>
        <v>-4.2356091030789744E-2</v>
      </c>
      <c r="J123" s="65">
        <v>0</v>
      </c>
      <c r="K123" s="65">
        <v>0</v>
      </c>
      <c r="L123" s="65">
        <v>0</v>
      </c>
      <c r="M123" s="65">
        <v>0</v>
      </c>
      <c r="N123" s="65">
        <v>0</v>
      </c>
    </row>
    <row r="124" spans="1:14" x14ac:dyDescent="0.2">
      <c r="A124" s="45" t="s">
        <v>114</v>
      </c>
      <c r="E124">
        <v>244</v>
      </c>
      <c r="F124">
        <v>237</v>
      </c>
      <c r="G124">
        <v>214</v>
      </c>
      <c r="H124">
        <v>190</v>
      </c>
      <c r="I124">
        <v>234</v>
      </c>
      <c r="J124" s="69">
        <f>I124*(1+J125)</f>
        <v>288.18947368421055</v>
      </c>
      <c r="K124" s="69">
        <f t="shared" ref="K124:N124" si="168">J124*(1+K125)</f>
        <v>354.9280886426593</v>
      </c>
      <c r="L124" s="69">
        <f t="shared" si="168"/>
        <v>437.12196180201198</v>
      </c>
      <c r="M124" s="69">
        <f t="shared" si="168"/>
        <v>538.35020558774113</v>
      </c>
      <c r="N124" s="69">
        <f t="shared" si="168"/>
        <v>663.0207795133233</v>
      </c>
    </row>
    <row r="125" spans="1:14" x14ac:dyDescent="0.2">
      <c r="A125" s="44" t="s">
        <v>128</v>
      </c>
      <c r="E125" t="s">
        <v>193</v>
      </c>
      <c r="F125" s="63">
        <f>F124/E124-1</f>
        <v>-2.8688524590163911E-2</v>
      </c>
      <c r="G125" s="63">
        <f t="shared" ref="G125:I125" si="169">G124/F124-1</f>
        <v>-9.7046413502109741E-2</v>
      </c>
      <c r="H125" s="63">
        <f t="shared" si="169"/>
        <v>-0.11214953271028039</v>
      </c>
      <c r="I125" s="63">
        <f t="shared" si="169"/>
        <v>0.23157894736842111</v>
      </c>
      <c r="J125" s="64">
        <f>I125</f>
        <v>0.23157894736842111</v>
      </c>
      <c r="K125" s="64">
        <f t="shared" ref="K125:N125" si="170">J125</f>
        <v>0.23157894736842111</v>
      </c>
      <c r="L125" s="64">
        <f t="shared" si="170"/>
        <v>0.23157894736842111</v>
      </c>
      <c r="M125" s="64">
        <f t="shared" si="170"/>
        <v>0.23157894736842111</v>
      </c>
      <c r="N125" s="64">
        <f t="shared" si="170"/>
        <v>0.23157894736842111</v>
      </c>
    </row>
    <row r="126" spans="1:14" x14ac:dyDescent="0.2">
      <c r="A126" s="44" t="s">
        <v>136</v>
      </c>
      <c r="E126">
        <v>-0.09</v>
      </c>
      <c r="F126">
        <v>-0.03</v>
      </c>
      <c r="G126">
        <v>-0.1</v>
      </c>
      <c r="H126">
        <v>-0.11</v>
      </c>
      <c r="I126">
        <v>0.28000000000000003</v>
      </c>
      <c r="J126" s="65">
        <f>I126*(1+J127)</f>
        <v>0.28000000000000003</v>
      </c>
      <c r="K126" s="65">
        <f t="shared" ref="K126:N126" si="171">J126*(1+K127)</f>
        <v>0.28000000000000003</v>
      </c>
      <c r="L126" s="65">
        <f t="shared" si="171"/>
        <v>0.28000000000000003</v>
      </c>
      <c r="M126" s="65">
        <f t="shared" si="171"/>
        <v>0.28000000000000003</v>
      </c>
      <c r="N126" s="65">
        <f t="shared" si="171"/>
        <v>0.28000000000000003</v>
      </c>
    </row>
    <row r="127" spans="1:14" x14ac:dyDescent="0.2">
      <c r="A127" s="44" t="s">
        <v>137</v>
      </c>
      <c r="E127" t="s">
        <v>193</v>
      </c>
      <c r="F127" s="63">
        <f>F125-F126</f>
        <v>1.3114754098360881E-3</v>
      </c>
      <c r="G127" s="63">
        <f t="shared" ref="G127:I127" si="172">G125-G126</f>
        <v>2.9535864978902648E-3</v>
      </c>
      <c r="H127" s="63">
        <f t="shared" si="172"/>
        <v>-2.1495327102803857E-3</v>
      </c>
      <c r="I127" s="63">
        <f t="shared" si="172"/>
        <v>-4.842105263157892E-2</v>
      </c>
      <c r="J127" s="65">
        <v>0</v>
      </c>
      <c r="K127" s="65">
        <v>0</v>
      </c>
      <c r="L127" s="65">
        <v>0</v>
      </c>
      <c r="M127" s="65">
        <v>0</v>
      </c>
      <c r="N127" s="65">
        <v>0</v>
      </c>
    </row>
    <row r="128" spans="1:14" x14ac:dyDescent="0.2">
      <c r="A128" s="9" t="s">
        <v>129</v>
      </c>
      <c r="E128">
        <f>E131+E135</f>
        <v>1244</v>
      </c>
      <c r="F128">
        <f t="shared" ref="F128:I128" si="173">F131+F135</f>
        <v>1376</v>
      </c>
      <c r="G128">
        <f t="shared" si="173"/>
        <v>1230</v>
      </c>
      <c r="H128">
        <f t="shared" si="173"/>
        <v>1573</v>
      </c>
      <c r="I128">
        <f t="shared" si="173"/>
        <v>1938</v>
      </c>
      <c r="J128" s="48">
        <f>I128*(1+J129)</f>
        <v>2387.6948506039416</v>
      </c>
      <c r="K128" s="48">
        <f t="shared" ref="K128:N128" si="174">J128*(1+K129)</f>
        <v>2941.7372030962738</v>
      </c>
      <c r="L128" s="48">
        <f t="shared" si="174"/>
        <v>3624.3399234587273</v>
      </c>
      <c r="M128" s="48">
        <f t="shared" si="174"/>
        <v>4465.334247719652</v>
      </c>
      <c r="N128" s="48">
        <f t="shared" si="174"/>
        <v>5501.4734723971296</v>
      </c>
    </row>
    <row r="129" spans="1:14" x14ac:dyDescent="0.2">
      <c r="A129" s="46" t="s">
        <v>128</v>
      </c>
      <c r="E129" t="s">
        <v>193</v>
      </c>
      <c r="F129" s="63">
        <f>F128/E128-1</f>
        <v>0.10610932475884249</v>
      </c>
      <c r="G129" s="63">
        <f>G128/F128-1</f>
        <v>-0.10610465116279066</v>
      </c>
      <c r="H129" s="63">
        <f t="shared" ref="H129:I129" si="175">H128/G128-1</f>
        <v>0.27886178861788613</v>
      </c>
      <c r="I129" s="63">
        <f t="shared" si="175"/>
        <v>0.23204068658614108</v>
      </c>
      <c r="J129" s="67">
        <f>I129</f>
        <v>0.23204068658614108</v>
      </c>
      <c r="K129" s="67">
        <f t="shared" ref="K129:N130" si="176">J129</f>
        <v>0.23204068658614108</v>
      </c>
      <c r="L129" s="67">
        <f t="shared" si="176"/>
        <v>0.23204068658614108</v>
      </c>
      <c r="M129" s="67">
        <f t="shared" si="176"/>
        <v>0.23204068658614108</v>
      </c>
      <c r="N129" s="67">
        <f t="shared" si="176"/>
        <v>0.23204068658614108</v>
      </c>
    </row>
    <row r="130" spans="1:14" x14ac:dyDescent="0.2">
      <c r="A130" s="46" t="s">
        <v>130</v>
      </c>
      <c r="E130" s="63">
        <f>E128/E114</f>
        <v>0.2408052651955091</v>
      </c>
      <c r="F130" s="63">
        <f t="shared" ref="F130:I130" si="177">F128/F114</f>
        <v>0.26189569851541683</v>
      </c>
      <c r="G130" s="63">
        <f t="shared" si="177"/>
        <v>0.24463007159904535</v>
      </c>
      <c r="H130" s="63">
        <f t="shared" si="177"/>
        <v>0.2944038929440389</v>
      </c>
      <c r="I130" s="63">
        <f t="shared" si="177"/>
        <v>0.32544080604534004</v>
      </c>
      <c r="J130" s="66">
        <f>I130</f>
        <v>0.32544080604534004</v>
      </c>
      <c r="K130" s="66">
        <f t="shared" si="176"/>
        <v>0.32544080604534004</v>
      </c>
      <c r="L130" s="66">
        <f t="shared" si="176"/>
        <v>0.32544080604534004</v>
      </c>
      <c r="M130" s="66">
        <f t="shared" si="176"/>
        <v>0.32544080604534004</v>
      </c>
      <c r="N130" s="66">
        <f t="shared" si="176"/>
        <v>0.32544080604534004</v>
      </c>
    </row>
    <row r="131" spans="1:14" x14ac:dyDescent="0.2">
      <c r="A131" s="9" t="s">
        <v>131</v>
      </c>
      <c r="B131">
        <f>Historicals!B205</f>
        <v>0</v>
      </c>
      <c r="C131">
        <f>Historicals!C205</f>
        <v>0</v>
      </c>
      <c r="D131">
        <f>Historicals!D205</f>
        <v>0</v>
      </c>
      <c r="E131">
        <f>Historicals!E205</f>
        <v>55</v>
      </c>
      <c r="F131">
        <f>Historicals!F205</f>
        <v>53</v>
      </c>
      <c r="G131">
        <f>Historicals!G205</f>
        <v>46</v>
      </c>
      <c r="H131">
        <f>Historicals!H205</f>
        <v>43</v>
      </c>
      <c r="I131">
        <f>Historicals!I205</f>
        <v>42</v>
      </c>
      <c r="J131" s="48">
        <f>I131*(1+J132)</f>
        <v>42</v>
      </c>
      <c r="K131" s="48">
        <f t="shared" ref="K131:N131" si="178">J131*(1+K132)</f>
        <v>42</v>
      </c>
      <c r="L131" s="48">
        <f t="shared" si="178"/>
        <v>42</v>
      </c>
      <c r="M131" s="48">
        <f t="shared" si="178"/>
        <v>42</v>
      </c>
      <c r="N131" s="48">
        <f t="shared" si="178"/>
        <v>42</v>
      </c>
    </row>
    <row r="132" spans="1:14" x14ac:dyDescent="0.2">
      <c r="A132" s="46" t="s">
        <v>128</v>
      </c>
      <c r="E132" t="s">
        <v>193</v>
      </c>
      <c r="F132" s="63">
        <f>F131/E131-1</f>
        <v>-3.6363636363636376E-2</v>
      </c>
      <c r="G132" s="63">
        <f>G131/F131-1</f>
        <v>-0.13207547169811318</v>
      </c>
      <c r="H132" s="63">
        <f t="shared" ref="H132:I132" si="179">H131/G131-1</f>
        <v>-6.5217391304347783E-2</v>
      </c>
      <c r="I132" s="63">
        <f t="shared" si="179"/>
        <v>-2.3255813953488413E-2</v>
      </c>
      <c r="J132" s="67">
        <v>0</v>
      </c>
      <c r="K132" s="67">
        <v>0</v>
      </c>
      <c r="L132" s="67">
        <v>0</v>
      </c>
      <c r="M132" s="67">
        <v>0</v>
      </c>
      <c r="N132" s="67">
        <v>0</v>
      </c>
    </row>
    <row r="133" spans="1:14" x14ac:dyDescent="0.2">
      <c r="A133" s="46" t="s">
        <v>132</v>
      </c>
      <c r="E133" s="63">
        <f>E131/E114</f>
        <v>1.064653503677894E-2</v>
      </c>
      <c r="F133" s="63">
        <f t="shared" ref="F133:N133" si="180">F131/F114</f>
        <v>1.0087552341073468E-2</v>
      </c>
      <c r="G133" s="63">
        <f t="shared" si="180"/>
        <v>9.148766905330152E-3</v>
      </c>
      <c r="H133" s="63">
        <f t="shared" si="180"/>
        <v>8.0479131574022079E-3</v>
      </c>
      <c r="I133" s="63">
        <f t="shared" si="180"/>
        <v>7.0528967254408059E-3</v>
      </c>
      <c r="J133" s="63">
        <f t="shared" si="180"/>
        <v>5.9897212105654409E-3</v>
      </c>
      <c r="K133" s="63">
        <f t="shared" si="180"/>
        <v>5.6202344460531224E-3</v>
      </c>
      <c r="L133" s="63">
        <f t="shared" si="180"/>
        <v>5.2257732793850849E-3</v>
      </c>
      <c r="M133" s="63">
        <f t="shared" si="180"/>
        <v>4.7542318498013988E-3</v>
      </c>
      <c r="N133" s="63">
        <f t="shared" si="180"/>
        <v>4.2966770521239046E-3</v>
      </c>
    </row>
    <row r="134" spans="1:14" x14ac:dyDescent="0.2">
      <c r="A134" s="46" t="s">
        <v>139</v>
      </c>
      <c r="E134" s="63">
        <f>E131/E141</f>
        <v>0.16224188790560473</v>
      </c>
      <c r="F134" s="63">
        <f t="shared" ref="F134:N134" si="181">F131/F141</f>
        <v>0.16257668711656442</v>
      </c>
      <c r="G134" s="63">
        <f t="shared" si="181"/>
        <v>0.1554054054054054</v>
      </c>
      <c r="H134" s="63">
        <f t="shared" si="181"/>
        <v>0.14144736842105263</v>
      </c>
      <c r="I134" s="63">
        <f t="shared" si="181"/>
        <v>0.15328467153284672</v>
      </c>
      <c r="J134" s="63">
        <f t="shared" si="181"/>
        <v>0.16143851973761458</v>
      </c>
      <c r="K134" s="63">
        <f t="shared" si="181"/>
        <v>0.17057219939885229</v>
      </c>
      <c r="L134" s="63">
        <f t="shared" si="181"/>
        <v>0.17840936270400537</v>
      </c>
      <c r="M134" s="63">
        <f t="shared" si="181"/>
        <v>0.19013432568104177</v>
      </c>
      <c r="N134" s="63">
        <f t="shared" si="181"/>
        <v>0.20065091475647462</v>
      </c>
    </row>
    <row r="135" spans="1:14" x14ac:dyDescent="0.2">
      <c r="A135" s="9" t="s">
        <v>133</v>
      </c>
      <c r="E135">
        <v>1189</v>
      </c>
      <c r="F135">
        <v>1323</v>
      </c>
      <c r="G135">
        <v>1184</v>
      </c>
      <c r="H135">
        <v>1530</v>
      </c>
      <c r="I135">
        <v>1896</v>
      </c>
      <c r="J135" s="59">
        <f>I135*(1+J136)</f>
        <v>2114.04</v>
      </c>
      <c r="K135" s="59">
        <f t="shared" ref="K135:N135" si="182">J135*(1+K136)</f>
        <v>2357.1545999999998</v>
      </c>
      <c r="L135" s="59">
        <f t="shared" si="182"/>
        <v>2628.2273789999999</v>
      </c>
      <c r="M135" s="59">
        <f t="shared" si="182"/>
        <v>2930.4735275849998</v>
      </c>
      <c r="N135" s="59">
        <f t="shared" si="182"/>
        <v>3267.4779832572749</v>
      </c>
    </row>
    <row r="136" spans="1:14" x14ac:dyDescent="0.2">
      <c r="A136" s="46" t="s">
        <v>128</v>
      </c>
      <c r="E136" t="s">
        <v>193</v>
      </c>
      <c r="F136" s="63">
        <f>F135/E135-1</f>
        <v>0.11269974768713209</v>
      </c>
      <c r="G136" s="63">
        <f>G135/F135-1</f>
        <v>-0.1050642479213908</v>
      </c>
      <c r="H136" s="63">
        <f t="shared" ref="H136:I136" si="183">H135/G135-1</f>
        <v>0.29222972972972983</v>
      </c>
      <c r="I136" s="63">
        <f t="shared" si="183"/>
        <v>0.23921568627450984</v>
      </c>
      <c r="J136" s="63">
        <v>0.115</v>
      </c>
      <c r="K136" s="63">
        <v>0.115</v>
      </c>
      <c r="L136" s="63">
        <v>0.115</v>
      </c>
      <c r="M136" s="63">
        <v>0.115</v>
      </c>
      <c r="N136" s="63">
        <v>0.115</v>
      </c>
    </row>
    <row r="137" spans="1:14" x14ac:dyDescent="0.2">
      <c r="A137" s="46" t="s">
        <v>130</v>
      </c>
      <c r="E137" s="63">
        <f>E135/E114</f>
        <v>0.23015873015873015</v>
      </c>
      <c r="F137" s="63">
        <f t="shared" ref="F137:N137" si="184">F135/F114</f>
        <v>0.25180814617434338</v>
      </c>
      <c r="G137" s="63">
        <f t="shared" si="184"/>
        <v>0.2354813046937152</v>
      </c>
      <c r="H137" s="63">
        <f t="shared" si="184"/>
        <v>0.28635597978663674</v>
      </c>
      <c r="I137" s="63">
        <f t="shared" si="184"/>
        <v>0.31838790931989924</v>
      </c>
      <c r="J137" s="63">
        <f t="shared" si="184"/>
        <v>0.3014883387615182</v>
      </c>
      <c r="K137" s="63">
        <f t="shared" si="184"/>
        <v>0.31542289232363258</v>
      </c>
      <c r="L137" s="63">
        <f t="shared" si="184"/>
        <v>0.32701239069824989</v>
      </c>
      <c r="M137" s="63">
        <f t="shared" si="184"/>
        <v>0.33171787094867772</v>
      </c>
      <c r="N137" s="63">
        <f t="shared" si="184"/>
        <v>0.33426899211861022</v>
      </c>
    </row>
    <row r="138" spans="1:14" x14ac:dyDescent="0.2">
      <c r="A138" s="9" t="s">
        <v>134</v>
      </c>
      <c r="B138">
        <f>Historicals!B190</f>
        <v>0</v>
      </c>
      <c r="C138">
        <f>Historicals!C190</f>
        <v>0</v>
      </c>
      <c r="D138">
        <f>Historicals!D190</f>
        <v>0</v>
      </c>
      <c r="E138">
        <f>Historicals!E190</f>
        <v>49</v>
      </c>
      <c r="F138">
        <f>Historicals!F190</f>
        <v>47</v>
      </c>
      <c r="G138">
        <f>Historicals!G190</f>
        <v>41</v>
      </c>
      <c r="H138">
        <f>Historicals!H190</f>
        <v>54</v>
      </c>
      <c r="I138">
        <f>Historicals!I190</f>
        <v>56</v>
      </c>
      <c r="J138" s="69">
        <f>I138*(1+J139)</f>
        <v>58.074074074074069</v>
      </c>
      <c r="K138" s="69">
        <f t="shared" ref="K138:N138" si="185">J138*(1+K139)</f>
        <v>60.224965706447179</v>
      </c>
      <c r="L138" s="69">
        <f t="shared" si="185"/>
        <v>62.455519991871142</v>
      </c>
      <c r="M138" s="69">
        <f t="shared" si="185"/>
        <v>64.768687398977477</v>
      </c>
      <c r="N138" s="69">
        <f t="shared" si="185"/>
        <v>67.16752767301368</v>
      </c>
    </row>
    <row r="139" spans="1:14" x14ac:dyDescent="0.2">
      <c r="A139" s="46" t="s">
        <v>128</v>
      </c>
      <c r="E139" t="s">
        <v>193</v>
      </c>
      <c r="F139" s="63">
        <f>F138/E138-1</f>
        <v>-4.081632653061229E-2</v>
      </c>
      <c r="G139" s="63">
        <f>G138/F138-1</f>
        <v>-0.12765957446808507</v>
      </c>
      <c r="H139" s="63">
        <f t="shared" ref="H139:I139" si="186">H138/G138-1</f>
        <v>0.31707317073170738</v>
      </c>
      <c r="I139" s="63">
        <f t="shared" si="186"/>
        <v>3.7037037037036979E-2</v>
      </c>
      <c r="J139" s="67">
        <f>I139</f>
        <v>3.7037037037036979E-2</v>
      </c>
      <c r="K139" s="67">
        <f t="shared" ref="K139:N139" si="187">J139</f>
        <v>3.7037037037036979E-2</v>
      </c>
      <c r="L139" s="67">
        <f t="shared" si="187"/>
        <v>3.7037037037036979E-2</v>
      </c>
      <c r="M139" s="67">
        <f t="shared" si="187"/>
        <v>3.7037037037036979E-2</v>
      </c>
      <c r="N139" s="67">
        <f t="shared" si="187"/>
        <v>3.7037037037036979E-2</v>
      </c>
    </row>
    <row r="140" spans="1:14" x14ac:dyDescent="0.2">
      <c r="A140" s="46" t="s">
        <v>132</v>
      </c>
      <c r="E140" s="63">
        <f>E138/E114</f>
        <v>9.485094850948509E-3</v>
      </c>
      <c r="F140" s="63">
        <f t="shared" ref="F140:N140" si="188">F138/F114</f>
        <v>8.9455652835934533E-3</v>
      </c>
      <c r="G140" s="63">
        <f t="shared" si="188"/>
        <v>8.1543357199681775E-3</v>
      </c>
      <c r="H140" s="63">
        <f t="shared" si="188"/>
        <v>1.0106681639528355E-2</v>
      </c>
      <c r="I140" s="63">
        <f t="shared" si="188"/>
        <v>9.4038623005877411E-3</v>
      </c>
      <c r="J140" s="63">
        <f t="shared" si="188"/>
        <v>8.2820836491769041E-3</v>
      </c>
      <c r="K140" s="63">
        <f t="shared" si="188"/>
        <v>8.0590101613272017E-3</v>
      </c>
      <c r="L140" s="63">
        <f t="shared" si="188"/>
        <v>7.770913988657647E-3</v>
      </c>
      <c r="M140" s="63">
        <f t="shared" si="188"/>
        <v>7.3315561071916491E-3</v>
      </c>
      <c r="N140" s="63">
        <f t="shared" si="188"/>
        <v>6.8713613047746477E-3</v>
      </c>
    </row>
    <row r="141" spans="1:14" x14ac:dyDescent="0.2">
      <c r="A141" s="72" t="s">
        <v>140</v>
      </c>
      <c r="E141">
        <v>339</v>
      </c>
      <c r="F141">
        <v>326</v>
      </c>
      <c r="G141">
        <v>296</v>
      </c>
      <c r="H141">
        <v>304</v>
      </c>
      <c r="I141">
        <v>274</v>
      </c>
      <c r="J141" s="69">
        <f>I141*(1+J142)</f>
        <v>260.16095829088647</v>
      </c>
      <c r="K141" s="69">
        <f t="shared" ref="K141:N141" si="189">J141*(1+K142)</f>
        <v>246.23004304347734</v>
      </c>
      <c r="L141" s="69">
        <f t="shared" si="189"/>
        <v>235.4136541011089</v>
      </c>
      <c r="M141" s="69">
        <f t="shared" si="189"/>
        <v>220.89646280102386</v>
      </c>
      <c r="N141" s="69">
        <f t="shared" si="189"/>
        <v>209.31875666240759</v>
      </c>
    </row>
    <row r="142" spans="1:14" x14ac:dyDescent="0.2">
      <c r="A142" s="46" t="s">
        <v>128</v>
      </c>
      <c r="E142" t="s">
        <v>193</v>
      </c>
      <c r="F142" s="63">
        <f>F141/E141-1</f>
        <v>-3.8348082595870192E-2</v>
      </c>
      <c r="G142" s="63">
        <f t="shared" ref="G142:I142" si="190">G141/F141-1</f>
        <v>-9.2024539877300637E-2</v>
      </c>
      <c r="H142" s="63">
        <f t="shared" si="190"/>
        <v>2.7027027027026973E-2</v>
      </c>
      <c r="I142" s="63">
        <f t="shared" si="190"/>
        <v>-9.8684210526315819E-2</v>
      </c>
      <c r="J142" s="47">
        <f>AVERAGE(F142:I142)</f>
        <v>-5.0507451493114919E-2</v>
      </c>
      <c r="K142" s="47">
        <f t="shared" ref="K142:N142" si="191">AVERAGE(G142:J142)</f>
        <v>-5.35472937174261E-2</v>
      </c>
      <c r="L142" s="47">
        <f t="shared" si="191"/>
        <v>-4.392798217745747E-2</v>
      </c>
      <c r="M142" s="47">
        <f t="shared" si="191"/>
        <v>-6.166673447857858E-2</v>
      </c>
      <c r="N142" s="47">
        <f t="shared" si="191"/>
        <v>-5.2412365466644267E-2</v>
      </c>
    </row>
    <row r="143" spans="1:14" x14ac:dyDescent="0.2">
      <c r="A143" s="46" t="s">
        <v>132</v>
      </c>
      <c r="E143" s="63">
        <f>E141/E114</f>
        <v>6.5621370499419282E-2</v>
      </c>
      <c r="F143" s="63">
        <f t="shared" ref="F143:N143" si="192">F141/F114</f>
        <v>6.2047963456414161E-2</v>
      </c>
      <c r="G143" s="63">
        <f t="shared" si="192"/>
        <v>5.88703261734288E-2</v>
      </c>
      <c r="H143" s="63">
        <f t="shared" si="192"/>
        <v>5.6896874415122589E-2</v>
      </c>
      <c r="I143" s="63">
        <f t="shared" si="192"/>
        <v>4.6011754827875735E-2</v>
      </c>
      <c r="J143" s="63">
        <f t="shared" si="192"/>
        <v>3.7102181191332226E-2</v>
      </c>
      <c r="K143" s="63">
        <f t="shared" si="192"/>
        <v>3.2949299275383197E-2</v>
      </c>
      <c r="L143" s="63">
        <f t="shared" si="192"/>
        <v>2.9290913885808997E-2</v>
      </c>
      <c r="M143" s="63">
        <f t="shared" si="192"/>
        <v>2.500459521326423E-2</v>
      </c>
      <c r="N143" s="63">
        <f t="shared" si="192"/>
        <v>2.1413692817392249E-2</v>
      </c>
    </row>
    <row r="144" spans="1:14" x14ac:dyDescent="0.2">
      <c r="A144" s="43" t="s">
        <v>196</v>
      </c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</row>
    <row r="145" spans="1:14" x14ac:dyDescent="0.2">
      <c r="A145" s="9" t="s">
        <v>135</v>
      </c>
      <c r="B145">
        <v>5705</v>
      </c>
      <c r="C145">
        <v>5884</v>
      </c>
      <c r="D145">
        <v>6211</v>
      </c>
    </row>
    <row r="146" spans="1:14" x14ac:dyDescent="0.2">
      <c r="A146" s="44" t="s">
        <v>128</v>
      </c>
      <c r="B146" t="s">
        <v>193</v>
      </c>
      <c r="C146" s="63">
        <f>C145/B145-1</f>
        <v>3.1375985977212917E-2</v>
      </c>
      <c r="D146" s="63">
        <f>D145/C145-1</f>
        <v>5.5574439157036082E-2</v>
      </c>
      <c r="J146" s="62"/>
      <c r="K146" s="62"/>
      <c r="L146" s="62"/>
      <c r="M146" s="62"/>
      <c r="N146" s="62"/>
    </row>
    <row r="147" spans="1:14" x14ac:dyDescent="0.2">
      <c r="A147" s="45" t="s">
        <v>112</v>
      </c>
      <c r="B147">
        <v>3876</v>
      </c>
      <c r="C147">
        <v>3985</v>
      </c>
      <c r="D147">
        <v>4068</v>
      </c>
    </row>
    <row r="148" spans="1:14" x14ac:dyDescent="0.2">
      <c r="A148" s="46" t="s">
        <v>128</v>
      </c>
      <c r="B148" t="s">
        <v>193</v>
      </c>
      <c r="C148" s="63">
        <f>C147/B147-1</f>
        <v>2.8121775025799822E-2</v>
      </c>
      <c r="D148" s="63">
        <f>D147/C147-1</f>
        <v>2.0828105395232166E-2</v>
      </c>
      <c r="J148" s="64"/>
      <c r="K148" s="64"/>
      <c r="L148" s="64"/>
      <c r="M148" s="64"/>
      <c r="N148" s="64"/>
    </row>
    <row r="149" spans="1:14" x14ac:dyDescent="0.2">
      <c r="A149" s="44" t="s">
        <v>136</v>
      </c>
      <c r="B149" s="63">
        <v>0.17</v>
      </c>
      <c r="C149" s="63">
        <v>0.03</v>
      </c>
      <c r="D149" s="63">
        <v>0.02</v>
      </c>
      <c r="J149" s="49"/>
      <c r="K149" s="49"/>
      <c r="L149" s="49"/>
      <c r="M149" s="49"/>
      <c r="N149" s="49"/>
    </row>
    <row r="150" spans="1:14" x14ac:dyDescent="0.2">
      <c r="A150" s="44" t="s">
        <v>137</v>
      </c>
      <c r="B150" t="s">
        <v>193</v>
      </c>
      <c r="C150" s="63">
        <f>C148-C149</f>
        <v>-1.8782249742001766E-3</v>
      </c>
      <c r="D150" s="63">
        <f>D148-D149</f>
        <v>8.2810539523216556E-4</v>
      </c>
      <c r="J150" s="49"/>
      <c r="K150" s="49"/>
      <c r="L150" s="49"/>
      <c r="M150" s="49"/>
      <c r="N150" s="49"/>
    </row>
    <row r="151" spans="1:14" x14ac:dyDescent="0.2">
      <c r="A151" s="45" t="s">
        <v>113</v>
      </c>
      <c r="B151">
        <v>1552</v>
      </c>
      <c r="C151">
        <v>1628</v>
      </c>
      <c r="D151">
        <v>1868</v>
      </c>
    </row>
    <row r="152" spans="1:14" x14ac:dyDescent="0.2">
      <c r="A152" s="44" t="s">
        <v>128</v>
      </c>
      <c r="B152" t="s">
        <v>193</v>
      </c>
      <c r="C152" s="63">
        <f>C151/B151-1</f>
        <v>4.8969072164948502E-2</v>
      </c>
      <c r="D152" s="63">
        <f>D151/C151-1</f>
        <v>0.14742014742014753</v>
      </c>
      <c r="J152" s="64"/>
      <c r="K152" s="64"/>
      <c r="L152" s="64"/>
      <c r="M152" s="64"/>
      <c r="N152" s="64"/>
    </row>
    <row r="153" spans="1:14" x14ac:dyDescent="0.2">
      <c r="A153" s="44" t="s">
        <v>136</v>
      </c>
      <c r="B153" s="63">
        <v>-7.0000000000000007E-2</v>
      </c>
      <c r="C153" s="63">
        <v>-7.0000000000000007E-2</v>
      </c>
      <c r="D153" s="63">
        <v>0.02</v>
      </c>
      <c r="J153" s="65"/>
      <c r="K153" s="65"/>
      <c r="L153" s="65"/>
      <c r="M153" s="65"/>
      <c r="N153" s="65"/>
    </row>
    <row r="154" spans="1:14" x14ac:dyDescent="0.2">
      <c r="A154" s="44" t="s">
        <v>137</v>
      </c>
      <c r="B154" t="s">
        <v>193</v>
      </c>
      <c r="C154" s="63">
        <f>C152-C153</f>
        <v>0.11896907216494851</v>
      </c>
      <c r="D154" s="63">
        <f>D152-D153</f>
        <v>0.12742014742014754</v>
      </c>
      <c r="J154" s="65"/>
      <c r="K154" s="65"/>
      <c r="L154" s="65"/>
      <c r="M154" s="65"/>
      <c r="N154" s="65"/>
    </row>
    <row r="155" spans="1:14" x14ac:dyDescent="0.2">
      <c r="A155" s="45" t="s">
        <v>114</v>
      </c>
      <c r="B155">
        <v>277</v>
      </c>
      <c r="C155">
        <v>271</v>
      </c>
      <c r="D155">
        <v>275</v>
      </c>
    </row>
    <row r="156" spans="1:14" x14ac:dyDescent="0.2">
      <c r="A156" s="44" t="s">
        <v>128</v>
      </c>
      <c r="B156" t="s">
        <v>193</v>
      </c>
      <c r="C156" s="63">
        <f>C155/B155-1</f>
        <v>-2.166064981949456E-2</v>
      </c>
      <c r="D156" s="63">
        <f>D155/C155-1</f>
        <v>1.4760147601476037E-2</v>
      </c>
      <c r="J156" s="64"/>
      <c r="K156" s="64"/>
      <c r="L156" s="64"/>
      <c r="M156" s="64"/>
      <c r="N156" s="64"/>
    </row>
    <row r="157" spans="1:14" x14ac:dyDescent="0.2">
      <c r="A157" s="44" t="s">
        <v>136</v>
      </c>
      <c r="B157" s="63">
        <v>0.03</v>
      </c>
      <c r="C157" s="63">
        <v>-0.09</v>
      </c>
      <c r="D157" s="63">
        <v>0.03</v>
      </c>
      <c r="J157" s="65"/>
      <c r="K157" s="65"/>
      <c r="L157" s="65"/>
      <c r="M157" s="65"/>
      <c r="N157" s="65"/>
    </row>
    <row r="158" spans="1:14" x14ac:dyDescent="0.2">
      <c r="A158" s="44" t="s">
        <v>137</v>
      </c>
      <c r="B158" t="s">
        <v>193</v>
      </c>
      <c r="C158" s="63">
        <f>C156-C157</f>
        <v>6.8339350180505437E-2</v>
      </c>
      <c r="D158" s="63">
        <f>D156-D157</f>
        <v>-1.5239852398523962E-2</v>
      </c>
      <c r="J158" s="65"/>
      <c r="K158" s="65"/>
      <c r="L158" s="65"/>
      <c r="M158" s="65"/>
      <c r="N158" s="65"/>
    </row>
    <row r="159" spans="1:14" x14ac:dyDescent="0.2">
      <c r="A159" s="9" t="s">
        <v>129</v>
      </c>
      <c r="B159">
        <f>B162+B166</f>
        <v>1350</v>
      </c>
      <c r="C159">
        <f t="shared" ref="C159:D159" si="193">C162+C166</f>
        <v>1506</v>
      </c>
      <c r="D159">
        <f t="shared" si="193"/>
        <v>1294</v>
      </c>
      <c r="J159" s="48"/>
      <c r="K159" s="48"/>
      <c r="L159" s="48"/>
      <c r="M159" s="48"/>
      <c r="N159" s="48"/>
    </row>
    <row r="160" spans="1:14" x14ac:dyDescent="0.2">
      <c r="A160" s="46" t="s">
        <v>128</v>
      </c>
      <c r="B160" t="s">
        <v>193</v>
      </c>
      <c r="C160" s="63">
        <f>C159/B159-1</f>
        <v>0.11555555555555563</v>
      </c>
      <c r="D160" s="63">
        <f>D159/C159-1</f>
        <v>-0.14077025232403717</v>
      </c>
      <c r="J160" s="67"/>
      <c r="K160" s="67"/>
      <c r="L160" s="67"/>
      <c r="M160" s="67"/>
      <c r="N160" s="67"/>
    </row>
    <row r="161" spans="1:14" x14ac:dyDescent="0.2">
      <c r="A161" s="46" t="s">
        <v>130</v>
      </c>
      <c r="B161" s="63">
        <f>B159/B145</f>
        <v>0.23663453111305871</v>
      </c>
      <c r="C161" s="63">
        <f t="shared" ref="C161:D161" si="194">C159/C145</f>
        <v>0.2559483344663494</v>
      </c>
      <c r="D161" s="63">
        <f t="shared" si="194"/>
        <v>0.20834004186121396</v>
      </c>
      <c r="J161" s="66"/>
      <c r="K161" s="66"/>
      <c r="L161" s="66"/>
      <c r="M161" s="66"/>
      <c r="N161" s="66"/>
    </row>
    <row r="162" spans="1:14" x14ac:dyDescent="0.2">
      <c r="A162" s="9" t="s">
        <v>131</v>
      </c>
      <c r="B162">
        <f>Historicals!B200</f>
        <v>75</v>
      </c>
      <c r="C162">
        <f>Historicals!C200</f>
        <v>72</v>
      </c>
      <c r="D162">
        <f>Historicals!D200</f>
        <v>91</v>
      </c>
      <c r="E162">
        <f>Historicals!E200</f>
        <v>0</v>
      </c>
      <c r="F162">
        <f>Historicals!F200</f>
        <v>0</v>
      </c>
      <c r="G162">
        <f>Historicals!G200</f>
        <v>0</v>
      </c>
      <c r="H162">
        <f>Historicals!H200</f>
        <v>0</v>
      </c>
      <c r="I162">
        <f>Historicals!I200</f>
        <v>0</v>
      </c>
      <c r="J162" s="48"/>
      <c r="K162" s="48"/>
      <c r="L162" s="48"/>
      <c r="M162" s="48"/>
      <c r="N162" s="48"/>
    </row>
    <row r="163" spans="1:14" x14ac:dyDescent="0.2">
      <c r="A163" s="46" t="s">
        <v>128</v>
      </c>
      <c r="B163" t="s">
        <v>193</v>
      </c>
      <c r="C163" s="63">
        <f>C162/B162-1</f>
        <v>-4.0000000000000036E-2</v>
      </c>
      <c r="D163" s="63">
        <f>D162/C162-1</f>
        <v>0.26388888888888884</v>
      </c>
      <c r="J163" s="67"/>
      <c r="K163" s="67"/>
      <c r="L163" s="67"/>
      <c r="M163" s="67"/>
      <c r="N163" s="67"/>
    </row>
    <row r="164" spans="1:14" x14ac:dyDescent="0.2">
      <c r="A164" s="46" t="s">
        <v>132</v>
      </c>
      <c r="B164" s="63">
        <f>B162/B145</f>
        <v>1.3146362839614373E-2</v>
      </c>
      <c r="C164" s="63">
        <f t="shared" ref="C164:D164" si="195">C162/C145</f>
        <v>1.2236573759347382E-2</v>
      </c>
      <c r="D164" s="63">
        <f t="shared" si="195"/>
        <v>1.4651424891321848E-2</v>
      </c>
      <c r="J164" s="63"/>
      <c r="K164" s="63"/>
      <c r="L164" s="63"/>
      <c r="M164" s="63"/>
      <c r="N164" s="63"/>
    </row>
    <row r="165" spans="1:14" x14ac:dyDescent="0.2">
      <c r="A165" s="46" t="s">
        <v>139</v>
      </c>
      <c r="B165" s="63">
        <f>B162/B172</f>
        <v>1.5957446808510638</v>
      </c>
      <c r="C165" s="63">
        <f t="shared" ref="C165:D165" si="196">C162/C172</f>
        <v>1.44</v>
      </c>
      <c r="D165" s="63">
        <f t="shared" si="196"/>
        <v>1.8958333333333333</v>
      </c>
      <c r="J165" s="63"/>
      <c r="K165" s="63"/>
      <c r="L165" s="63"/>
      <c r="M165" s="63"/>
      <c r="N165" s="63"/>
    </row>
    <row r="166" spans="1:14" x14ac:dyDescent="0.2">
      <c r="A166" s="9" t="s">
        <v>133</v>
      </c>
      <c r="B166">
        <v>1275</v>
      </c>
      <c r="C166">
        <v>1434</v>
      </c>
      <c r="D166">
        <v>1203</v>
      </c>
      <c r="J166" s="59"/>
      <c r="K166" s="59"/>
      <c r="L166" s="59"/>
      <c r="M166" s="59"/>
      <c r="N166" s="59"/>
    </row>
    <row r="167" spans="1:14" x14ac:dyDescent="0.2">
      <c r="A167" s="46" t="s">
        <v>128</v>
      </c>
      <c r="B167" t="s">
        <v>193</v>
      </c>
      <c r="C167" s="63">
        <f>C166/B166-1</f>
        <v>0.12470588235294122</v>
      </c>
      <c r="D167" s="63">
        <f>D166/C166-1</f>
        <v>-0.16108786610878656</v>
      </c>
      <c r="J167" s="47"/>
      <c r="K167" s="47"/>
      <c r="L167" s="47"/>
      <c r="M167" s="47"/>
      <c r="N167" s="47"/>
    </row>
    <row r="168" spans="1:14" x14ac:dyDescent="0.2">
      <c r="A168" s="46" t="s">
        <v>130</v>
      </c>
      <c r="B168" s="63">
        <f>B166/B145</f>
        <v>0.22348816827344434</v>
      </c>
      <c r="C168" s="63">
        <f t="shared" ref="C168:D168" si="197">C166/C145</f>
        <v>0.24371176070700204</v>
      </c>
      <c r="D168" s="63">
        <f t="shared" si="197"/>
        <v>0.19368861696989212</v>
      </c>
      <c r="J168" s="63"/>
      <c r="K168" s="63"/>
      <c r="L168" s="63"/>
      <c r="M168" s="63"/>
      <c r="N168" s="63"/>
    </row>
    <row r="169" spans="1:14" x14ac:dyDescent="0.2">
      <c r="A169" s="9" t="s">
        <v>134</v>
      </c>
      <c r="B169">
        <f>Historicals!B185</f>
        <v>0</v>
      </c>
      <c r="C169">
        <f>Historicals!C185</f>
        <v>0</v>
      </c>
      <c r="D169">
        <f>Historicals!D185</f>
        <v>0</v>
      </c>
      <c r="E169">
        <f>Historicals!E185</f>
        <v>0</v>
      </c>
      <c r="F169">
        <f>Historicals!F185</f>
        <v>0</v>
      </c>
      <c r="G169">
        <f>Historicals!G185</f>
        <v>0</v>
      </c>
      <c r="H169">
        <f>Historicals!H185</f>
        <v>0</v>
      </c>
      <c r="I169">
        <f>Historicals!I185</f>
        <v>0</v>
      </c>
    </row>
    <row r="170" spans="1:14" x14ac:dyDescent="0.2">
      <c r="A170" s="46" t="s">
        <v>128</v>
      </c>
      <c r="C170" s="63"/>
      <c r="D170" s="63"/>
      <c r="J170" s="67"/>
      <c r="K170" s="67"/>
      <c r="L170" s="67"/>
      <c r="M170" s="67"/>
      <c r="N170" s="67"/>
    </row>
    <row r="171" spans="1:14" x14ac:dyDescent="0.2">
      <c r="A171" s="46" t="s">
        <v>132</v>
      </c>
      <c r="B171" s="63"/>
      <c r="C171" s="63"/>
      <c r="D171" s="63"/>
      <c r="J171" s="63"/>
      <c r="K171" s="63"/>
      <c r="L171" s="63"/>
      <c r="M171" s="63"/>
      <c r="N171" s="63"/>
    </row>
    <row r="172" spans="1:14" x14ac:dyDescent="0.2">
      <c r="A172" s="72" t="s">
        <v>140</v>
      </c>
      <c r="B172">
        <v>47</v>
      </c>
      <c r="C172">
        <v>50</v>
      </c>
      <c r="D172">
        <v>48</v>
      </c>
    </row>
    <row r="173" spans="1:14" x14ac:dyDescent="0.2">
      <c r="A173" s="46" t="s">
        <v>128</v>
      </c>
      <c r="B173" s="63" t="s">
        <v>193</v>
      </c>
      <c r="C173" s="63">
        <f>C172/B172-1</f>
        <v>6.3829787234042534E-2</v>
      </c>
      <c r="D173" s="63">
        <f>D172/C172-1</f>
        <v>-4.0000000000000036E-2</v>
      </c>
      <c r="J173" s="47"/>
      <c r="K173" s="47"/>
      <c r="L173" s="47"/>
      <c r="M173" s="47"/>
      <c r="N173" s="47"/>
    </row>
    <row r="174" spans="1:14" x14ac:dyDescent="0.2">
      <c r="A174" s="46" t="s">
        <v>132</v>
      </c>
      <c r="B174" s="63">
        <f>B172/B145</f>
        <v>8.238387379491674E-3</v>
      </c>
      <c r="C174" s="63">
        <f t="shared" ref="C174:D174" si="198">C172/C145</f>
        <v>8.4976206662134603E-3</v>
      </c>
      <c r="D174" s="63">
        <f t="shared" si="198"/>
        <v>7.7282241184994365E-3</v>
      </c>
      <c r="J174" s="63"/>
      <c r="K174" s="63"/>
      <c r="L174" s="63"/>
      <c r="M174" s="63"/>
      <c r="N174" s="63"/>
    </row>
    <row r="175" spans="1:14" x14ac:dyDescent="0.2">
      <c r="A175" s="43" t="s">
        <v>197</v>
      </c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</row>
    <row r="176" spans="1:14" x14ac:dyDescent="0.2">
      <c r="A176" s="9" t="s">
        <v>135</v>
      </c>
      <c r="B176">
        <v>1421</v>
      </c>
      <c r="C176">
        <v>1431</v>
      </c>
      <c r="D176">
        <v>1487</v>
      </c>
    </row>
    <row r="177" spans="1:14" x14ac:dyDescent="0.2">
      <c r="A177" s="44" t="s">
        <v>128</v>
      </c>
      <c r="B177" t="s">
        <v>193</v>
      </c>
      <c r="C177" s="63">
        <f>C176/B176-1</f>
        <v>7.0372976776917895E-3</v>
      </c>
      <c r="D177" s="63">
        <f>D176/C176-1</f>
        <v>3.9133473095737337E-2</v>
      </c>
      <c r="J177" s="62"/>
      <c r="K177" s="62"/>
      <c r="L177" s="62"/>
      <c r="M177" s="62"/>
      <c r="N177" s="62"/>
    </row>
    <row r="178" spans="1:14" x14ac:dyDescent="0.2">
      <c r="A178" s="45" t="s">
        <v>112</v>
      </c>
      <c r="B178">
        <v>827</v>
      </c>
      <c r="C178">
        <v>882</v>
      </c>
      <c r="D178">
        <v>927</v>
      </c>
    </row>
    <row r="179" spans="1:14" x14ac:dyDescent="0.2">
      <c r="A179" s="46" t="s">
        <v>128</v>
      </c>
      <c r="B179" t="s">
        <v>193</v>
      </c>
      <c r="C179" s="63">
        <f>C178/B178-1</f>
        <v>6.6505441354292705E-2</v>
      </c>
      <c r="D179" s="63">
        <f>D178/C178-1</f>
        <v>5.1020408163265252E-2</v>
      </c>
      <c r="J179" s="64"/>
      <c r="K179" s="64"/>
      <c r="L179" s="64"/>
      <c r="M179" s="64"/>
      <c r="N179" s="64"/>
    </row>
    <row r="180" spans="1:14" x14ac:dyDescent="0.2">
      <c r="A180" s="44" t="s">
        <v>136</v>
      </c>
      <c r="B180" s="63">
        <v>0.08</v>
      </c>
      <c r="C180" s="63">
        <v>7.0000000000000007E-2</v>
      </c>
      <c r="D180" s="63">
        <v>0.05</v>
      </c>
      <c r="J180" s="49"/>
      <c r="K180" s="49"/>
      <c r="L180" s="49"/>
      <c r="M180" s="49"/>
      <c r="N180" s="49"/>
    </row>
    <row r="181" spans="1:14" x14ac:dyDescent="0.2">
      <c r="A181" s="44" t="s">
        <v>137</v>
      </c>
      <c r="B181" t="s">
        <v>193</v>
      </c>
      <c r="C181" s="63">
        <f>C179-C180</f>
        <v>-3.4945586457073019E-3</v>
      </c>
      <c r="D181" s="63">
        <f>D179-D180</f>
        <v>1.020408163265249E-3</v>
      </c>
      <c r="J181" s="49"/>
      <c r="K181" s="49"/>
      <c r="L181" s="49"/>
      <c r="M181" s="49"/>
      <c r="N181" s="49"/>
    </row>
    <row r="182" spans="1:14" x14ac:dyDescent="0.2">
      <c r="A182" s="45" t="s">
        <v>113</v>
      </c>
      <c r="B182">
        <v>499</v>
      </c>
      <c r="C182">
        <v>463</v>
      </c>
      <c r="D182">
        <v>471</v>
      </c>
    </row>
    <row r="183" spans="1:14" x14ac:dyDescent="0.2">
      <c r="A183" s="44" t="s">
        <v>128</v>
      </c>
      <c r="B183" t="s">
        <v>193</v>
      </c>
      <c r="C183" s="63">
        <f>C182/B182-1</f>
        <v>-7.214428857715427E-2</v>
      </c>
      <c r="D183" s="63">
        <f>D182/C182-1</f>
        <v>1.7278617710583255E-2</v>
      </c>
      <c r="J183" s="64"/>
      <c r="K183" s="64"/>
      <c r="L183" s="64"/>
      <c r="M183" s="64"/>
      <c r="N183" s="64"/>
    </row>
    <row r="184" spans="1:14" x14ac:dyDescent="0.2">
      <c r="A184" s="44" t="s">
        <v>136</v>
      </c>
      <c r="B184" s="63">
        <v>-7.0000000000000007E-2</v>
      </c>
      <c r="C184" s="63">
        <v>-7.0000000000000007E-2</v>
      </c>
      <c r="D184" s="63">
        <v>0.02</v>
      </c>
      <c r="J184" s="65"/>
      <c r="K184" s="65"/>
      <c r="L184" s="65"/>
      <c r="M184" s="65"/>
      <c r="N184" s="65"/>
    </row>
    <row r="185" spans="1:14" x14ac:dyDescent="0.2">
      <c r="A185" s="44" t="s">
        <v>137</v>
      </c>
      <c r="B185" t="s">
        <v>193</v>
      </c>
      <c r="C185" s="63">
        <f>C183-C184</f>
        <v>-2.144288577154263E-3</v>
      </c>
      <c r="D185" s="63">
        <f>D183-D184</f>
        <v>-2.7213822894167454E-3</v>
      </c>
      <c r="J185" s="65"/>
      <c r="K185" s="65"/>
      <c r="L185" s="65"/>
      <c r="M185" s="65"/>
      <c r="N185" s="65"/>
    </row>
    <row r="186" spans="1:14" x14ac:dyDescent="0.2">
      <c r="A186" s="45" t="s">
        <v>114</v>
      </c>
      <c r="B186">
        <v>95</v>
      </c>
      <c r="C186">
        <v>86</v>
      </c>
      <c r="D186">
        <v>89</v>
      </c>
    </row>
    <row r="187" spans="1:14" x14ac:dyDescent="0.2">
      <c r="A187" s="44" t="s">
        <v>128</v>
      </c>
      <c r="B187" t="s">
        <v>193</v>
      </c>
      <c r="C187" s="63">
        <f>C186/B186-1</f>
        <v>-9.4736842105263119E-2</v>
      </c>
      <c r="D187" s="63">
        <f>D186/C186-1</f>
        <v>3.488372093023262E-2</v>
      </c>
      <c r="J187" s="64"/>
      <c r="K187" s="64"/>
      <c r="L187" s="64"/>
      <c r="M187" s="64"/>
      <c r="N187" s="64"/>
    </row>
    <row r="188" spans="1:14" x14ac:dyDescent="0.2">
      <c r="A188" s="44" t="s">
        <v>136</v>
      </c>
      <c r="B188" s="63">
        <v>0.03</v>
      </c>
      <c r="C188" s="63">
        <v>-0.09</v>
      </c>
      <c r="D188" s="63">
        <v>0.03</v>
      </c>
      <c r="J188" s="65"/>
      <c r="K188" s="65"/>
      <c r="L188" s="65"/>
      <c r="M188" s="65"/>
      <c r="N188" s="65"/>
    </row>
    <row r="189" spans="1:14" x14ac:dyDescent="0.2">
      <c r="A189" s="44" t="s">
        <v>137</v>
      </c>
      <c r="B189" t="s">
        <v>193</v>
      </c>
      <c r="C189" s="63">
        <f>C187-C188</f>
        <v>-4.7368421052631227E-3</v>
      </c>
      <c r="D189" s="63">
        <f>D187-D188</f>
        <v>4.8837209302326212E-3</v>
      </c>
      <c r="J189" s="65"/>
      <c r="K189" s="65"/>
      <c r="L189" s="65"/>
      <c r="M189" s="65"/>
      <c r="N189" s="65"/>
    </row>
    <row r="190" spans="1:14" x14ac:dyDescent="0.2">
      <c r="A190" s="9" t="s">
        <v>129</v>
      </c>
      <c r="B190">
        <f>B193+B197</f>
        <v>261</v>
      </c>
      <c r="C190">
        <f t="shared" ref="C190:D190" si="199">C193+C197</f>
        <v>301</v>
      </c>
      <c r="D190">
        <f t="shared" si="199"/>
        <v>257</v>
      </c>
      <c r="J190" s="48"/>
      <c r="K190" s="48"/>
      <c r="L190" s="48"/>
      <c r="M190" s="48"/>
      <c r="N190" s="48"/>
    </row>
    <row r="191" spans="1:14" x14ac:dyDescent="0.2">
      <c r="A191" s="46" t="s">
        <v>128</v>
      </c>
      <c r="B191" t="s">
        <v>193</v>
      </c>
      <c r="C191" s="63">
        <f>C190/B190-1</f>
        <v>0.15325670498084287</v>
      </c>
      <c r="D191" s="63">
        <f>D190/C190-1</f>
        <v>-0.14617940199335544</v>
      </c>
      <c r="J191" s="67"/>
      <c r="K191" s="67"/>
      <c r="L191" s="67"/>
      <c r="M191" s="67"/>
      <c r="N191" s="67"/>
    </row>
    <row r="192" spans="1:14" x14ac:dyDescent="0.2">
      <c r="A192" s="46" t="s">
        <v>130</v>
      </c>
      <c r="B192" s="63">
        <f>B190/B176</f>
        <v>0.18367346938775511</v>
      </c>
      <c r="C192" s="63">
        <f t="shared" ref="C192:D192" si="200">C190/C176</f>
        <v>0.21034241788958771</v>
      </c>
      <c r="D192" s="63">
        <f t="shared" si="200"/>
        <v>0.17283120376597175</v>
      </c>
      <c r="J192" s="66"/>
      <c r="K192" s="66"/>
      <c r="L192" s="66"/>
      <c r="M192" s="66"/>
      <c r="N192" s="66"/>
    </row>
    <row r="193" spans="1:14" x14ac:dyDescent="0.2">
      <c r="A193" s="9" t="s">
        <v>131</v>
      </c>
      <c r="B193">
        <f>Historicals!B201</f>
        <v>12</v>
      </c>
      <c r="C193">
        <f>Historicals!C201</f>
        <v>12</v>
      </c>
      <c r="D193">
        <f>Historicals!D201</f>
        <v>13</v>
      </c>
      <c r="E193">
        <f>Historicals!E201</f>
        <v>0</v>
      </c>
      <c r="F193">
        <f>Historicals!F201</f>
        <v>0</v>
      </c>
      <c r="G193">
        <f>Historicals!G201</f>
        <v>0</v>
      </c>
      <c r="H193">
        <f>Historicals!H201</f>
        <v>0</v>
      </c>
      <c r="I193">
        <f>Historicals!I201</f>
        <v>0</v>
      </c>
      <c r="J193" s="48"/>
      <c r="K193" s="48"/>
      <c r="L193" s="48"/>
      <c r="M193" s="48"/>
      <c r="N193" s="48"/>
    </row>
    <row r="194" spans="1:14" x14ac:dyDescent="0.2">
      <c r="A194" s="46" t="s">
        <v>128</v>
      </c>
      <c r="B194" t="s">
        <v>193</v>
      </c>
      <c r="C194" s="63">
        <f>C193/B193-1</f>
        <v>0</v>
      </c>
      <c r="D194" s="63">
        <f>D193/C193-1</f>
        <v>8.3333333333333259E-2</v>
      </c>
      <c r="J194" s="67"/>
      <c r="K194" s="67"/>
      <c r="L194" s="67"/>
      <c r="M194" s="67"/>
      <c r="N194" s="67"/>
    </row>
    <row r="195" spans="1:14" x14ac:dyDescent="0.2">
      <c r="A195" s="46" t="s">
        <v>132</v>
      </c>
      <c r="B195" s="63">
        <f>B193/B176</f>
        <v>8.44475721323012E-3</v>
      </c>
      <c r="C195" s="63">
        <f t="shared" ref="C195:D195" si="201">C193/C176</f>
        <v>8.385744234800839E-3</v>
      </c>
      <c r="D195" s="63">
        <f t="shared" si="201"/>
        <v>8.7424344317417624E-3</v>
      </c>
      <c r="J195" s="63"/>
      <c r="K195" s="63"/>
      <c r="L195" s="63"/>
      <c r="M195" s="63"/>
      <c r="N195" s="63"/>
    </row>
    <row r="196" spans="1:14" x14ac:dyDescent="0.2">
      <c r="A196" s="46" t="s">
        <v>139</v>
      </c>
      <c r="B196" s="63">
        <f>B193/B203</f>
        <v>0.25531914893617019</v>
      </c>
      <c r="C196" s="63">
        <f t="shared" ref="C196:D196" si="202">C193/C203</f>
        <v>0.24</v>
      </c>
      <c r="D196" s="63">
        <f t="shared" si="202"/>
        <v>0.27083333333333331</v>
      </c>
      <c r="J196" s="63"/>
      <c r="K196" s="63"/>
      <c r="L196" s="63"/>
      <c r="M196" s="63"/>
      <c r="N196" s="63"/>
    </row>
    <row r="197" spans="1:14" x14ac:dyDescent="0.2">
      <c r="A197" s="9" t="s">
        <v>133</v>
      </c>
      <c r="B197">
        <v>249</v>
      </c>
      <c r="C197">
        <v>289</v>
      </c>
      <c r="D197">
        <v>244</v>
      </c>
      <c r="J197" s="59"/>
      <c r="K197" s="59"/>
      <c r="L197" s="59"/>
      <c r="M197" s="59"/>
      <c r="N197" s="59"/>
    </row>
    <row r="198" spans="1:14" x14ac:dyDescent="0.2">
      <c r="A198" s="46" t="s">
        <v>128</v>
      </c>
      <c r="B198" t="s">
        <v>193</v>
      </c>
      <c r="C198" s="63">
        <f>C197/B197-1</f>
        <v>0.1606425702811245</v>
      </c>
      <c r="D198" s="63">
        <f>D197/C197-1</f>
        <v>-0.15570934256055369</v>
      </c>
      <c r="J198" s="47"/>
      <c r="K198" s="47"/>
      <c r="L198" s="47"/>
      <c r="M198" s="47"/>
      <c r="N198" s="47"/>
    </row>
    <row r="199" spans="1:14" x14ac:dyDescent="0.2">
      <c r="A199" s="46" t="s">
        <v>130</v>
      </c>
      <c r="B199" s="63">
        <f>B197/B176</f>
        <v>0.17522871217452499</v>
      </c>
      <c r="C199" s="63">
        <f t="shared" ref="C199:D199" si="203">C197/C176</f>
        <v>0.20195667365478687</v>
      </c>
      <c r="D199" s="63">
        <f t="shared" si="203"/>
        <v>0.16408876933423</v>
      </c>
      <c r="J199" s="63"/>
      <c r="K199" s="63"/>
      <c r="L199" s="63"/>
      <c r="M199" s="63"/>
      <c r="N199" s="63"/>
    </row>
    <row r="200" spans="1:14" x14ac:dyDescent="0.2">
      <c r="A200" s="9" t="s">
        <v>134</v>
      </c>
      <c r="B200">
        <f>Historicals!B186</f>
        <v>0</v>
      </c>
      <c r="C200">
        <f>Historicals!C186</f>
        <v>0</v>
      </c>
      <c r="D200">
        <f>Historicals!D186</f>
        <v>0</v>
      </c>
      <c r="E200">
        <f>Historicals!E186</f>
        <v>0</v>
      </c>
      <c r="F200">
        <f>Historicals!F186</f>
        <v>0</v>
      </c>
      <c r="G200">
        <f>Historicals!G186</f>
        <v>0</v>
      </c>
      <c r="H200">
        <f>Historicals!H186</f>
        <v>0</v>
      </c>
      <c r="I200">
        <f>Historicals!I186</f>
        <v>0</v>
      </c>
    </row>
    <row r="201" spans="1:14" x14ac:dyDescent="0.2">
      <c r="A201" s="46" t="s">
        <v>128</v>
      </c>
      <c r="J201" s="67"/>
      <c r="K201" s="67"/>
      <c r="L201" s="67"/>
      <c r="M201" s="67"/>
      <c r="N201" s="67"/>
    </row>
    <row r="202" spans="1:14" x14ac:dyDescent="0.2">
      <c r="A202" s="46" t="s">
        <v>132</v>
      </c>
      <c r="J202" s="63"/>
      <c r="K202" s="63"/>
      <c r="L202" s="63"/>
      <c r="M202" s="63"/>
      <c r="N202" s="63"/>
    </row>
    <row r="203" spans="1:14" x14ac:dyDescent="0.2">
      <c r="A203" s="72" t="s">
        <v>140</v>
      </c>
      <c r="B203">
        <v>47</v>
      </c>
      <c r="C203">
        <v>50</v>
      </c>
      <c r="D203">
        <v>48</v>
      </c>
    </row>
    <row r="204" spans="1:14" x14ac:dyDescent="0.2">
      <c r="A204" s="46" t="s">
        <v>128</v>
      </c>
      <c r="B204" t="s">
        <v>193</v>
      </c>
      <c r="C204" s="63">
        <f>C203/B203-1</f>
        <v>6.3829787234042534E-2</v>
      </c>
      <c r="D204" s="63">
        <f>D203/C203-1</f>
        <v>-4.0000000000000036E-2</v>
      </c>
      <c r="J204" s="47"/>
      <c r="K204" s="47"/>
      <c r="L204" s="47"/>
      <c r="M204" s="47"/>
      <c r="N204" s="47"/>
    </row>
    <row r="205" spans="1:14" x14ac:dyDescent="0.2">
      <c r="A205" s="46" t="s">
        <v>132</v>
      </c>
      <c r="B205" s="63">
        <f>B203/B176</f>
        <v>3.3075299085151305E-2</v>
      </c>
      <c r="C205" s="63">
        <f t="shared" ref="C205:D205" si="204">C203/C176</f>
        <v>3.494060097833683E-2</v>
      </c>
      <c r="D205" s="63">
        <f t="shared" si="204"/>
        <v>3.2279757901815739E-2</v>
      </c>
      <c r="J205" s="63"/>
      <c r="K205" s="63"/>
      <c r="L205" s="63"/>
      <c r="M205" s="63"/>
      <c r="N205" s="63"/>
    </row>
    <row r="206" spans="1:14" x14ac:dyDescent="0.2">
      <c r="A206" s="43" t="s">
        <v>198</v>
      </c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</row>
    <row r="207" spans="1:14" x14ac:dyDescent="0.2">
      <c r="A207" s="9" t="s">
        <v>135</v>
      </c>
      <c r="B207">
        <v>755</v>
      </c>
      <c r="C207">
        <v>869</v>
      </c>
      <c r="D207">
        <v>1014</v>
      </c>
    </row>
    <row r="208" spans="1:14" x14ac:dyDescent="0.2">
      <c r="A208" s="44" t="s">
        <v>128</v>
      </c>
      <c r="B208" t="s">
        <v>193</v>
      </c>
      <c r="C208" s="63">
        <f>C207/B207-1</f>
        <v>0.15099337748344377</v>
      </c>
      <c r="D208" s="63">
        <f>D207/C207-1</f>
        <v>0.16685845799769861</v>
      </c>
      <c r="J208" s="62"/>
      <c r="K208" s="62"/>
      <c r="L208" s="62"/>
      <c r="M208" s="62"/>
      <c r="N208" s="62"/>
    </row>
    <row r="209" spans="1:14" x14ac:dyDescent="0.2">
      <c r="A209" s="45" t="s">
        <v>112</v>
      </c>
      <c r="B209">
        <v>452</v>
      </c>
      <c r="C209">
        <v>570</v>
      </c>
      <c r="D209">
        <v>666</v>
      </c>
    </row>
    <row r="210" spans="1:14" x14ac:dyDescent="0.2">
      <c r="A210" s="46" t="s">
        <v>128</v>
      </c>
      <c r="B210" t="s">
        <v>193</v>
      </c>
      <c r="C210" s="63">
        <f>C209/B209-1</f>
        <v>0.26106194690265494</v>
      </c>
      <c r="D210" s="63">
        <f>D209/C209-1</f>
        <v>0.16842105263157903</v>
      </c>
      <c r="J210" s="64"/>
      <c r="K210" s="64"/>
      <c r="L210" s="64"/>
      <c r="M210" s="64"/>
      <c r="N210" s="64"/>
    </row>
    <row r="211" spans="1:14" x14ac:dyDescent="0.2">
      <c r="A211" s="44" t="s">
        <v>136</v>
      </c>
      <c r="B211" s="63">
        <v>0.11</v>
      </c>
      <c r="C211" s="63">
        <v>0.26</v>
      </c>
      <c r="D211" s="63">
        <v>0.17</v>
      </c>
      <c r="J211" s="49"/>
      <c r="K211" s="49"/>
      <c r="L211" s="49"/>
      <c r="M211" s="49"/>
      <c r="N211" s="49"/>
    </row>
    <row r="212" spans="1:14" x14ac:dyDescent="0.2">
      <c r="A212" s="44" t="s">
        <v>137</v>
      </c>
      <c r="B212" t="s">
        <v>193</v>
      </c>
      <c r="C212" s="63">
        <f>C210-C211</f>
        <v>1.0619469026549311E-3</v>
      </c>
      <c r="D212" s="63">
        <f>D210-D211</f>
        <v>-1.5789473684209854E-3</v>
      </c>
      <c r="J212" s="49"/>
      <c r="K212" s="49"/>
      <c r="L212" s="49"/>
      <c r="M212" s="49"/>
      <c r="N212" s="49"/>
    </row>
    <row r="213" spans="1:14" x14ac:dyDescent="0.2">
      <c r="A213" s="45" t="s">
        <v>113</v>
      </c>
      <c r="B213">
        <v>230</v>
      </c>
      <c r="C213">
        <v>228</v>
      </c>
      <c r="D213">
        <v>275</v>
      </c>
    </row>
    <row r="214" spans="1:14" x14ac:dyDescent="0.2">
      <c r="A214" s="44" t="s">
        <v>128</v>
      </c>
      <c r="B214" t="s">
        <v>193</v>
      </c>
      <c r="C214" s="63">
        <f>C213/B213-1</f>
        <v>-8.6956521739129933E-3</v>
      </c>
      <c r="D214" s="63">
        <f>D213/C213-1</f>
        <v>0.20614035087719307</v>
      </c>
      <c r="J214" s="64"/>
      <c r="K214" s="64"/>
      <c r="L214" s="64"/>
      <c r="M214" s="64"/>
      <c r="N214" s="64"/>
    </row>
    <row r="215" spans="1:14" x14ac:dyDescent="0.2">
      <c r="A215" s="44" t="s">
        <v>136</v>
      </c>
      <c r="B215" s="63">
        <v>-0.17</v>
      </c>
      <c r="C215" s="63">
        <v>-0.01</v>
      </c>
      <c r="D215" s="63">
        <v>0.21</v>
      </c>
      <c r="J215" s="65"/>
      <c r="K215" s="65"/>
      <c r="L215" s="65"/>
      <c r="M215" s="65"/>
      <c r="N215" s="65"/>
    </row>
    <row r="216" spans="1:14" x14ac:dyDescent="0.2">
      <c r="A216" s="44" t="s">
        <v>137</v>
      </c>
      <c r="B216" t="s">
        <v>193</v>
      </c>
      <c r="C216" s="63">
        <f>C214-C215</f>
        <v>1.3043478260870069E-3</v>
      </c>
      <c r="D216" s="63">
        <f>D214-D215</f>
        <v>-3.8596491228069241E-3</v>
      </c>
      <c r="J216" s="65"/>
      <c r="K216" s="65"/>
      <c r="L216" s="65"/>
      <c r="M216" s="65"/>
      <c r="N216" s="65"/>
    </row>
    <row r="217" spans="1:14" x14ac:dyDescent="0.2">
      <c r="A217" s="45" t="s">
        <v>114</v>
      </c>
      <c r="B217">
        <v>73</v>
      </c>
      <c r="C217">
        <v>71</v>
      </c>
      <c r="D217">
        <v>73</v>
      </c>
    </row>
    <row r="218" spans="1:14" x14ac:dyDescent="0.2">
      <c r="A218" s="44" t="s">
        <v>128</v>
      </c>
      <c r="B218" t="s">
        <v>193</v>
      </c>
      <c r="C218" s="63">
        <f>C217/B217-1</f>
        <v>-2.7397260273972601E-2</v>
      </c>
      <c r="D218" s="63">
        <f>D217/C217-1</f>
        <v>2.8169014084507005E-2</v>
      </c>
      <c r="J218" s="64"/>
      <c r="K218" s="64"/>
      <c r="L218" s="64"/>
      <c r="M218" s="64"/>
      <c r="N218" s="64"/>
    </row>
    <row r="219" spans="1:14" x14ac:dyDescent="0.2">
      <c r="A219" s="44" t="s">
        <v>136</v>
      </c>
      <c r="B219" s="63">
        <v>-0.15</v>
      </c>
      <c r="C219" s="63">
        <v>-0.03</v>
      </c>
      <c r="D219" s="63">
        <v>0.03</v>
      </c>
      <c r="J219" s="65"/>
      <c r="K219" s="65"/>
      <c r="L219" s="65"/>
      <c r="M219" s="65"/>
      <c r="N219" s="65"/>
    </row>
    <row r="220" spans="1:14" x14ac:dyDescent="0.2">
      <c r="A220" s="44" t="s">
        <v>137</v>
      </c>
      <c r="B220" t="s">
        <v>193</v>
      </c>
      <c r="C220" s="63">
        <f>C218-C219</f>
        <v>2.6027397260273977E-3</v>
      </c>
      <c r="D220" s="63">
        <f>D218-D219</f>
        <v>-1.8309859154929942E-3</v>
      </c>
      <c r="J220" s="65"/>
      <c r="K220" s="65"/>
      <c r="L220" s="65"/>
      <c r="M220" s="65"/>
      <c r="N220" s="65"/>
    </row>
    <row r="221" spans="1:14" x14ac:dyDescent="0.2">
      <c r="A221" s="9" t="s">
        <v>129</v>
      </c>
      <c r="B221">
        <f>B224+B228</f>
        <v>122</v>
      </c>
      <c r="C221">
        <f t="shared" ref="C221:D221" si="205">C224+C228</f>
        <v>192</v>
      </c>
      <c r="D221">
        <f t="shared" si="205"/>
        <v>242</v>
      </c>
      <c r="J221" s="48"/>
      <c r="K221" s="48"/>
      <c r="L221" s="48"/>
      <c r="M221" s="48"/>
      <c r="N221" s="48"/>
    </row>
    <row r="222" spans="1:14" x14ac:dyDescent="0.2">
      <c r="A222" s="46" t="s">
        <v>128</v>
      </c>
      <c r="B222" t="s">
        <v>193</v>
      </c>
      <c r="C222" s="63">
        <f>C221/B221-1</f>
        <v>0.57377049180327866</v>
      </c>
      <c r="D222" s="63">
        <f>D221/C221-1</f>
        <v>0.26041666666666674</v>
      </c>
      <c r="J222" s="67"/>
      <c r="K222" s="67"/>
      <c r="L222" s="67"/>
      <c r="M222" s="67"/>
      <c r="N222" s="67"/>
    </row>
    <row r="223" spans="1:14" x14ac:dyDescent="0.2">
      <c r="A223" s="46" t="s">
        <v>130</v>
      </c>
      <c r="B223" s="63">
        <f>B221/B207</f>
        <v>0.16158940397350993</v>
      </c>
      <c r="C223" s="63">
        <f t="shared" ref="C223:D223" si="206">C221/C207</f>
        <v>0.22094361334867663</v>
      </c>
      <c r="D223" s="63">
        <f t="shared" si="206"/>
        <v>0.23865877712031558</v>
      </c>
      <c r="J223" s="66"/>
      <c r="K223" s="66"/>
      <c r="L223" s="66"/>
      <c r="M223" s="66"/>
      <c r="N223" s="66"/>
    </row>
    <row r="224" spans="1:14" x14ac:dyDescent="0.2">
      <c r="A224" s="9" t="s">
        <v>131</v>
      </c>
      <c r="B224">
        <f>Historicals!B204</f>
        <v>22</v>
      </c>
      <c r="C224">
        <f>Historicals!C204</f>
        <v>18</v>
      </c>
      <c r="D224">
        <f>Historicals!D204</f>
        <v>18</v>
      </c>
      <c r="E224">
        <f>Historicals!E204</f>
        <v>0</v>
      </c>
      <c r="F224">
        <f>Historicals!F204</f>
        <v>0</v>
      </c>
      <c r="G224">
        <f>Historicals!G204</f>
        <v>0</v>
      </c>
      <c r="H224">
        <f>Historicals!H204</f>
        <v>0</v>
      </c>
      <c r="I224">
        <f>Historicals!I204</f>
        <v>0</v>
      </c>
      <c r="J224" s="48"/>
      <c r="K224" s="48"/>
      <c r="L224" s="48"/>
      <c r="M224" s="48"/>
      <c r="N224" s="48"/>
    </row>
    <row r="225" spans="1:14" x14ac:dyDescent="0.2">
      <c r="A225" s="46" t="s">
        <v>128</v>
      </c>
      <c r="B225" t="s">
        <v>193</v>
      </c>
      <c r="C225" s="63">
        <f>C224/B224-1</f>
        <v>-0.18181818181818177</v>
      </c>
      <c r="D225" s="63">
        <f>D224/C224-1</f>
        <v>0</v>
      </c>
      <c r="J225" s="67"/>
      <c r="K225" s="67"/>
      <c r="L225" s="67"/>
      <c r="M225" s="67"/>
      <c r="N225" s="67"/>
    </row>
    <row r="226" spans="1:14" x14ac:dyDescent="0.2">
      <c r="A226" s="46" t="s">
        <v>132</v>
      </c>
      <c r="B226" s="63">
        <f>B224/B207</f>
        <v>2.9139072847682121E-2</v>
      </c>
      <c r="C226" s="63">
        <f t="shared" ref="C226:D226" si="207">C224/C207</f>
        <v>2.0713463751438434E-2</v>
      </c>
      <c r="D226" s="63">
        <f t="shared" si="207"/>
        <v>1.7751479289940829E-2</v>
      </c>
      <c r="J226" s="63"/>
      <c r="K226" s="63"/>
      <c r="L226" s="63"/>
      <c r="M226" s="63"/>
      <c r="N226" s="63"/>
    </row>
    <row r="227" spans="1:14" x14ac:dyDescent="0.2">
      <c r="A227" s="46" t="s">
        <v>139</v>
      </c>
      <c r="B227" s="63">
        <f>B224/B234</f>
        <v>0.10731707317073171</v>
      </c>
      <c r="C227" s="63">
        <f t="shared" ref="C227:D227" si="208">C224/C234</f>
        <v>8.0717488789237665E-2</v>
      </c>
      <c r="D227" s="63">
        <f t="shared" si="208"/>
        <v>8.0717488789237665E-2</v>
      </c>
      <c r="J227" s="63"/>
      <c r="K227" s="63"/>
      <c r="L227" s="63"/>
      <c r="M227" s="63"/>
      <c r="N227" s="63"/>
    </row>
    <row r="228" spans="1:14" x14ac:dyDescent="0.2">
      <c r="A228" s="9" t="s">
        <v>133</v>
      </c>
      <c r="B228">
        <v>100</v>
      </c>
      <c r="C228">
        <v>174</v>
      </c>
      <c r="D228">
        <v>224</v>
      </c>
      <c r="J228" s="59"/>
      <c r="K228" s="59"/>
      <c r="L228" s="59"/>
      <c r="M228" s="59"/>
      <c r="N228" s="59"/>
    </row>
    <row r="229" spans="1:14" x14ac:dyDescent="0.2">
      <c r="A229" s="46" t="s">
        <v>128</v>
      </c>
      <c r="B229" t="s">
        <v>193</v>
      </c>
      <c r="C229" s="63">
        <f>C228/B228-1</f>
        <v>0.74</v>
      </c>
      <c r="D229" s="63">
        <f>D228/C228-1</f>
        <v>0.28735632183908044</v>
      </c>
      <c r="J229" s="47"/>
      <c r="K229" s="47"/>
      <c r="L229" s="47"/>
      <c r="M229" s="47"/>
      <c r="N229" s="47"/>
    </row>
    <row r="230" spans="1:14" x14ac:dyDescent="0.2">
      <c r="A230" s="46" t="s">
        <v>130</v>
      </c>
      <c r="B230" s="63">
        <f>B228/B207</f>
        <v>0.13245033112582782</v>
      </c>
      <c r="C230" s="63">
        <f t="shared" ref="C230:D230" si="209">C228/C207</f>
        <v>0.2002301495972382</v>
      </c>
      <c r="D230" s="63">
        <f t="shared" si="209"/>
        <v>0.22090729783037474</v>
      </c>
      <c r="J230" s="63"/>
      <c r="K230" s="63"/>
      <c r="L230" s="63"/>
      <c r="M230" s="63"/>
      <c r="N230" s="63"/>
    </row>
    <row r="231" spans="1:14" x14ac:dyDescent="0.2">
      <c r="A231" s="9" t="s">
        <v>134</v>
      </c>
      <c r="B231">
        <f>Historicals!B189</f>
        <v>0</v>
      </c>
      <c r="C231">
        <f>Historicals!C189</f>
        <v>0</v>
      </c>
      <c r="D231">
        <f>Historicals!D189</f>
        <v>0</v>
      </c>
      <c r="E231">
        <f>Historicals!E189</f>
        <v>0</v>
      </c>
      <c r="F231">
        <f>Historicals!F189</f>
        <v>0</v>
      </c>
      <c r="G231">
        <f>Historicals!G189</f>
        <v>0</v>
      </c>
      <c r="H231">
        <f>Historicals!H189</f>
        <v>0</v>
      </c>
      <c r="I231">
        <f>Historicals!I189</f>
        <v>0</v>
      </c>
    </row>
    <row r="232" spans="1:14" x14ac:dyDescent="0.2">
      <c r="A232" s="46" t="s">
        <v>128</v>
      </c>
      <c r="J232" s="67"/>
      <c r="K232" s="67"/>
      <c r="L232" s="67"/>
      <c r="M232" s="67"/>
      <c r="N232" s="67"/>
    </row>
    <row r="233" spans="1:14" x14ac:dyDescent="0.2">
      <c r="A233" s="46" t="s">
        <v>132</v>
      </c>
      <c r="J233" s="63"/>
      <c r="K233" s="63"/>
      <c r="L233" s="63"/>
      <c r="M233" s="63"/>
      <c r="N233" s="63"/>
    </row>
    <row r="234" spans="1:14" x14ac:dyDescent="0.2">
      <c r="A234" s="72" t="s">
        <v>140</v>
      </c>
      <c r="B234">
        <v>205</v>
      </c>
      <c r="C234">
        <v>223</v>
      </c>
      <c r="D234">
        <v>223</v>
      </c>
    </row>
    <row r="235" spans="1:14" x14ac:dyDescent="0.2">
      <c r="A235" s="46" t="s">
        <v>128</v>
      </c>
      <c r="B235" t="s">
        <v>193</v>
      </c>
      <c r="C235" s="63">
        <f>C234/B234-1</f>
        <v>8.7804878048780566E-2</v>
      </c>
      <c r="D235" s="63">
        <f>D234/C234-1</f>
        <v>0</v>
      </c>
      <c r="J235" s="47"/>
      <c r="K235" s="47"/>
      <c r="L235" s="47"/>
      <c r="M235" s="47"/>
      <c r="N235" s="47"/>
    </row>
    <row r="236" spans="1:14" x14ac:dyDescent="0.2">
      <c r="A236" s="46" t="s">
        <v>132</v>
      </c>
      <c r="B236" s="63">
        <f>B234/B207</f>
        <v>0.27152317880794702</v>
      </c>
      <c r="C236" s="63">
        <f t="shared" ref="C236:D236" si="210">C234/C207</f>
        <v>0.25661680092059841</v>
      </c>
      <c r="D236" s="63">
        <f t="shared" si="210"/>
        <v>0.21992110453648916</v>
      </c>
      <c r="J236" s="63"/>
      <c r="K236" s="63"/>
      <c r="L236" s="63"/>
      <c r="M236" s="63"/>
      <c r="N236" s="63"/>
    </row>
    <row r="237" spans="1:14" x14ac:dyDescent="0.2">
      <c r="A237" s="43" t="s">
        <v>199</v>
      </c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</row>
    <row r="238" spans="1:14" x14ac:dyDescent="0.2">
      <c r="A238" s="9" t="s">
        <v>135</v>
      </c>
      <c r="B238">
        <v>3898</v>
      </c>
      <c r="C238">
        <v>3701</v>
      </c>
      <c r="D238">
        <v>3995</v>
      </c>
    </row>
    <row r="239" spans="1:14" x14ac:dyDescent="0.2">
      <c r="A239" s="44" t="s">
        <v>128</v>
      </c>
      <c r="B239" t="s">
        <v>193</v>
      </c>
      <c r="C239" s="63">
        <f>C238/B238-1</f>
        <v>-5.0538737814263768E-2</v>
      </c>
      <c r="D239" s="63">
        <f>D238/C238-1</f>
        <v>7.9437989732504821E-2</v>
      </c>
      <c r="J239" s="62"/>
      <c r="K239" s="62"/>
      <c r="L239" s="62"/>
      <c r="M239" s="62"/>
      <c r="N239" s="62"/>
    </row>
    <row r="240" spans="1:14" x14ac:dyDescent="0.2">
      <c r="A240" s="45" t="s">
        <v>112</v>
      </c>
      <c r="B240">
        <v>2641</v>
      </c>
      <c r="C240">
        <v>2536</v>
      </c>
      <c r="D240">
        <v>2816</v>
      </c>
    </row>
    <row r="241" spans="1:14" x14ac:dyDescent="0.2">
      <c r="A241" s="46" t="s">
        <v>128</v>
      </c>
      <c r="B241" t="s">
        <v>193</v>
      </c>
      <c r="C241" s="63">
        <f>C240/B240-1</f>
        <v>-3.9757667550170406E-2</v>
      </c>
      <c r="D241" s="63">
        <f>D240/C240-1</f>
        <v>0.11041009463722395</v>
      </c>
      <c r="J241" s="64"/>
      <c r="K241" s="64"/>
      <c r="L241" s="64"/>
      <c r="M241" s="64"/>
      <c r="N241" s="64"/>
    </row>
    <row r="242" spans="1:14" x14ac:dyDescent="0.2">
      <c r="A242" s="44" t="s">
        <v>136</v>
      </c>
      <c r="B242" s="63">
        <v>0</v>
      </c>
      <c r="C242" s="63">
        <v>-0.04</v>
      </c>
      <c r="D242" s="63">
        <v>0.11</v>
      </c>
      <c r="J242" s="49"/>
      <c r="K242" s="49"/>
      <c r="L242" s="49"/>
      <c r="M242" s="49"/>
      <c r="N242" s="49"/>
    </row>
    <row r="243" spans="1:14" x14ac:dyDescent="0.2">
      <c r="A243" s="44" t="s">
        <v>137</v>
      </c>
      <c r="B243" t="s">
        <v>193</v>
      </c>
      <c r="C243" s="63">
        <f>C241-C242</f>
        <v>2.4233244982959506E-4</v>
      </c>
      <c r="D243" s="63">
        <f>D241-D242</f>
        <v>4.100946372239539E-4</v>
      </c>
      <c r="J243" s="49"/>
      <c r="K243" s="49"/>
      <c r="L243" s="49"/>
      <c r="M243" s="49"/>
      <c r="N243" s="49"/>
    </row>
    <row r="244" spans="1:14" x14ac:dyDescent="0.2">
      <c r="A244" s="45" t="s">
        <v>113</v>
      </c>
      <c r="B244">
        <v>1021</v>
      </c>
      <c r="C244">
        <v>947</v>
      </c>
      <c r="D244">
        <v>966</v>
      </c>
    </row>
    <row r="245" spans="1:14" x14ac:dyDescent="0.2">
      <c r="A245" s="44" t="s">
        <v>128</v>
      </c>
      <c r="B245" t="s">
        <v>193</v>
      </c>
      <c r="C245" s="63">
        <f>C244/B244-1</f>
        <v>-7.2477962781586691E-2</v>
      </c>
      <c r="D245" s="63">
        <f>D244/C244-1</f>
        <v>2.0063357972544882E-2</v>
      </c>
      <c r="J245" s="64"/>
      <c r="K245" s="64"/>
      <c r="L245" s="64"/>
      <c r="M245" s="64"/>
      <c r="N245" s="64"/>
    </row>
    <row r="246" spans="1:14" x14ac:dyDescent="0.2">
      <c r="A246" s="44" t="s">
        <v>136</v>
      </c>
      <c r="B246" s="63">
        <v>-0.04</v>
      </c>
      <c r="C246" s="63">
        <v>-7.0000000000000007E-2</v>
      </c>
      <c r="D246" s="63">
        <v>0.02</v>
      </c>
      <c r="J246" s="65"/>
      <c r="K246" s="65"/>
      <c r="L246" s="65"/>
      <c r="M246" s="65"/>
      <c r="N246" s="65"/>
    </row>
    <row r="247" spans="1:14" x14ac:dyDescent="0.2">
      <c r="A247" s="44" t="s">
        <v>137</v>
      </c>
      <c r="B247" t="s">
        <v>193</v>
      </c>
      <c r="C247" s="63">
        <f>C245-C246</f>
        <v>-2.4779627815866845E-3</v>
      </c>
      <c r="D247" s="63">
        <f>D245-D246</f>
        <v>6.335797254488143E-5</v>
      </c>
      <c r="J247" s="65"/>
      <c r="K247" s="65"/>
      <c r="L247" s="65"/>
      <c r="M247" s="65"/>
      <c r="N247" s="65"/>
    </row>
    <row r="248" spans="1:14" x14ac:dyDescent="0.2">
      <c r="A248" s="45" t="s">
        <v>114</v>
      </c>
      <c r="B248">
        <v>236</v>
      </c>
      <c r="C248">
        <v>218</v>
      </c>
      <c r="D248">
        <v>213</v>
      </c>
    </row>
    <row r="249" spans="1:14" x14ac:dyDescent="0.2">
      <c r="A249" s="44" t="s">
        <v>128</v>
      </c>
      <c r="B249" t="s">
        <v>193</v>
      </c>
      <c r="C249" s="63">
        <f>C248/B248-1</f>
        <v>-7.6271186440677985E-2</v>
      </c>
      <c r="D249" s="63">
        <f>D248/C248-1</f>
        <v>-2.2935779816513735E-2</v>
      </c>
      <c r="J249" s="64"/>
      <c r="K249" s="64"/>
      <c r="L249" s="64"/>
      <c r="M249" s="64"/>
      <c r="N249" s="64"/>
    </row>
    <row r="250" spans="1:14" x14ac:dyDescent="0.2">
      <c r="A250" s="44" t="s">
        <v>136</v>
      </c>
      <c r="B250" s="63">
        <v>-0.04</v>
      </c>
      <c r="C250" s="63">
        <v>-0.08</v>
      </c>
      <c r="D250" s="63">
        <v>-0.02</v>
      </c>
      <c r="J250" s="65"/>
      <c r="K250" s="65"/>
      <c r="L250" s="65"/>
      <c r="M250" s="65"/>
      <c r="N250" s="65"/>
    </row>
    <row r="251" spans="1:14" x14ac:dyDescent="0.2">
      <c r="A251" s="44" t="s">
        <v>137</v>
      </c>
      <c r="B251" t="s">
        <v>193</v>
      </c>
      <c r="C251" s="63">
        <f>C249-C250</f>
        <v>3.7288135593220167E-3</v>
      </c>
      <c r="D251" s="63">
        <f>D249-D250</f>
        <v>-2.9357798165137346E-3</v>
      </c>
      <c r="J251" s="65"/>
      <c r="K251" s="65"/>
      <c r="L251" s="65"/>
      <c r="M251" s="65"/>
      <c r="N251" s="65"/>
    </row>
    <row r="252" spans="1:14" x14ac:dyDescent="0.2">
      <c r="A252" s="9" t="s">
        <v>129</v>
      </c>
      <c r="B252">
        <f>B255+B259</f>
        <v>845</v>
      </c>
      <c r="C252">
        <f t="shared" ref="C252:D252" si="211">C255+C259</f>
        <v>917</v>
      </c>
      <c r="D252">
        <f t="shared" si="211"/>
        <v>854</v>
      </c>
      <c r="J252" s="48"/>
      <c r="K252" s="48"/>
      <c r="L252" s="48"/>
      <c r="M252" s="48"/>
      <c r="N252" s="48"/>
    </row>
    <row r="253" spans="1:14" x14ac:dyDescent="0.2">
      <c r="A253" s="46" t="s">
        <v>128</v>
      </c>
      <c r="B253" t="s">
        <v>193</v>
      </c>
      <c r="C253" s="63">
        <f>C252/B252-1</f>
        <v>8.5207100591715879E-2</v>
      </c>
      <c r="D253" s="63">
        <f>D252/C252-1</f>
        <v>-6.8702290076335881E-2</v>
      </c>
      <c r="J253" s="67"/>
      <c r="K253" s="67"/>
      <c r="L253" s="67"/>
      <c r="M253" s="67"/>
      <c r="N253" s="67"/>
    </row>
    <row r="254" spans="1:14" x14ac:dyDescent="0.2">
      <c r="A254" s="46" t="s">
        <v>130</v>
      </c>
      <c r="B254" s="63">
        <f>B252/B238</f>
        <v>0.2167778347870703</v>
      </c>
      <c r="C254" s="63">
        <f t="shared" ref="C254:D254" si="212">C252/C238</f>
        <v>0.24777087273709808</v>
      </c>
      <c r="D254" s="63">
        <f t="shared" si="212"/>
        <v>0.21376720901126409</v>
      </c>
      <c r="J254" s="66"/>
      <c r="K254" s="66"/>
      <c r="L254" s="66"/>
      <c r="M254" s="66"/>
      <c r="N254" s="66"/>
    </row>
    <row r="255" spans="1:14" x14ac:dyDescent="0.2">
      <c r="A255" s="9" t="s">
        <v>131</v>
      </c>
      <c r="B255">
        <f>Historicals!B206</f>
        <v>27</v>
      </c>
      <c r="C255">
        <f>Historicals!C206</f>
        <v>25</v>
      </c>
      <c r="D255">
        <f>Historicals!D206</f>
        <v>38</v>
      </c>
      <c r="E255">
        <f>Historicals!E206</f>
        <v>0</v>
      </c>
      <c r="F255">
        <f>Historicals!F206</f>
        <v>0</v>
      </c>
      <c r="G255">
        <f>Historicals!G206</f>
        <v>0</v>
      </c>
      <c r="H255">
        <f>Historicals!H206</f>
        <v>0</v>
      </c>
      <c r="I255">
        <f>Historicals!I206</f>
        <v>0</v>
      </c>
      <c r="J255" s="48"/>
      <c r="K255" s="48"/>
      <c r="L255" s="48"/>
      <c r="M255" s="48"/>
      <c r="N255" s="48"/>
    </row>
    <row r="256" spans="1:14" x14ac:dyDescent="0.2">
      <c r="A256" s="46" t="s">
        <v>128</v>
      </c>
      <c r="B256" t="s">
        <v>193</v>
      </c>
      <c r="C256" s="63">
        <f>C255/B255-1</f>
        <v>-7.407407407407407E-2</v>
      </c>
      <c r="D256" s="63">
        <f>D255/C255-1</f>
        <v>0.52</v>
      </c>
      <c r="J256" s="67"/>
      <c r="K256" s="67"/>
      <c r="L256" s="67"/>
      <c r="M256" s="67"/>
      <c r="N256" s="67"/>
    </row>
    <row r="257" spans="1:14" x14ac:dyDescent="0.2">
      <c r="A257" s="46" t="s">
        <v>132</v>
      </c>
      <c r="B257" s="63">
        <f>B255/B238</f>
        <v>6.926629040533607E-3</v>
      </c>
      <c r="C257" s="63">
        <f t="shared" ref="C257:D257" si="213">C255/C238</f>
        <v>6.754931099702783E-3</v>
      </c>
      <c r="D257" s="63">
        <f t="shared" si="213"/>
        <v>9.5118898623279095E-3</v>
      </c>
      <c r="J257" s="63"/>
      <c r="K257" s="63"/>
      <c r="L257" s="63"/>
      <c r="M257" s="63"/>
      <c r="N257" s="63"/>
    </row>
    <row r="258" spans="1:14" x14ac:dyDescent="0.2">
      <c r="A258" s="46" t="s">
        <v>139</v>
      </c>
      <c r="J258" s="63"/>
      <c r="K258" s="63"/>
      <c r="L258" s="63"/>
      <c r="M258" s="63"/>
      <c r="N258" s="63"/>
    </row>
    <row r="259" spans="1:14" x14ac:dyDescent="0.2">
      <c r="A259" s="9" t="s">
        <v>133</v>
      </c>
      <c r="B259">
        <v>818</v>
      </c>
      <c r="C259">
        <v>892</v>
      </c>
      <c r="D259">
        <v>816</v>
      </c>
      <c r="J259" s="59"/>
      <c r="K259" s="59"/>
      <c r="L259" s="59"/>
      <c r="M259" s="59"/>
      <c r="N259" s="59"/>
    </row>
    <row r="260" spans="1:14" x14ac:dyDescent="0.2">
      <c r="A260" s="46" t="s">
        <v>128</v>
      </c>
      <c r="B260" t="s">
        <v>193</v>
      </c>
      <c r="C260" s="63">
        <f>C259/B259-1</f>
        <v>9.0464547677261642E-2</v>
      </c>
      <c r="D260" s="63">
        <f>D259/C259-1</f>
        <v>-8.5201793721973118E-2</v>
      </c>
      <c r="J260" s="47"/>
      <c r="K260" s="47"/>
      <c r="L260" s="47"/>
      <c r="M260" s="47"/>
      <c r="N260" s="47"/>
    </row>
    <row r="261" spans="1:14" x14ac:dyDescent="0.2">
      <c r="A261" s="46" t="s">
        <v>130</v>
      </c>
      <c r="B261" s="63">
        <f>B259/B238</f>
        <v>0.20985120574653668</v>
      </c>
      <c r="C261" s="63">
        <f t="shared" ref="C261:D261" si="214">C259/C238</f>
        <v>0.24101594163739529</v>
      </c>
      <c r="D261" s="63">
        <f t="shared" si="214"/>
        <v>0.20425531914893616</v>
      </c>
      <c r="J261" s="63"/>
      <c r="K261" s="63"/>
      <c r="L261" s="63"/>
      <c r="M261" s="63"/>
      <c r="N261" s="63"/>
    </row>
    <row r="262" spans="1:14" x14ac:dyDescent="0.2">
      <c r="A262" s="9" t="s">
        <v>134</v>
      </c>
      <c r="B262">
        <f>Historicals!B191</f>
        <v>0</v>
      </c>
      <c r="C262">
        <f>Historicals!C191</f>
        <v>0</v>
      </c>
      <c r="D262">
        <f>Historicals!D191</f>
        <v>0</v>
      </c>
      <c r="E262">
        <f>Historicals!E191</f>
        <v>0</v>
      </c>
      <c r="F262">
        <f>Historicals!F191</f>
        <v>0</v>
      </c>
      <c r="G262">
        <f>Historicals!G191</f>
        <v>0</v>
      </c>
      <c r="H262">
        <f>Historicals!H191</f>
        <v>0</v>
      </c>
      <c r="I262">
        <f>Historicals!I191</f>
        <v>0</v>
      </c>
    </row>
    <row r="263" spans="1:14" x14ac:dyDescent="0.2">
      <c r="A263" s="46" t="s">
        <v>128</v>
      </c>
      <c r="J263" s="67"/>
      <c r="K263" s="67"/>
      <c r="L263" s="67"/>
      <c r="M263" s="67"/>
      <c r="N263" s="67"/>
    </row>
    <row r="264" spans="1:14" x14ac:dyDescent="0.2">
      <c r="A264" s="46" t="s">
        <v>132</v>
      </c>
      <c r="J264" s="63"/>
      <c r="K264" s="63"/>
      <c r="L264" s="63"/>
      <c r="M264" s="63"/>
      <c r="N264" s="63"/>
    </row>
    <row r="265" spans="1:14" x14ac:dyDescent="0.2">
      <c r="A265" s="72" t="s">
        <v>140</v>
      </c>
      <c r="B265">
        <v>103</v>
      </c>
      <c r="C265">
        <v>109</v>
      </c>
      <c r="D265">
        <v>120</v>
      </c>
    </row>
    <row r="266" spans="1:14" x14ac:dyDescent="0.2">
      <c r="A266" s="46" t="s">
        <v>128</v>
      </c>
      <c r="B266" t="s">
        <v>193</v>
      </c>
      <c r="C266" s="63">
        <f>C265/B265-1</f>
        <v>5.8252427184465994E-2</v>
      </c>
      <c r="D266" s="63">
        <f>D265/C265-1</f>
        <v>0.10091743119266061</v>
      </c>
      <c r="J266" s="47"/>
      <c r="K266" s="47"/>
      <c r="L266" s="47"/>
      <c r="M266" s="47"/>
      <c r="N266" s="47"/>
    </row>
    <row r="267" spans="1:14" x14ac:dyDescent="0.2">
      <c r="A267" s="46" t="s">
        <v>132</v>
      </c>
      <c r="B267" s="63">
        <f>B265/B238</f>
        <v>2.642380708055413E-2</v>
      </c>
      <c r="C267" s="63">
        <f t="shared" ref="C267:D267" si="215">C265/C238</f>
        <v>2.9451499594704136E-2</v>
      </c>
      <c r="D267" s="63">
        <f t="shared" si="215"/>
        <v>3.0037546933667083E-2</v>
      </c>
      <c r="J267" s="63"/>
      <c r="K267" s="63"/>
      <c r="L267" s="63"/>
      <c r="M267" s="63"/>
      <c r="N267" s="63"/>
    </row>
    <row r="268" spans="1:14" x14ac:dyDescent="0.2">
      <c r="A268" s="43" t="s">
        <v>106</v>
      </c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</row>
    <row r="269" spans="1:14" x14ac:dyDescent="0.2">
      <c r="A269" s="9" t="s">
        <v>135</v>
      </c>
      <c r="B269">
        <v>115</v>
      </c>
      <c r="C269">
        <v>73</v>
      </c>
      <c r="D269">
        <v>73</v>
      </c>
      <c r="E269">
        <v>88</v>
      </c>
      <c r="F269">
        <v>42</v>
      </c>
      <c r="G269">
        <v>30</v>
      </c>
      <c r="H269">
        <v>25</v>
      </c>
      <c r="I269">
        <v>102</v>
      </c>
      <c r="J269" s="69">
        <f>I269*(1+J270)</f>
        <v>130.34367017650095</v>
      </c>
      <c r="K269" s="69">
        <f t="shared" ref="K269:N269" si="216">J269*(1+K270)</f>
        <v>178.53824867299718</v>
      </c>
      <c r="L269" s="69">
        <f t="shared" si="216"/>
        <v>253.98342156442098</v>
      </c>
      <c r="M269" s="69">
        <f t="shared" si="216"/>
        <v>369.18639854509235</v>
      </c>
      <c r="N269" s="69">
        <f t="shared" si="216"/>
        <v>588.13525784182741</v>
      </c>
    </row>
    <row r="270" spans="1:14" x14ac:dyDescent="0.2">
      <c r="A270" s="44" t="s">
        <v>128</v>
      </c>
      <c r="B270" t="s">
        <v>193</v>
      </c>
      <c r="C270" s="63">
        <f>C269/B269-1</f>
        <v>-0.36521739130434783</v>
      </c>
      <c r="D270" s="63">
        <f t="shared" ref="D270:I270" si="217">D269/C269-1</f>
        <v>0</v>
      </c>
      <c r="E270" s="63">
        <f t="shared" si="217"/>
        <v>0.20547945205479445</v>
      </c>
      <c r="F270" s="63">
        <f t="shared" si="217"/>
        <v>-0.52272727272727271</v>
      </c>
      <c r="G270" s="63">
        <f t="shared" si="217"/>
        <v>-0.2857142857142857</v>
      </c>
      <c r="H270" s="63">
        <f t="shared" si="217"/>
        <v>-0.16666666666666663</v>
      </c>
      <c r="I270" s="63">
        <f t="shared" si="217"/>
        <v>3.08</v>
      </c>
      <c r="J270" s="62">
        <f>AVERAGE(C270:I270)</f>
        <v>0.27787911937746024</v>
      </c>
      <c r="K270" s="62">
        <f t="shared" ref="K270:N270" si="218">AVERAGE(D270:J270)</f>
        <v>0.3697500494748614</v>
      </c>
      <c r="L270" s="62">
        <f t="shared" si="218"/>
        <v>0.42257148511412729</v>
      </c>
      <c r="M270" s="62">
        <f t="shared" si="218"/>
        <v>0.45358463269403199</v>
      </c>
      <c r="N270" s="62">
        <f t="shared" si="218"/>
        <v>0.59305776203993255</v>
      </c>
    </row>
    <row r="271" spans="1:14" x14ac:dyDescent="0.2">
      <c r="A271" s="45" t="s">
        <v>112</v>
      </c>
    </row>
    <row r="272" spans="1:14" x14ac:dyDescent="0.2">
      <c r="A272" s="46" t="s">
        <v>128</v>
      </c>
      <c r="J272" s="64"/>
      <c r="K272" s="64"/>
      <c r="L272" s="64"/>
      <c r="M272" s="64"/>
      <c r="N272" s="64"/>
    </row>
    <row r="273" spans="1:14" x14ac:dyDescent="0.2">
      <c r="A273" s="44" t="s">
        <v>136</v>
      </c>
      <c r="J273" s="49"/>
      <c r="K273" s="49"/>
      <c r="L273" s="49"/>
      <c r="M273" s="49"/>
      <c r="N273" s="49"/>
    </row>
    <row r="274" spans="1:14" x14ac:dyDescent="0.2">
      <c r="A274" s="44" t="s">
        <v>137</v>
      </c>
      <c r="J274" s="49"/>
      <c r="K274" s="49"/>
      <c r="L274" s="49"/>
      <c r="M274" s="49"/>
      <c r="N274" s="49"/>
    </row>
    <row r="275" spans="1:14" x14ac:dyDescent="0.2">
      <c r="A275" s="45" t="s">
        <v>113</v>
      </c>
    </row>
    <row r="276" spans="1:14" x14ac:dyDescent="0.2">
      <c r="A276" s="44" t="s">
        <v>128</v>
      </c>
      <c r="J276" s="64"/>
      <c r="K276" s="64"/>
      <c r="L276" s="64"/>
      <c r="M276" s="64"/>
      <c r="N276" s="64"/>
    </row>
    <row r="277" spans="1:14" x14ac:dyDescent="0.2">
      <c r="A277" s="44" t="s">
        <v>136</v>
      </c>
      <c r="J277" s="65"/>
      <c r="K277" s="65"/>
      <c r="L277" s="65"/>
      <c r="M277" s="65"/>
      <c r="N277" s="65"/>
    </row>
    <row r="278" spans="1:14" x14ac:dyDescent="0.2">
      <c r="A278" s="44" t="s">
        <v>137</v>
      </c>
      <c r="J278" s="65"/>
      <c r="K278" s="65"/>
      <c r="L278" s="65"/>
      <c r="M278" s="65"/>
      <c r="N278" s="65"/>
    </row>
    <row r="279" spans="1:14" x14ac:dyDescent="0.2">
      <c r="A279" s="45" t="s">
        <v>114</v>
      </c>
    </row>
    <row r="280" spans="1:14" x14ac:dyDescent="0.2">
      <c r="A280" s="44" t="s">
        <v>128</v>
      </c>
      <c r="J280" s="64"/>
      <c r="K280" s="64"/>
      <c r="L280" s="64"/>
      <c r="M280" s="64"/>
      <c r="N280" s="64"/>
    </row>
    <row r="281" spans="1:14" x14ac:dyDescent="0.2">
      <c r="A281" s="44" t="s">
        <v>136</v>
      </c>
      <c r="J281" s="65"/>
      <c r="K281" s="65"/>
      <c r="L281" s="65"/>
      <c r="M281" s="65"/>
      <c r="N281" s="65"/>
    </row>
    <row r="282" spans="1:14" x14ac:dyDescent="0.2">
      <c r="A282" s="44" t="s">
        <v>137</v>
      </c>
      <c r="J282" s="65"/>
      <c r="K282" s="65"/>
      <c r="L282" s="65"/>
      <c r="M282" s="65"/>
      <c r="N282" s="65"/>
    </row>
    <row r="283" spans="1:14" x14ac:dyDescent="0.2">
      <c r="A283" s="9" t="s">
        <v>129</v>
      </c>
      <c r="B283">
        <f>B286+B290</f>
        <v>-2057</v>
      </c>
      <c r="C283">
        <f t="shared" ref="C283:I283" si="219">C286+C290</f>
        <v>-2366</v>
      </c>
      <c r="D283">
        <f t="shared" si="219"/>
        <v>-2444</v>
      </c>
      <c r="E283">
        <f t="shared" si="219"/>
        <v>-2441</v>
      </c>
      <c r="F283">
        <f t="shared" si="219"/>
        <v>-3067</v>
      </c>
      <c r="G283">
        <f t="shared" si="219"/>
        <v>-3254</v>
      </c>
      <c r="H283">
        <f t="shared" si="219"/>
        <v>-3434</v>
      </c>
      <c r="I283">
        <f t="shared" si="219"/>
        <v>-4042</v>
      </c>
      <c r="J283" s="48">
        <f>I283*(1+J284)</f>
        <v>-3619.4656367791085</v>
      </c>
      <c r="K283" s="48">
        <f t="shared" ref="K283:N283" si="220">J283*(1+K284)</f>
        <v>-3264.7223576322422</v>
      </c>
      <c r="L283" s="48">
        <f t="shared" si="220"/>
        <v>-2914.4121657926971</v>
      </c>
      <c r="M283" s="48">
        <f t="shared" si="220"/>
        <v>-2556.5053102949055</v>
      </c>
      <c r="N283" s="48">
        <f t="shared" si="220"/>
        <v>-2291.3611949674755</v>
      </c>
    </row>
    <row r="284" spans="1:14" x14ac:dyDescent="0.2">
      <c r="A284" s="46" t="s">
        <v>128</v>
      </c>
      <c r="B284" t="s">
        <v>193</v>
      </c>
      <c r="C284" s="63">
        <f>-(C283/B283-1)</f>
        <v>-0.15021876519202726</v>
      </c>
      <c r="D284" s="63">
        <f t="shared" ref="D284:I284" si="221">-(D283/C283-1)</f>
        <v>-3.2967032967033072E-2</v>
      </c>
      <c r="E284" s="63">
        <f t="shared" si="221"/>
        <v>1.2274959083469206E-3</v>
      </c>
      <c r="F284" s="63">
        <f t="shared" si="221"/>
        <v>-0.25645227365833678</v>
      </c>
      <c r="G284" s="63">
        <f t="shared" si="221"/>
        <v>-6.0971633518095869E-2</v>
      </c>
      <c r="H284" s="63">
        <f t="shared" si="221"/>
        <v>-5.5316533497234088E-2</v>
      </c>
      <c r="I284" s="63">
        <f t="shared" si="221"/>
        <v>-0.1770529994175889</v>
      </c>
      <c r="J284" s="67">
        <f>AVERAGE(C284:I284)</f>
        <v>-0.10453596319170987</v>
      </c>
      <c r="K284" s="67">
        <f t="shared" ref="K284:N284" si="222">AVERAGE(D284:J284)</f>
        <v>-9.8009848620235956E-2</v>
      </c>
      <c r="L284" s="67">
        <f t="shared" si="222"/>
        <v>-0.10730167942783637</v>
      </c>
      <c r="M284" s="67">
        <f t="shared" si="222"/>
        <v>-0.12280584733300541</v>
      </c>
      <c r="N284" s="67">
        <f t="shared" si="222"/>
        <v>-0.10371350071510092</v>
      </c>
    </row>
    <row r="285" spans="1:14" x14ac:dyDescent="0.2">
      <c r="A285" s="46" t="s">
        <v>130</v>
      </c>
      <c r="B285" s="63">
        <f>B283/B269</f>
        <v>-17.88695652173913</v>
      </c>
      <c r="C285" s="63">
        <f t="shared" ref="C285:N285" si="223">C283/C269</f>
        <v>-32.410958904109592</v>
      </c>
      <c r="D285" s="63">
        <f t="shared" si="223"/>
        <v>-33.479452054794521</v>
      </c>
      <c r="E285" s="63">
        <f t="shared" si="223"/>
        <v>-27.738636363636363</v>
      </c>
      <c r="F285" s="63">
        <f t="shared" si="223"/>
        <v>-73.023809523809518</v>
      </c>
      <c r="G285" s="63">
        <f t="shared" si="223"/>
        <v>-108.46666666666667</v>
      </c>
      <c r="H285" s="63">
        <f t="shared" si="223"/>
        <v>-137.36000000000001</v>
      </c>
      <c r="I285" s="63">
        <f t="shared" si="223"/>
        <v>-39.627450980392155</v>
      </c>
      <c r="J285" s="63">
        <f t="shared" si="223"/>
        <v>-27.7686337347868</v>
      </c>
      <c r="K285" s="63">
        <f t="shared" si="223"/>
        <v>-18.285842848227801</v>
      </c>
      <c r="L285" s="63">
        <f t="shared" si="223"/>
        <v>-11.474812599347073</v>
      </c>
      <c r="M285" s="63">
        <f t="shared" si="223"/>
        <v>-6.9247006942013725</v>
      </c>
      <c r="N285" s="63">
        <f t="shared" si="223"/>
        <v>-3.8959765877251864</v>
      </c>
    </row>
    <row r="286" spans="1:14" x14ac:dyDescent="0.2">
      <c r="A286" s="9" t="s">
        <v>131</v>
      </c>
      <c r="B286">
        <f>Historicals!B207</f>
        <v>210</v>
      </c>
      <c r="C286">
        <f>Historicals!C207</f>
        <v>230</v>
      </c>
      <c r="D286">
        <f>Historicals!D207</f>
        <v>233</v>
      </c>
      <c r="E286">
        <f>Historicals!E207</f>
        <v>217</v>
      </c>
      <c r="F286">
        <f>Historicals!F207</f>
        <v>195</v>
      </c>
      <c r="G286">
        <f>Historicals!G207</f>
        <v>214</v>
      </c>
      <c r="H286">
        <f>Historicals!H207</f>
        <v>222</v>
      </c>
      <c r="I286">
        <f>Historicals!I207</f>
        <v>220</v>
      </c>
      <c r="J286" s="48">
        <f>I286*(1+J287)</f>
        <v>218.01801801801801</v>
      </c>
      <c r="K286" s="48">
        <f t="shared" ref="K286:N286" si="224">J286*(1+K287)</f>
        <v>216.0538917295674</v>
      </c>
      <c r="L286" s="48">
        <f t="shared" si="224"/>
        <v>214.10746027254427</v>
      </c>
      <c r="M286" s="48">
        <f t="shared" si="224"/>
        <v>212.17856423405289</v>
      </c>
      <c r="N286" s="48">
        <f t="shared" si="224"/>
        <v>210.2670456373497</v>
      </c>
    </row>
    <row r="287" spans="1:14" x14ac:dyDescent="0.2">
      <c r="A287" s="46" t="s">
        <v>128</v>
      </c>
      <c r="B287" t="s">
        <v>193</v>
      </c>
      <c r="C287" s="63">
        <f>C286/B286-1</f>
        <v>9.5238095238095344E-2</v>
      </c>
      <c r="D287" s="63">
        <f t="shared" ref="D287:I287" si="225">D286/C286-1</f>
        <v>1.304347826086949E-2</v>
      </c>
      <c r="E287" s="63">
        <f t="shared" si="225"/>
        <v>-6.8669527896995763E-2</v>
      </c>
      <c r="F287" s="63">
        <f t="shared" si="225"/>
        <v>-0.10138248847926268</v>
      </c>
      <c r="G287" s="63">
        <f t="shared" si="225"/>
        <v>9.7435897435897534E-2</v>
      </c>
      <c r="H287" s="63">
        <f t="shared" si="225"/>
        <v>3.7383177570093462E-2</v>
      </c>
      <c r="I287" s="63">
        <f t="shared" si="225"/>
        <v>-9.009009009009028E-3</v>
      </c>
      <c r="J287" s="67">
        <f>I287</f>
        <v>-9.009009009009028E-3</v>
      </c>
      <c r="K287" s="67">
        <f t="shared" ref="K287:N287" si="226">J287</f>
        <v>-9.009009009009028E-3</v>
      </c>
      <c r="L287" s="67">
        <f t="shared" si="226"/>
        <v>-9.009009009009028E-3</v>
      </c>
      <c r="M287" s="67">
        <f t="shared" si="226"/>
        <v>-9.009009009009028E-3</v>
      </c>
      <c r="N287" s="67">
        <f t="shared" si="226"/>
        <v>-9.009009009009028E-3</v>
      </c>
    </row>
    <row r="288" spans="1:14" x14ac:dyDescent="0.2">
      <c r="A288" s="46" t="s">
        <v>132</v>
      </c>
      <c r="B288" s="63">
        <f>B286/B269</f>
        <v>1.826086956521739</v>
      </c>
      <c r="C288" s="63">
        <f t="shared" ref="C288:N288" si="227">C286/C269</f>
        <v>3.1506849315068495</v>
      </c>
      <c r="D288" s="63">
        <f t="shared" si="227"/>
        <v>3.1917808219178081</v>
      </c>
      <c r="E288" s="63">
        <f t="shared" si="227"/>
        <v>2.4659090909090908</v>
      </c>
      <c r="F288" s="63">
        <f t="shared" si="227"/>
        <v>4.6428571428571432</v>
      </c>
      <c r="G288" s="63">
        <f t="shared" si="227"/>
        <v>7.1333333333333337</v>
      </c>
      <c r="H288" s="63">
        <f t="shared" si="227"/>
        <v>8.8800000000000008</v>
      </c>
      <c r="I288" s="63">
        <f t="shared" si="227"/>
        <v>2.1568627450980391</v>
      </c>
      <c r="J288" s="63">
        <f t="shared" si="227"/>
        <v>1.6726398583283368</v>
      </c>
      <c r="K288" s="63">
        <f t="shared" si="227"/>
        <v>1.2101266442087837</v>
      </c>
      <c r="L288" s="63">
        <f t="shared" si="227"/>
        <v>0.84299777896423655</v>
      </c>
      <c r="M288" s="63">
        <f t="shared" si="227"/>
        <v>0.57471934250616075</v>
      </c>
      <c r="N288" s="63">
        <f t="shared" si="227"/>
        <v>0.3575147771431495</v>
      </c>
    </row>
    <row r="289" spans="1:14" x14ac:dyDescent="0.2">
      <c r="A289" s="46" t="s">
        <v>139</v>
      </c>
      <c r="B289" s="63">
        <f>B286/B296</f>
        <v>0.43388429752066116</v>
      </c>
      <c r="C289" s="63">
        <f t="shared" ref="C289:N289" si="228">C286/C296</f>
        <v>0.45009784735812131</v>
      </c>
      <c r="D289" s="63">
        <f t="shared" si="228"/>
        <v>0.43714821763602252</v>
      </c>
      <c r="E289" s="63">
        <f t="shared" si="228"/>
        <v>0.36348408710217756</v>
      </c>
      <c r="F289" s="63">
        <f t="shared" si="228"/>
        <v>0.2932330827067669</v>
      </c>
      <c r="G289" s="63">
        <f t="shared" si="228"/>
        <v>0.25783132530120484</v>
      </c>
      <c r="H289" s="63">
        <f t="shared" si="228"/>
        <v>0.2846153846153846</v>
      </c>
      <c r="I289" s="63">
        <f t="shared" si="228"/>
        <v>0.27883396704689478</v>
      </c>
      <c r="J289" s="63">
        <f t="shared" si="228"/>
        <v>0.27316998792659852</v>
      </c>
      <c r="K289" s="63">
        <f t="shared" si="228"/>
        <v>0.26762106171687455</v>
      </c>
      <c r="L289" s="63">
        <f t="shared" si="228"/>
        <v>0.26218485133773894</v>
      </c>
      <c r="M289" s="63">
        <f t="shared" si="228"/>
        <v>0.25685906718252094</v>
      </c>
      <c r="N289" s="63">
        <f t="shared" si="228"/>
        <v>0.25164146615353333</v>
      </c>
    </row>
    <row r="290" spans="1:14" x14ac:dyDescent="0.2">
      <c r="A290" s="9" t="s">
        <v>133</v>
      </c>
      <c r="B290">
        <v>-2267</v>
      </c>
      <c r="C290">
        <v>-2596</v>
      </c>
      <c r="D290">
        <v>-2677</v>
      </c>
      <c r="E290">
        <v>-2658</v>
      </c>
      <c r="F290">
        <v>-3262</v>
      </c>
      <c r="G290">
        <v>-3468</v>
      </c>
      <c r="H290">
        <v>-3656</v>
      </c>
      <c r="I290">
        <v>-4262</v>
      </c>
      <c r="J290" s="59">
        <f>I290*(J291)</f>
        <v>-706.44748358862114</v>
      </c>
      <c r="K290" s="59">
        <f t="shared" ref="K290:N290" si="229">J290*(K291)</f>
        <v>-117.09714853793881</v>
      </c>
      <c r="L290" s="59">
        <f t="shared" si="229"/>
        <v>-19.409428887853089</v>
      </c>
      <c r="M290" s="59">
        <f t="shared" si="229"/>
        <v>-3.2172083988071574</v>
      </c>
      <c r="N290" s="59">
        <f t="shared" si="229"/>
        <v>-0.53326813174976384</v>
      </c>
    </row>
    <row r="291" spans="1:14" x14ac:dyDescent="0.2">
      <c r="A291" s="46" t="s">
        <v>128</v>
      </c>
      <c r="B291" t="s">
        <v>193</v>
      </c>
      <c r="C291" s="63">
        <f>(C290/B290)-1</f>
        <v>0.145125716806352</v>
      </c>
      <c r="D291" s="63">
        <f t="shared" ref="D291:I291" si="230">D290/C290-1</f>
        <v>3.1201848998459125E-2</v>
      </c>
      <c r="E291" s="63">
        <f t="shared" si="230"/>
        <v>-7.097497198356395E-3</v>
      </c>
      <c r="F291" s="63">
        <f t="shared" si="230"/>
        <v>0.22723852520692245</v>
      </c>
      <c r="G291" s="63">
        <f t="shared" si="230"/>
        <v>6.3151440833844275E-2</v>
      </c>
      <c r="H291" s="63">
        <f t="shared" si="230"/>
        <v>5.4209919261822392E-2</v>
      </c>
      <c r="I291" s="63">
        <f t="shared" si="230"/>
        <v>0.16575492341356668</v>
      </c>
      <c r="J291" s="47">
        <f>I291</f>
        <v>0.16575492341356668</v>
      </c>
      <c r="K291" s="47">
        <f t="shared" ref="K291:N291" si="231">J291</f>
        <v>0.16575492341356668</v>
      </c>
      <c r="L291" s="47">
        <f t="shared" si="231"/>
        <v>0.16575492341356668</v>
      </c>
      <c r="M291" s="47">
        <f t="shared" si="231"/>
        <v>0.16575492341356668</v>
      </c>
      <c r="N291" s="47">
        <f t="shared" si="231"/>
        <v>0.16575492341356668</v>
      </c>
    </row>
    <row r="292" spans="1:14" x14ac:dyDescent="0.2">
      <c r="A292" s="46" t="s">
        <v>130</v>
      </c>
      <c r="B292" s="63">
        <f>B290/B269</f>
        <v>-19.713043478260868</v>
      </c>
      <c r="C292" s="63">
        <f t="shared" ref="C292:N292" si="232">C290/C269</f>
        <v>-35.561643835616437</v>
      </c>
      <c r="D292" s="63">
        <f t="shared" si="232"/>
        <v>-36.671232876712331</v>
      </c>
      <c r="E292" s="63">
        <f t="shared" si="232"/>
        <v>-30.204545454545453</v>
      </c>
      <c r="F292" s="63">
        <f t="shared" si="232"/>
        <v>-77.666666666666671</v>
      </c>
      <c r="G292" s="63">
        <f t="shared" si="232"/>
        <v>-115.6</v>
      </c>
      <c r="H292" s="63">
        <f t="shared" si="232"/>
        <v>-146.24</v>
      </c>
      <c r="I292" s="63">
        <f t="shared" si="232"/>
        <v>-41.784313725490193</v>
      </c>
      <c r="J292" s="63">
        <f t="shared" si="232"/>
        <v>-5.4198833179394637</v>
      </c>
      <c r="K292" s="63">
        <f t="shared" si="232"/>
        <v>-0.655865896569921</v>
      </c>
      <c r="L292" s="63">
        <f t="shared" si="232"/>
        <v>-7.6420062255638341E-2</v>
      </c>
      <c r="M292" s="63">
        <f t="shared" si="232"/>
        <v>-8.7143199518879572E-3</v>
      </c>
      <c r="N292" s="63">
        <f t="shared" si="232"/>
        <v>-9.0671002059390313E-4</v>
      </c>
    </row>
    <row r="293" spans="1:14" x14ac:dyDescent="0.2">
      <c r="A293" s="9" t="s">
        <v>134</v>
      </c>
      <c r="B293">
        <f>Historicals!B192</f>
        <v>0</v>
      </c>
      <c r="C293">
        <f>Historicals!C192</f>
        <v>0</v>
      </c>
      <c r="D293">
        <f>Historicals!D192</f>
        <v>0</v>
      </c>
      <c r="E293">
        <f>Historicals!E192</f>
        <v>286</v>
      </c>
      <c r="F293">
        <f>Historicals!F192</f>
        <v>278</v>
      </c>
      <c r="G293">
        <f>Historicals!G192</f>
        <v>438</v>
      </c>
      <c r="H293">
        <f>Historicals!H192</f>
        <v>278</v>
      </c>
      <c r="I293">
        <f>Historicals!I192</f>
        <v>222</v>
      </c>
      <c r="J293">
        <f>I293</f>
        <v>222</v>
      </c>
      <c r="K293">
        <f t="shared" ref="K293:N293" si="233">J293</f>
        <v>222</v>
      </c>
      <c r="L293">
        <f t="shared" si="233"/>
        <v>222</v>
      </c>
      <c r="M293">
        <f t="shared" si="233"/>
        <v>222</v>
      </c>
      <c r="N293">
        <f t="shared" si="233"/>
        <v>222</v>
      </c>
    </row>
    <row r="294" spans="1:14" x14ac:dyDescent="0.2">
      <c r="A294" s="46" t="s">
        <v>128</v>
      </c>
      <c r="J294" s="67"/>
      <c r="K294" s="67"/>
      <c r="L294" s="67"/>
      <c r="M294" s="67"/>
      <c r="N294" s="67"/>
    </row>
    <row r="295" spans="1:14" x14ac:dyDescent="0.2">
      <c r="A295" s="46" t="s">
        <v>132</v>
      </c>
      <c r="J295" s="63"/>
      <c r="K295" s="63"/>
      <c r="L295" s="63"/>
      <c r="M295" s="63"/>
      <c r="N295" s="63"/>
    </row>
    <row r="296" spans="1:14" x14ac:dyDescent="0.2">
      <c r="A296" s="72" t="s">
        <v>140</v>
      </c>
      <c r="B296">
        <v>484</v>
      </c>
      <c r="C296">
        <v>511</v>
      </c>
      <c r="D296">
        <v>533</v>
      </c>
      <c r="E296">
        <v>597</v>
      </c>
      <c r="F296">
        <v>665</v>
      </c>
      <c r="G296">
        <v>830</v>
      </c>
      <c r="H296">
        <v>780</v>
      </c>
      <c r="I296">
        <v>789</v>
      </c>
      <c r="J296" s="69">
        <f>I296*(1+J297)</f>
        <v>798.10384615384612</v>
      </c>
      <c r="K296" s="69">
        <f t="shared" ref="K296:N296" si="234">J296*(1+K297)</f>
        <v>807.31273668639051</v>
      </c>
      <c r="L296" s="69">
        <f t="shared" si="234"/>
        <v>816.62788364815651</v>
      </c>
      <c r="M296" s="69">
        <f t="shared" si="234"/>
        <v>826.05051307486599</v>
      </c>
      <c r="N296" s="69">
        <f t="shared" si="234"/>
        <v>835.58186514880674</v>
      </c>
    </row>
    <row r="297" spans="1:14" x14ac:dyDescent="0.2">
      <c r="A297" s="46" t="s">
        <v>128</v>
      </c>
      <c r="B297" t="s">
        <v>193</v>
      </c>
      <c r="C297" s="63">
        <f>C296/B296-1</f>
        <v>5.5785123966942241E-2</v>
      </c>
      <c r="D297" s="63">
        <f t="shared" ref="D297:I297" si="235">D296/C296-1</f>
        <v>4.3052837573385627E-2</v>
      </c>
      <c r="E297" s="63">
        <f t="shared" si="235"/>
        <v>0.12007504690431525</v>
      </c>
      <c r="F297" s="63">
        <f t="shared" si="235"/>
        <v>0.11390284757118918</v>
      </c>
      <c r="G297" s="63">
        <f t="shared" si="235"/>
        <v>0.24812030075187974</v>
      </c>
      <c r="H297" s="63">
        <f t="shared" si="235"/>
        <v>-6.0240963855421659E-2</v>
      </c>
      <c r="I297" s="63">
        <f t="shared" si="235"/>
        <v>1.1538461538461497E-2</v>
      </c>
      <c r="J297" s="47">
        <f>I297</f>
        <v>1.1538461538461497E-2</v>
      </c>
      <c r="K297" s="47">
        <f t="shared" ref="K297:N297" si="236">J297</f>
        <v>1.1538461538461497E-2</v>
      </c>
      <c r="L297" s="47">
        <f t="shared" si="236"/>
        <v>1.1538461538461497E-2</v>
      </c>
      <c r="M297" s="47">
        <f t="shared" si="236"/>
        <v>1.1538461538461497E-2</v>
      </c>
      <c r="N297" s="47">
        <f t="shared" si="236"/>
        <v>1.1538461538461497E-2</v>
      </c>
    </row>
    <row r="298" spans="1:14" x14ac:dyDescent="0.2">
      <c r="A298" s="46" t="s">
        <v>132</v>
      </c>
      <c r="B298" s="63">
        <f>B296/B269</f>
        <v>4.2086956521739127</v>
      </c>
      <c r="C298" s="63">
        <f t="shared" ref="C298:N298" si="237">C296/C269</f>
        <v>7</v>
      </c>
      <c r="D298" s="63">
        <f t="shared" si="237"/>
        <v>7.3013698630136989</v>
      </c>
      <c r="E298" s="63">
        <f t="shared" si="237"/>
        <v>6.7840909090909092</v>
      </c>
      <c r="F298" s="63">
        <f t="shared" si="237"/>
        <v>15.833333333333334</v>
      </c>
      <c r="G298" s="63">
        <f t="shared" si="237"/>
        <v>27.666666666666668</v>
      </c>
      <c r="H298" s="63">
        <f t="shared" si="237"/>
        <v>31.2</v>
      </c>
      <c r="I298" s="63">
        <f t="shared" si="237"/>
        <v>7.7352941176470589</v>
      </c>
      <c r="J298" s="63">
        <f t="shared" si="237"/>
        <v>6.1230732959499905</v>
      </c>
      <c r="K298" s="63">
        <f t="shared" si="237"/>
        <v>4.5217915079083646</v>
      </c>
      <c r="L298" s="63">
        <f t="shared" si="237"/>
        <v>3.2152802675785082</v>
      </c>
      <c r="M298" s="63">
        <f t="shared" si="237"/>
        <v>2.2374890199915431</v>
      </c>
      <c r="N298" s="63">
        <f t="shared" si="237"/>
        <v>1.4207307826009088</v>
      </c>
    </row>
    <row r="299" spans="1:14" x14ac:dyDescent="0.2">
      <c r="A299" s="43" t="s">
        <v>103</v>
      </c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</row>
    <row r="300" spans="1:14" x14ac:dyDescent="0.2">
      <c r="A300" s="9" t="s">
        <v>135</v>
      </c>
      <c r="B300">
        <v>1982</v>
      </c>
      <c r="C300">
        <v>1955</v>
      </c>
      <c r="D300">
        <v>2042</v>
      </c>
      <c r="E300">
        <v>1886</v>
      </c>
      <c r="F300">
        <v>1906</v>
      </c>
      <c r="G300">
        <v>1846</v>
      </c>
      <c r="H300">
        <v>2205</v>
      </c>
      <c r="I300">
        <v>2346</v>
      </c>
      <c r="J300" s="69">
        <f>I300*(1+J301)</f>
        <v>2410.3568186672633</v>
      </c>
      <c r="K300" s="69">
        <f t="shared" ref="K300:N300" si="238">J300*(1+K301)</f>
        <v>2490.6159143734862</v>
      </c>
      <c r="L300" s="69">
        <f t="shared" si="238"/>
        <v>2569.5611506951313</v>
      </c>
      <c r="M300" s="69">
        <f t="shared" si="238"/>
        <v>2690.6874296643637</v>
      </c>
      <c r="N300" s="69">
        <f t="shared" si="238"/>
        <v>2831.5667203415419</v>
      </c>
    </row>
    <row r="301" spans="1:14" x14ac:dyDescent="0.2">
      <c r="A301" s="44" t="s">
        <v>128</v>
      </c>
      <c r="B301" t="s">
        <v>193</v>
      </c>
      <c r="C301" s="63">
        <f>C300/B300-1</f>
        <v>-1.3622603430877955E-2</v>
      </c>
      <c r="D301" s="63">
        <f t="shared" ref="D301:H301" si="239">D300/C300-1</f>
        <v>4.4501278772378416E-2</v>
      </c>
      <c r="E301" s="63">
        <f t="shared" si="239"/>
        <v>-7.6395690499510338E-2</v>
      </c>
      <c r="F301" s="63">
        <f t="shared" si="239"/>
        <v>1.0604453870625585E-2</v>
      </c>
      <c r="G301" s="63">
        <f t="shared" si="239"/>
        <v>-3.147953830010497E-2</v>
      </c>
      <c r="H301" s="63">
        <f t="shared" si="239"/>
        <v>0.19447453954496208</v>
      </c>
      <c r="I301" s="63">
        <f>I300/H300-1</f>
        <v>6.3945578231292544E-2</v>
      </c>
      <c r="J301" s="62">
        <f>AVERAGE(C301:I301)</f>
        <v>2.7432574026966479E-2</v>
      </c>
      <c r="K301" s="62">
        <f t="shared" ref="K301:N301" si="240">AVERAGE(D301:J301)</f>
        <v>3.3297599378087114E-2</v>
      </c>
      <c r="L301" s="62">
        <f t="shared" si="240"/>
        <v>3.1697073750331213E-2</v>
      </c>
      <c r="M301" s="62">
        <f t="shared" si="240"/>
        <v>4.7138897214594293E-2</v>
      </c>
      <c r="N301" s="62">
        <f t="shared" si="240"/>
        <v>5.235810340658982E-2</v>
      </c>
    </row>
    <row r="302" spans="1:14" x14ac:dyDescent="0.2">
      <c r="A302" s="45" t="s">
        <v>112</v>
      </c>
      <c r="E302">
        <v>1611</v>
      </c>
      <c r="F302">
        <v>1658</v>
      </c>
      <c r="G302">
        <v>1642</v>
      </c>
      <c r="H302">
        <v>1986</v>
      </c>
      <c r="I302">
        <v>2094</v>
      </c>
      <c r="J302" s="69">
        <f>I302*(1+J303)</f>
        <v>2207.8731117824773</v>
      </c>
      <c r="K302" s="69">
        <f t="shared" ref="K302:N302" si="241">J302*(1+K303)</f>
        <v>2327.9387190697421</v>
      </c>
      <c r="L302" s="69">
        <f t="shared" si="241"/>
        <v>2454.5335738832023</v>
      </c>
      <c r="M302" s="69">
        <f t="shared" si="241"/>
        <v>2588.0127410430136</v>
      </c>
      <c r="N302" s="69">
        <f t="shared" si="241"/>
        <v>2728.7505940302472</v>
      </c>
    </row>
    <row r="303" spans="1:14" x14ac:dyDescent="0.2">
      <c r="A303" s="46" t="s">
        <v>128</v>
      </c>
      <c r="E303" t="s">
        <v>193</v>
      </c>
      <c r="F303" s="63">
        <f>F302/E302-1</f>
        <v>2.9174425822470429E-2</v>
      </c>
      <c r="G303" s="63">
        <f t="shared" ref="G303:I303" si="242">G302/F302-1</f>
        <v>-9.6501809408926498E-3</v>
      </c>
      <c r="H303" s="63">
        <f t="shared" si="242"/>
        <v>0.2095006090133984</v>
      </c>
      <c r="I303" s="63">
        <f t="shared" si="242"/>
        <v>5.4380664652567967E-2</v>
      </c>
      <c r="J303" s="64">
        <f>I303</f>
        <v>5.4380664652567967E-2</v>
      </c>
      <c r="K303" s="64">
        <f t="shared" ref="K303:N303" si="243">J303</f>
        <v>5.4380664652567967E-2</v>
      </c>
      <c r="L303" s="64">
        <f t="shared" si="243"/>
        <v>5.4380664652567967E-2</v>
      </c>
      <c r="M303" s="64">
        <f t="shared" si="243"/>
        <v>5.4380664652567967E-2</v>
      </c>
      <c r="N303" s="64">
        <f t="shared" si="243"/>
        <v>5.4380664652567967E-2</v>
      </c>
    </row>
    <row r="304" spans="1:14" x14ac:dyDescent="0.2">
      <c r="A304" s="44" t="s">
        <v>136</v>
      </c>
      <c r="E304" t="s">
        <v>193</v>
      </c>
      <c r="F304" s="63">
        <v>0.03</v>
      </c>
      <c r="G304" s="63">
        <v>-0.01</v>
      </c>
      <c r="H304" s="63">
        <v>0.21</v>
      </c>
      <c r="I304" s="63">
        <v>0.06</v>
      </c>
      <c r="J304" s="63">
        <v>0.06</v>
      </c>
      <c r="K304" s="63">
        <v>0.06</v>
      </c>
      <c r="L304" s="63">
        <v>0.06</v>
      </c>
      <c r="M304" s="63">
        <v>0.06</v>
      </c>
      <c r="N304" s="63">
        <v>0.06</v>
      </c>
    </row>
    <row r="305" spans="1:15" x14ac:dyDescent="0.2">
      <c r="A305" s="44" t="s">
        <v>137</v>
      </c>
      <c r="E305" t="s">
        <v>193</v>
      </c>
      <c r="F305" s="70">
        <f>F303-F304</f>
        <v>-8.2557417752956996E-4</v>
      </c>
      <c r="G305" s="70">
        <f t="shared" ref="G305:I305" si="244">G303-G304</f>
        <v>3.4981905910735044E-4</v>
      </c>
      <c r="H305" s="70">
        <f t="shared" si="244"/>
        <v>-4.9939098660159442E-4</v>
      </c>
      <c r="I305" s="70">
        <f t="shared" si="244"/>
        <v>-5.6193353474320307E-3</v>
      </c>
      <c r="J305" s="3">
        <f>J323+J354+J385+J416+J571+J602+J637</f>
        <v>0.54237065781357696</v>
      </c>
      <c r="K305" s="3">
        <f t="shared" ref="K305:N305" si="245">K323+K354+K385+K416+K571+K602+K637</f>
        <v>-0.14669560493934103</v>
      </c>
      <c r="L305" s="3">
        <f t="shared" si="245"/>
        <v>4.9006808938709345E-2</v>
      </c>
      <c r="M305" s="3">
        <f t="shared" si="245"/>
        <v>-8.1585199180801028E-3</v>
      </c>
      <c r="N305" s="3">
        <f t="shared" si="245"/>
        <v>6.8583346540176966E-3</v>
      </c>
    </row>
    <row r="306" spans="1:15" x14ac:dyDescent="0.2">
      <c r="A306" s="45" t="s">
        <v>113</v>
      </c>
      <c r="E306">
        <v>144</v>
      </c>
      <c r="F306">
        <v>118</v>
      </c>
      <c r="G306">
        <v>89</v>
      </c>
      <c r="H306">
        <v>104</v>
      </c>
      <c r="I306">
        <v>103</v>
      </c>
      <c r="J306" s="47">
        <f>(J305-I305)/I305</f>
        <v>-97.518649320588054</v>
      </c>
      <c r="K306" s="47">
        <f t="shared" ref="K306:N306" si="246">(K305-J305)/J305</f>
        <v>-1.2704711304455618</v>
      </c>
      <c r="L306" s="47">
        <f t="shared" si="246"/>
        <v>-1.3340714192424086</v>
      </c>
      <c r="M306" s="47">
        <f t="shared" si="246"/>
        <v>-1.1664772731536877</v>
      </c>
      <c r="N306" s="47">
        <f t="shared" si="246"/>
        <v>-1.8406346644835585</v>
      </c>
      <c r="O306" t="s">
        <v>214</v>
      </c>
    </row>
    <row r="307" spans="1:15" x14ac:dyDescent="0.2">
      <c r="A307" s="44" t="s">
        <v>128</v>
      </c>
      <c r="E307" t="s">
        <v>193</v>
      </c>
      <c r="F307" s="63">
        <f>F306/E306-1</f>
        <v>-0.18055555555555558</v>
      </c>
      <c r="G307" s="63">
        <f t="shared" ref="G307:I307" si="247">G306/F306-1</f>
        <v>-0.24576271186440679</v>
      </c>
      <c r="H307" s="63">
        <f t="shared" si="247"/>
        <v>0.1685393258426966</v>
      </c>
      <c r="I307" s="63">
        <f t="shared" si="247"/>
        <v>-9.6153846153845812E-3</v>
      </c>
      <c r="J307" s="59">
        <f>J337+J368+J399+J430+J585+J620+J651</f>
        <v>0</v>
      </c>
      <c r="K307" s="59">
        <f t="shared" ref="K307:N307" si="248">K337+K368+K399+K430+K585+K620+K651</f>
        <v>0</v>
      </c>
      <c r="L307" s="59">
        <f t="shared" si="248"/>
        <v>0</v>
      </c>
      <c r="M307" s="59">
        <f t="shared" si="248"/>
        <v>0</v>
      </c>
      <c r="N307" s="59">
        <f t="shared" si="248"/>
        <v>0</v>
      </c>
    </row>
    <row r="308" spans="1:15" x14ac:dyDescent="0.2">
      <c r="A308" s="44" t="s">
        <v>136</v>
      </c>
      <c r="F308" s="63">
        <v>-0.18</v>
      </c>
      <c r="G308" s="63">
        <v>-0.25</v>
      </c>
      <c r="H308" s="63">
        <v>0.17</v>
      </c>
      <c r="I308" s="63">
        <v>-0.03</v>
      </c>
      <c r="J308" s="47">
        <f>(J307-I307)/I307</f>
        <v>-1</v>
      </c>
      <c r="K308" s="47" t="e">
        <f t="shared" ref="K308:N308" si="249">(K307-J307)/J307</f>
        <v>#DIV/0!</v>
      </c>
      <c r="L308" s="47" t="e">
        <f t="shared" si="249"/>
        <v>#DIV/0!</v>
      </c>
      <c r="M308" s="47" t="e">
        <f t="shared" si="249"/>
        <v>#DIV/0!</v>
      </c>
      <c r="N308" s="47" t="e">
        <f t="shared" si="249"/>
        <v>#DIV/0!</v>
      </c>
    </row>
    <row r="309" spans="1:15" x14ac:dyDescent="0.2">
      <c r="A309" s="44" t="s">
        <v>137</v>
      </c>
      <c r="E309" t="s">
        <v>193</v>
      </c>
      <c r="F309" s="63">
        <f>F307-F308</f>
        <v>-5.5555555555558689E-4</v>
      </c>
      <c r="G309" s="63">
        <f t="shared" ref="G309:I309" si="250">G307-G308</f>
        <v>4.237288135593209E-3</v>
      </c>
      <c r="H309" s="63">
        <f t="shared" si="250"/>
        <v>-1.4606741573034154E-3</v>
      </c>
      <c r="I309" s="63">
        <f t="shared" si="250"/>
        <v>2.0384615384615418E-2</v>
      </c>
      <c r="J309" s="47">
        <f t="shared" ref="J309:N309" si="251">+IFERROR(J307/J$3,"nm")</f>
        <v>0</v>
      </c>
      <c r="K309" s="47">
        <f t="shared" si="251"/>
        <v>0</v>
      </c>
      <c r="L309" s="47">
        <f t="shared" si="251"/>
        <v>0</v>
      </c>
      <c r="M309" s="47">
        <f t="shared" si="251"/>
        <v>0</v>
      </c>
      <c r="N309" s="47">
        <f t="shared" si="251"/>
        <v>0</v>
      </c>
    </row>
    <row r="310" spans="1:15" x14ac:dyDescent="0.2">
      <c r="A310" s="45" t="s">
        <v>114</v>
      </c>
      <c r="E310">
        <v>28</v>
      </c>
      <c r="F310">
        <v>24</v>
      </c>
      <c r="G310">
        <v>25</v>
      </c>
      <c r="H310">
        <v>29</v>
      </c>
      <c r="I310">
        <v>26</v>
      </c>
      <c r="J310" s="84">
        <f>J340+J371+J402+J433+J588+J623+J654</f>
        <v>0</v>
      </c>
      <c r="K310" s="84">
        <f t="shared" ref="K310:N310" si="252">K340+K371+K402+K433+K588+K623+K654</f>
        <v>0</v>
      </c>
      <c r="L310" s="84">
        <f t="shared" si="252"/>
        <v>0</v>
      </c>
      <c r="M310" s="84">
        <f t="shared" si="252"/>
        <v>0</v>
      </c>
      <c r="N310" s="84">
        <f t="shared" si="252"/>
        <v>0</v>
      </c>
    </row>
    <row r="311" spans="1:15" x14ac:dyDescent="0.2">
      <c r="A311" s="44" t="s">
        <v>128</v>
      </c>
      <c r="E311" t="s">
        <v>193</v>
      </c>
      <c r="F311" s="63">
        <f>F310/E310-1</f>
        <v>-0.1428571428571429</v>
      </c>
      <c r="G311" s="63">
        <f t="shared" ref="G311:I311" si="253">G310/F310-1</f>
        <v>4.1666666666666741E-2</v>
      </c>
      <c r="H311" s="63">
        <f t="shared" si="253"/>
        <v>0.15999999999999992</v>
      </c>
      <c r="I311" s="63">
        <f t="shared" si="253"/>
        <v>-0.10344827586206895</v>
      </c>
      <c r="J311" s="63">
        <f>(J310-I310)/I310</f>
        <v>-1</v>
      </c>
      <c r="K311" s="63" t="e">
        <f t="shared" ref="K311:N311" si="254">(K310-J310)/J310</f>
        <v>#DIV/0!</v>
      </c>
      <c r="L311" s="63" t="e">
        <f t="shared" si="254"/>
        <v>#DIV/0!</v>
      </c>
      <c r="M311" s="63" t="e">
        <f t="shared" si="254"/>
        <v>#DIV/0!</v>
      </c>
      <c r="N311" s="63" t="e">
        <f t="shared" si="254"/>
        <v>#DIV/0!</v>
      </c>
    </row>
    <row r="312" spans="1:15" x14ac:dyDescent="0.2">
      <c r="A312" s="44" t="s">
        <v>136</v>
      </c>
      <c r="E312" t="s">
        <v>193</v>
      </c>
      <c r="F312" s="63">
        <v>-0.14000000000000001</v>
      </c>
      <c r="G312" s="63">
        <v>0.04</v>
      </c>
      <c r="H312" s="63">
        <v>0.16</v>
      </c>
      <c r="I312" s="63">
        <v>-0.16</v>
      </c>
      <c r="J312" s="47">
        <f t="shared" ref="J312:N312" si="255">+IFERROR(J310/J$3,"nm")</f>
        <v>0</v>
      </c>
      <c r="K312" s="47">
        <f t="shared" si="255"/>
        <v>0</v>
      </c>
      <c r="L312" s="47">
        <f t="shared" si="255"/>
        <v>0</v>
      </c>
      <c r="M312" s="47">
        <f t="shared" si="255"/>
        <v>0</v>
      </c>
      <c r="N312" s="47">
        <f t="shared" si="255"/>
        <v>0</v>
      </c>
    </row>
    <row r="313" spans="1:15" x14ac:dyDescent="0.2">
      <c r="A313" s="44" t="s">
        <v>137</v>
      </c>
      <c r="E313" t="s">
        <v>193</v>
      </c>
      <c r="F313" s="63">
        <f>F311-F312</f>
        <v>-2.8571428571428914E-3</v>
      </c>
      <c r="G313" s="63">
        <f t="shared" ref="G313:I313" si="256">G311-G312</f>
        <v>1.6666666666667398E-3</v>
      </c>
      <c r="H313" s="63">
        <f t="shared" si="256"/>
        <v>0</v>
      </c>
      <c r="I313" s="63">
        <f t="shared" si="256"/>
        <v>5.6551724137931053E-2</v>
      </c>
      <c r="J313" s="59">
        <f>J344+J375+J406+J437+J592+J627+J658</f>
        <v>0</v>
      </c>
      <c r="K313" s="59">
        <f t="shared" ref="K313:N313" si="257">K344+K375+K406+K437+K592+K627+K658</f>
        <v>0</v>
      </c>
      <c r="L313" s="59">
        <f t="shared" si="257"/>
        <v>0</v>
      </c>
      <c r="M313" s="59">
        <f t="shared" si="257"/>
        <v>0</v>
      </c>
      <c r="N313" s="59">
        <f t="shared" si="257"/>
        <v>0</v>
      </c>
    </row>
    <row r="314" spans="1:15" x14ac:dyDescent="0.2">
      <c r="A314" s="45" t="s">
        <v>120</v>
      </c>
      <c r="E314">
        <v>103</v>
      </c>
      <c r="F314">
        <v>106</v>
      </c>
      <c r="G314">
        <v>90</v>
      </c>
      <c r="H314">
        <v>86</v>
      </c>
      <c r="I314">
        <v>123</v>
      </c>
      <c r="J314" s="47">
        <f>(J313-I313)/I313</f>
        <v>-1</v>
      </c>
      <c r="K314" s="47" t="e">
        <f t="shared" ref="K314:N314" si="258">(K313-J313)/J313</f>
        <v>#DIV/0!</v>
      </c>
      <c r="L314" s="47" t="e">
        <f t="shared" si="258"/>
        <v>#DIV/0!</v>
      </c>
      <c r="M314" s="47" t="e">
        <f t="shared" si="258"/>
        <v>#DIV/0!</v>
      </c>
      <c r="N314" s="47" t="e">
        <f t="shared" si="258"/>
        <v>#DIV/0!</v>
      </c>
    </row>
    <row r="315" spans="1:15" x14ac:dyDescent="0.2">
      <c r="A315" s="44" t="s">
        <v>128</v>
      </c>
      <c r="E315" t="s">
        <v>193</v>
      </c>
      <c r="F315" s="63">
        <f>F314/E314-1</f>
        <v>2.9126213592232997E-2</v>
      </c>
      <c r="G315" s="63">
        <f t="shared" ref="G315:I315" si="259">G314/F314-1</f>
        <v>-0.15094339622641506</v>
      </c>
      <c r="H315" s="63">
        <f t="shared" si="259"/>
        <v>-4.4444444444444398E-2</v>
      </c>
      <c r="I315" s="63">
        <f t="shared" si="259"/>
        <v>0.43023255813953498</v>
      </c>
      <c r="J315" s="47">
        <f t="shared" ref="J315:N315" si="260">+IFERROR(J313/J$3,"nm")</f>
        <v>0</v>
      </c>
      <c r="K315" s="47">
        <f t="shared" si="260"/>
        <v>0</v>
      </c>
      <c r="L315" s="47">
        <f t="shared" si="260"/>
        <v>0</v>
      </c>
      <c r="M315" s="47">
        <f t="shared" si="260"/>
        <v>0</v>
      </c>
      <c r="N315" s="47">
        <f t="shared" si="260"/>
        <v>0</v>
      </c>
    </row>
    <row r="316" spans="1:15" x14ac:dyDescent="0.2">
      <c r="A316" s="44" t="s">
        <v>136</v>
      </c>
      <c r="E316" t="s">
        <v>193</v>
      </c>
      <c r="F316" s="63">
        <v>0.03</v>
      </c>
      <c r="G316" s="63">
        <v>-0.15</v>
      </c>
      <c r="H316" s="63">
        <v>-0.04</v>
      </c>
      <c r="I316" s="63">
        <v>0.42</v>
      </c>
      <c r="J316" s="59">
        <f>J347+J378+J409+J440+J595+J630+J661</f>
        <v>0</v>
      </c>
      <c r="K316" s="59">
        <f t="shared" ref="K316:N316" si="261">K347+K378+K409+K440+K595+K630+K661</f>
        <v>0</v>
      </c>
      <c r="L316" s="59">
        <f t="shared" si="261"/>
        <v>0</v>
      </c>
      <c r="M316" s="59">
        <f t="shared" si="261"/>
        <v>0</v>
      </c>
      <c r="N316" s="59">
        <f t="shared" si="261"/>
        <v>0</v>
      </c>
    </row>
    <row r="317" spans="1:15" x14ac:dyDescent="0.2">
      <c r="A317" s="44" t="s">
        <v>137</v>
      </c>
      <c r="E317" t="s">
        <v>193</v>
      </c>
      <c r="F317" s="63">
        <f>F315-F316</f>
        <v>-8.7378640776700212E-4</v>
      </c>
      <c r="G317" s="63">
        <f t="shared" ref="G317:I317" si="262">G315-G316</f>
        <v>-9.4339622641506637E-4</v>
      </c>
      <c r="H317" s="63">
        <f t="shared" si="262"/>
        <v>-4.4444444444443967E-3</v>
      </c>
      <c r="I317" s="63">
        <f t="shared" si="262"/>
        <v>1.0232558139534997E-2</v>
      </c>
      <c r="J317" s="47">
        <f>(J316-I316)/I316</f>
        <v>-1</v>
      </c>
      <c r="K317" s="47" t="e">
        <f t="shared" ref="K317:N317" si="263">(K316-J316)/J316</f>
        <v>#DIV/0!</v>
      </c>
      <c r="L317" s="47" t="e">
        <f t="shared" si="263"/>
        <v>#DIV/0!</v>
      </c>
      <c r="M317" s="47" t="e">
        <f t="shared" si="263"/>
        <v>#DIV/0!</v>
      </c>
      <c r="N317" s="47" t="e">
        <f t="shared" si="263"/>
        <v>#DIV/0!</v>
      </c>
    </row>
    <row r="318" spans="1:15" x14ac:dyDescent="0.2">
      <c r="A318" s="9" t="s">
        <v>129</v>
      </c>
      <c r="B318">
        <f>B321+B325</f>
        <v>535</v>
      </c>
      <c r="C318">
        <f t="shared" ref="C318:I318" si="264">C321+C325</f>
        <v>514</v>
      </c>
      <c r="D318">
        <f t="shared" si="264"/>
        <v>505</v>
      </c>
      <c r="E318">
        <f t="shared" si="264"/>
        <v>343</v>
      </c>
      <c r="F318">
        <f t="shared" si="264"/>
        <v>334</v>
      </c>
      <c r="G318">
        <f t="shared" si="264"/>
        <v>322</v>
      </c>
      <c r="H318">
        <f t="shared" si="264"/>
        <v>569</v>
      </c>
      <c r="I318">
        <f t="shared" si="264"/>
        <v>691</v>
      </c>
      <c r="J318" s="47">
        <f t="shared" ref="J318:N318" si="265">+IFERROR(J316/J$3,"nm")</f>
        <v>0</v>
      </c>
      <c r="K318" s="47">
        <f t="shared" si="265"/>
        <v>0</v>
      </c>
      <c r="L318" s="47">
        <f t="shared" si="265"/>
        <v>0</v>
      </c>
      <c r="M318" s="47">
        <f t="shared" si="265"/>
        <v>0</v>
      </c>
      <c r="N318" s="47">
        <f t="shared" si="265"/>
        <v>0</v>
      </c>
    </row>
    <row r="319" spans="1:15" x14ac:dyDescent="0.2">
      <c r="A319" s="46" t="s">
        <v>128</v>
      </c>
      <c r="B319" t="s">
        <v>193</v>
      </c>
      <c r="C319" s="63">
        <f>C318/B318-1</f>
        <v>-3.9252336448598157E-2</v>
      </c>
      <c r="D319" s="63">
        <f t="shared" ref="D319:I319" si="266">D318/C318-1</f>
        <v>-1.7509727626459193E-2</v>
      </c>
      <c r="E319" s="63">
        <f t="shared" si="266"/>
        <v>-0.32079207920792074</v>
      </c>
      <c r="F319" s="63">
        <f t="shared" si="266"/>
        <v>-2.6239067055393583E-2</v>
      </c>
      <c r="G319" s="63">
        <f t="shared" si="266"/>
        <v>-3.59281437125748E-2</v>
      </c>
      <c r="H319" s="63">
        <f t="shared" si="266"/>
        <v>0.76708074534161486</v>
      </c>
      <c r="I319" s="63">
        <f t="shared" si="266"/>
        <v>0.21441124780316345</v>
      </c>
      <c r="J319" s="67">
        <f>I319</f>
        <v>0.21441124780316345</v>
      </c>
      <c r="K319" s="67">
        <f t="shared" ref="K319:N319" si="267">J319</f>
        <v>0.21441124780316345</v>
      </c>
      <c r="L319" s="67">
        <f t="shared" si="267"/>
        <v>0.21441124780316345</v>
      </c>
      <c r="M319" s="67">
        <f t="shared" si="267"/>
        <v>0.21441124780316345</v>
      </c>
      <c r="N319" s="67">
        <f t="shared" si="267"/>
        <v>0.21441124780316345</v>
      </c>
    </row>
    <row r="320" spans="1:15" x14ac:dyDescent="0.2">
      <c r="A320" s="46" t="s">
        <v>130</v>
      </c>
      <c r="B320" s="63">
        <f>B318/B300</f>
        <v>0.26992936427850656</v>
      </c>
      <c r="C320" s="63">
        <f t="shared" ref="C320:N320" si="268">C318/C300</f>
        <v>0.26291560102301792</v>
      </c>
      <c r="D320" s="63">
        <f t="shared" si="268"/>
        <v>0.24730656219392752</v>
      </c>
      <c r="E320" s="63">
        <f t="shared" si="268"/>
        <v>0.18186638388123011</v>
      </c>
      <c r="F320" s="63">
        <f t="shared" si="268"/>
        <v>0.17523609653725078</v>
      </c>
      <c r="G320" s="63">
        <f t="shared" si="268"/>
        <v>0.17443120260021669</v>
      </c>
      <c r="H320" s="63">
        <f t="shared" si="268"/>
        <v>0.25804988662131517</v>
      </c>
      <c r="I320" s="63">
        <f t="shared" si="268"/>
        <v>0.29454390451832907</v>
      </c>
      <c r="J320" s="63">
        <f t="shared" si="268"/>
        <v>0</v>
      </c>
      <c r="K320" s="63">
        <f t="shared" si="268"/>
        <v>0</v>
      </c>
      <c r="L320" s="63">
        <f t="shared" si="268"/>
        <v>0</v>
      </c>
      <c r="M320" s="63">
        <f t="shared" si="268"/>
        <v>0</v>
      </c>
      <c r="N320" s="63">
        <f t="shared" si="268"/>
        <v>0</v>
      </c>
    </row>
    <row r="321" spans="1:14" x14ac:dyDescent="0.2">
      <c r="A321" s="9" t="s">
        <v>131</v>
      </c>
      <c r="B321">
        <f>Historicals!B209</f>
        <v>18</v>
      </c>
      <c r="C321">
        <f>Historicals!C209</f>
        <v>27</v>
      </c>
      <c r="D321">
        <f>Historicals!D209</f>
        <v>28</v>
      </c>
      <c r="E321">
        <f>Historicals!E209</f>
        <v>33</v>
      </c>
      <c r="F321">
        <f>Historicals!F209</f>
        <v>31</v>
      </c>
      <c r="G321">
        <f>Historicals!G209</f>
        <v>25</v>
      </c>
      <c r="H321">
        <f>Historicals!H209</f>
        <v>26</v>
      </c>
      <c r="I321">
        <f>Historicals!I209</f>
        <v>22</v>
      </c>
      <c r="J321" s="48">
        <f>I321*(1+J322)</f>
        <v>18.615384615384617</v>
      </c>
      <c r="K321" s="48">
        <f t="shared" ref="K321:N321" si="269">J321*(1+K322)</f>
        <v>15.75147928994083</v>
      </c>
      <c r="L321" s="48">
        <f t="shared" si="269"/>
        <v>13.328174783796086</v>
      </c>
      <c r="M321" s="48">
        <f t="shared" si="269"/>
        <v>11.277686355519766</v>
      </c>
      <c r="N321" s="48">
        <f t="shared" si="269"/>
        <v>9.5426576854398011</v>
      </c>
    </row>
    <row r="322" spans="1:14" x14ac:dyDescent="0.2">
      <c r="A322" s="46" t="s">
        <v>128</v>
      </c>
      <c r="B322" t="s">
        <v>193</v>
      </c>
      <c r="C322" s="63">
        <f>C321/B321-1</f>
        <v>0.5</v>
      </c>
      <c r="D322" s="63">
        <f t="shared" ref="D322:I322" si="270">D321/C321-1</f>
        <v>3.7037037037036979E-2</v>
      </c>
      <c r="E322" s="63">
        <f t="shared" si="270"/>
        <v>0.1785714285714286</v>
      </c>
      <c r="F322" s="63">
        <f t="shared" si="270"/>
        <v>-6.0606060606060552E-2</v>
      </c>
      <c r="G322" s="63">
        <f t="shared" si="270"/>
        <v>-0.19354838709677424</v>
      </c>
      <c r="H322" s="63">
        <f t="shared" si="270"/>
        <v>4.0000000000000036E-2</v>
      </c>
      <c r="I322" s="63">
        <f t="shared" si="270"/>
        <v>-0.15384615384615385</v>
      </c>
      <c r="J322" s="67">
        <f>I322</f>
        <v>-0.15384615384615385</v>
      </c>
      <c r="K322" s="67">
        <f t="shared" ref="K322:N322" si="271">J322</f>
        <v>-0.15384615384615385</v>
      </c>
      <c r="L322" s="67">
        <f t="shared" si="271"/>
        <v>-0.15384615384615385</v>
      </c>
      <c r="M322" s="67">
        <f t="shared" si="271"/>
        <v>-0.15384615384615385</v>
      </c>
      <c r="N322" s="67">
        <f t="shared" si="271"/>
        <v>-0.15384615384615385</v>
      </c>
    </row>
    <row r="323" spans="1:14" x14ac:dyDescent="0.2">
      <c r="A323" s="46" t="s">
        <v>132</v>
      </c>
      <c r="B323" s="63">
        <f>B321/B300</f>
        <v>9.0817356205852677E-3</v>
      </c>
      <c r="C323" s="63">
        <f t="shared" ref="C323:N323" si="272">C321/C300</f>
        <v>1.3810741687979539E-2</v>
      </c>
      <c r="D323" s="63">
        <f t="shared" si="272"/>
        <v>1.3712047012732615E-2</v>
      </c>
      <c r="E323" s="63">
        <f t="shared" si="272"/>
        <v>1.7497348886532343E-2</v>
      </c>
      <c r="F323" s="63">
        <f t="shared" si="272"/>
        <v>1.6264428121720881E-2</v>
      </c>
      <c r="G323" s="63">
        <f t="shared" si="272"/>
        <v>1.3542795232936078E-2</v>
      </c>
      <c r="H323" s="63">
        <f t="shared" si="272"/>
        <v>1.1791383219954649E-2</v>
      </c>
      <c r="I323" s="63">
        <f t="shared" si="272"/>
        <v>9.3776641091219103E-3</v>
      </c>
      <c r="J323" s="63">
        <f t="shared" si="272"/>
        <v>7.723082520901388E-3</v>
      </c>
      <c r="K323" s="63">
        <f t="shared" si="272"/>
        <v>6.3243309412094198E-3</v>
      </c>
      <c r="L323" s="63">
        <f t="shared" si="272"/>
        <v>5.1869459421856829E-3</v>
      </c>
      <c r="M323" s="63">
        <f t="shared" si="272"/>
        <v>4.1913773525624805E-3</v>
      </c>
      <c r="N323" s="63">
        <f t="shared" si="272"/>
        <v>3.3700981216111944E-3</v>
      </c>
    </row>
    <row r="324" spans="1:14" x14ac:dyDescent="0.2">
      <c r="A324" s="46" t="s">
        <v>139</v>
      </c>
      <c r="B324" s="63">
        <f>B321/B331</f>
        <v>0.14754098360655737</v>
      </c>
      <c r="C324" s="63">
        <f t="shared" ref="C324:N324" si="273">C321/C331</f>
        <v>0.216</v>
      </c>
      <c r="D324" s="63">
        <f t="shared" si="273"/>
        <v>0.224</v>
      </c>
      <c r="E324" s="63">
        <f t="shared" si="273"/>
        <v>0.28695652173913044</v>
      </c>
      <c r="F324" s="63">
        <f t="shared" si="273"/>
        <v>0.31</v>
      </c>
      <c r="G324" s="63">
        <f t="shared" si="273"/>
        <v>0.3125</v>
      </c>
      <c r="H324" s="63">
        <f t="shared" si="273"/>
        <v>0.41269841269841268</v>
      </c>
      <c r="I324" s="63">
        <f t="shared" si="273"/>
        <v>0.44897959183673469</v>
      </c>
      <c r="J324" s="63">
        <f t="shared" si="273"/>
        <v>0.48845032518501907</v>
      </c>
      <c r="K324" s="63">
        <f t="shared" si="273"/>
        <v>0.53139101311337245</v>
      </c>
      <c r="L324" s="63">
        <f t="shared" si="273"/>
        <v>0.57810670657388863</v>
      </c>
      <c r="M324" s="63">
        <f t="shared" si="273"/>
        <v>0.62892927418477995</v>
      </c>
      <c r="N324" s="63">
        <f t="shared" si="273"/>
        <v>0.68421975982739791</v>
      </c>
    </row>
    <row r="325" spans="1:14" x14ac:dyDescent="0.2">
      <c r="A325" s="9" t="s">
        <v>133</v>
      </c>
      <c r="B325">
        <v>517</v>
      </c>
      <c r="C325">
        <v>487</v>
      </c>
      <c r="D325">
        <v>477</v>
      </c>
      <c r="E325">
        <v>310</v>
      </c>
      <c r="F325">
        <v>303</v>
      </c>
      <c r="G325">
        <v>297</v>
      </c>
      <c r="H325">
        <v>543</v>
      </c>
      <c r="I325">
        <v>669</v>
      </c>
      <c r="J325" s="59">
        <f>I325*(1+J326)</f>
        <v>824.23756906077358</v>
      </c>
      <c r="K325" s="59">
        <f t="shared" ref="K325:N325" si="274">J325*(1+K326)</f>
        <v>1015.4971154726659</v>
      </c>
      <c r="L325" s="59">
        <f t="shared" si="274"/>
        <v>1251.1373301127321</v>
      </c>
      <c r="M325" s="59">
        <f t="shared" si="274"/>
        <v>1541.4564895864048</v>
      </c>
      <c r="N325" s="59">
        <f t="shared" si="274"/>
        <v>1899.1425258440238</v>
      </c>
    </row>
    <row r="326" spans="1:14" x14ac:dyDescent="0.2">
      <c r="A326" s="46" t="s">
        <v>128</v>
      </c>
      <c r="B326" t="s">
        <v>193</v>
      </c>
      <c r="C326" s="63">
        <f>C325/B325-1</f>
        <v>-5.8027079303675011E-2</v>
      </c>
      <c r="D326" s="63">
        <f t="shared" ref="D326:I326" si="275">D325/C325-1</f>
        <v>-2.0533880903490731E-2</v>
      </c>
      <c r="E326" s="63">
        <f t="shared" si="275"/>
        <v>-0.35010482180293501</v>
      </c>
      <c r="F326" s="63">
        <f t="shared" si="275"/>
        <v>-2.2580645161290325E-2</v>
      </c>
      <c r="G326" s="63">
        <f t="shared" si="275"/>
        <v>-1.980198019801982E-2</v>
      </c>
      <c r="H326" s="63">
        <f t="shared" si="275"/>
        <v>0.82828282828282829</v>
      </c>
      <c r="I326" s="63">
        <f t="shared" si="275"/>
        <v>0.2320441988950277</v>
      </c>
      <c r="J326" s="47">
        <f>I326</f>
        <v>0.2320441988950277</v>
      </c>
      <c r="K326" s="47">
        <f t="shared" ref="K326:N326" si="276">J326</f>
        <v>0.2320441988950277</v>
      </c>
      <c r="L326" s="47">
        <f t="shared" si="276"/>
        <v>0.2320441988950277</v>
      </c>
      <c r="M326" s="47">
        <f t="shared" si="276"/>
        <v>0.2320441988950277</v>
      </c>
      <c r="N326" s="47">
        <f t="shared" si="276"/>
        <v>0.2320441988950277</v>
      </c>
    </row>
    <row r="327" spans="1:14" x14ac:dyDescent="0.2">
      <c r="A327" s="46" t="s">
        <v>130</v>
      </c>
      <c r="B327" s="63">
        <f>B325/B300</f>
        <v>0.26084762865792127</v>
      </c>
      <c r="C327" s="63">
        <f t="shared" ref="C327:N327" si="277">C325/C300</f>
        <v>0.24910485933503837</v>
      </c>
      <c r="D327" s="63">
        <f t="shared" si="277"/>
        <v>0.23359451518119489</v>
      </c>
      <c r="E327" s="63">
        <f t="shared" si="277"/>
        <v>0.16436903499469777</v>
      </c>
      <c r="F327" s="63">
        <f t="shared" si="277"/>
        <v>0.1589716684155299</v>
      </c>
      <c r="G327" s="63">
        <f t="shared" si="277"/>
        <v>0.16088840736728061</v>
      </c>
      <c r="H327" s="63">
        <f t="shared" si="277"/>
        <v>0.24625850340136055</v>
      </c>
      <c r="I327" s="63">
        <f t="shared" si="277"/>
        <v>0.28516624040920718</v>
      </c>
      <c r="J327" s="63">
        <f t="shared" si="277"/>
        <v>0.34195666080531256</v>
      </c>
      <c r="K327" s="63">
        <f t="shared" si="277"/>
        <v>0.40772931290295472</v>
      </c>
      <c r="L327" s="63">
        <f t="shared" si="277"/>
        <v>0.48690700735970721</v>
      </c>
      <c r="M327" s="63">
        <f t="shared" si="277"/>
        <v>0.57288575127386165</v>
      </c>
      <c r="N327" s="63">
        <f t="shared" si="277"/>
        <v>0.67070378818937038</v>
      </c>
    </row>
    <row r="328" spans="1:14" x14ac:dyDescent="0.2">
      <c r="A328" s="9" t="s">
        <v>134</v>
      </c>
      <c r="B328">
        <f>Historicals!B194</f>
        <v>0</v>
      </c>
      <c r="C328">
        <f>Historicals!C194</f>
        <v>0</v>
      </c>
      <c r="D328">
        <f>Historicals!D194</f>
        <v>0</v>
      </c>
      <c r="E328">
        <f>Historicals!E194</f>
        <v>22</v>
      </c>
      <c r="F328">
        <f>Historicals!F194</f>
        <v>18</v>
      </c>
      <c r="G328">
        <f>Historicals!G194</f>
        <v>12</v>
      </c>
      <c r="H328">
        <f>Historicals!H194</f>
        <v>7</v>
      </c>
      <c r="I328">
        <f>Historicals!I194</f>
        <v>9</v>
      </c>
      <c r="J328" s="69">
        <f>I328*(1+J329)</f>
        <v>11.571428571428573</v>
      </c>
      <c r="K328" s="69">
        <f t="shared" ref="K328:N328" si="278">J328*(1+K329)</f>
        <v>14.877551020408166</v>
      </c>
      <c r="L328" s="69">
        <f t="shared" si="278"/>
        <v>19.128279883381929</v>
      </c>
      <c r="M328" s="69">
        <f t="shared" si="278"/>
        <v>24.593502707205339</v>
      </c>
      <c r="N328" s="69">
        <f t="shared" si="278"/>
        <v>31.620217766406867</v>
      </c>
    </row>
    <row r="329" spans="1:14" x14ac:dyDescent="0.2">
      <c r="A329" s="46" t="s">
        <v>128</v>
      </c>
      <c r="E329" t="s">
        <v>193</v>
      </c>
      <c r="F329" s="63">
        <f>F328/E328-1</f>
        <v>-0.18181818181818177</v>
      </c>
      <c r="G329" s="63">
        <f t="shared" ref="G329:I329" si="279">G328/F328-1</f>
        <v>-0.33333333333333337</v>
      </c>
      <c r="H329" s="63">
        <f t="shared" si="279"/>
        <v>-0.41666666666666663</v>
      </c>
      <c r="I329" s="63">
        <f t="shared" si="279"/>
        <v>0.28571428571428581</v>
      </c>
      <c r="J329" s="67">
        <f>I329</f>
        <v>0.28571428571428581</v>
      </c>
      <c r="K329" s="67">
        <f t="shared" ref="K329:N329" si="280">J329</f>
        <v>0.28571428571428581</v>
      </c>
      <c r="L329" s="67">
        <f t="shared" si="280"/>
        <v>0.28571428571428581</v>
      </c>
      <c r="M329" s="67">
        <f t="shared" si="280"/>
        <v>0.28571428571428581</v>
      </c>
      <c r="N329" s="67">
        <f t="shared" si="280"/>
        <v>0.28571428571428581</v>
      </c>
    </row>
    <row r="330" spans="1:14" x14ac:dyDescent="0.2">
      <c r="A330" s="46" t="s">
        <v>132</v>
      </c>
      <c r="E330" s="63">
        <f>E328/E300</f>
        <v>1.166489925768823E-2</v>
      </c>
      <c r="F330" s="63">
        <f t="shared" ref="F330:N330" si="281">F328/F300</f>
        <v>9.4438614900314802E-3</v>
      </c>
      <c r="G330" s="63">
        <f t="shared" si="281"/>
        <v>6.5005417118093175E-3</v>
      </c>
      <c r="H330" s="63">
        <f t="shared" si="281"/>
        <v>3.1746031746031746E-3</v>
      </c>
      <c r="I330" s="63">
        <f t="shared" si="281"/>
        <v>3.8363171355498722E-3</v>
      </c>
      <c r="J330" s="63">
        <f t="shared" si="281"/>
        <v>4.8007118621659749E-3</v>
      </c>
      <c r="K330" s="63">
        <f t="shared" si="281"/>
        <v>5.9734425266252302E-3</v>
      </c>
      <c r="L330" s="63">
        <f t="shared" si="281"/>
        <v>7.4441816176304054E-3</v>
      </c>
      <c r="M330" s="63">
        <f t="shared" si="281"/>
        <v>9.1402302757526664E-3</v>
      </c>
      <c r="N330" s="63">
        <f t="shared" si="281"/>
        <v>1.1167039624831039E-2</v>
      </c>
    </row>
    <row r="331" spans="1:14" x14ac:dyDescent="0.2">
      <c r="A331" s="72" t="s">
        <v>140</v>
      </c>
      <c r="B331">
        <v>122</v>
      </c>
      <c r="C331">
        <v>125</v>
      </c>
      <c r="D331">
        <v>125</v>
      </c>
      <c r="E331">
        <v>115</v>
      </c>
      <c r="F331">
        <v>100</v>
      </c>
      <c r="G331">
        <v>80</v>
      </c>
      <c r="H331">
        <v>63</v>
      </c>
      <c r="I331">
        <v>49</v>
      </c>
      <c r="J331" s="69">
        <f>I331*(1+J332)</f>
        <v>38.111111111111114</v>
      </c>
      <c r="K331" s="69">
        <f t="shared" ref="K331:N331" si="282">J331*(1+K332)</f>
        <v>29.641975308641978</v>
      </c>
      <c r="L331" s="69">
        <f t="shared" si="282"/>
        <v>23.054869684499316</v>
      </c>
      <c r="M331" s="69">
        <f t="shared" si="282"/>
        <v>17.931565310166135</v>
      </c>
      <c r="N331" s="69">
        <f t="shared" si="282"/>
        <v>13.946773019018105</v>
      </c>
    </row>
    <row r="332" spans="1:14" x14ac:dyDescent="0.2">
      <c r="A332" s="46" t="s">
        <v>128</v>
      </c>
      <c r="B332" t="s">
        <v>193</v>
      </c>
      <c r="C332" s="63">
        <f>C331/B331-1</f>
        <v>2.4590163934426146E-2</v>
      </c>
      <c r="D332" s="63">
        <f t="shared" ref="D332:I332" si="283">D331/C331-1</f>
        <v>0</v>
      </c>
      <c r="E332" s="63">
        <f t="shared" si="283"/>
        <v>-7.999999999999996E-2</v>
      </c>
      <c r="F332" s="63">
        <f t="shared" si="283"/>
        <v>-0.13043478260869568</v>
      </c>
      <c r="G332" s="63">
        <f t="shared" si="283"/>
        <v>-0.19999999999999996</v>
      </c>
      <c r="H332" s="63">
        <f t="shared" si="283"/>
        <v>-0.21250000000000002</v>
      </c>
      <c r="I332" s="63">
        <f t="shared" si="283"/>
        <v>-0.22222222222222221</v>
      </c>
      <c r="J332" s="47">
        <f>I332</f>
        <v>-0.22222222222222221</v>
      </c>
      <c r="K332" s="47">
        <f t="shared" ref="K332:N332" si="284">J332</f>
        <v>-0.22222222222222221</v>
      </c>
      <c r="L332" s="47">
        <f t="shared" si="284"/>
        <v>-0.22222222222222221</v>
      </c>
      <c r="M332" s="47">
        <f t="shared" si="284"/>
        <v>-0.22222222222222221</v>
      </c>
      <c r="N332" s="47">
        <f t="shared" si="284"/>
        <v>-0.22222222222222221</v>
      </c>
    </row>
    <row r="333" spans="1:14" x14ac:dyDescent="0.2">
      <c r="A333" s="46" t="s">
        <v>132</v>
      </c>
      <c r="B333" s="63">
        <f>B331/B300</f>
        <v>6.1553985872855703E-2</v>
      </c>
      <c r="C333" s="63">
        <f t="shared" ref="C333:N333" si="285">C331/C300</f>
        <v>6.3938618925831206E-2</v>
      </c>
      <c r="D333" s="63">
        <f t="shared" si="285"/>
        <v>6.1214495592556317E-2</v>
      </c>
      <c r="E333" s="63">
        <f t="shared" si="285"/>
        <v>6.097560975609756E-2</v>
      </c>
      <c r="F333" s="63">
        <f t="shared" si="285"/>
        <v>5.2465897166841552E-2</v>
      </c>
      <c r="G333" s="63">
        <f t="shared" si="285"/>
        <v>4.3336944745395449E-2</v>
      </c>
      <c r="H333" s="63">
        <f t="shared" si="285"/>
        <v>2.8571428571428571E-2</v>
      </c>
      <c r="I333" s="63">
        <f t="shared" si="285"/>
        <v>2.0886615515771527E-2</v>
      </c>
      <c r="J333" s="63">
        <f t="shared" si="285"/>
        <v>1.5811398053580939E-2</v>
      </c>
      <c r="K333" s="63">
        <f t="shared" si="285"/>
        <v>1.1901463865856013E-2</v>
      </c>
      <c r="L333" s="63">
        <f t="shared" si="285"/>
        <v>8.9722985102971345E-3</v>
      </c>
      <c r="M333" s="63">
        <f t="shared" si="285"/>
        <v>6.6643063450900052E-3</v>
      </c>
      <c r="N333" s="63">
        <f t="shared" si="285"/>
        <v>4.9254615541377226E-3</v>
      </c>
    </row>
    <row r="334" spans="1:14" x14ac:dyDescent="0.2">
      <c r="A334" s="43" t="s">
        <v>200</v>
      </c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</row>
    <row r="335" spans="1:14" x14ac:dyDescent="0.2">
      <c r="A335" s="9" t="s">
        <v>135</v>
      </c>
      <c r="B335">
        <v>-82</v>
      </c>
      <c r="C335">
        <v>-86</v>
      </c>
      <c r="D335">
        <v>75</v>
      </c>
      <c r="E335">
        <v>26</v>
      </c>
      <c r="F335">
        <v>-7</v>
      </c>
      <c r="G335">
        <v>-11</v>
      </c>
      <c r="H335">
        <v>40</v>
      </c>
      <c r="I335">
        <v>-72</v>
      </c>
      <c r="J335">
        <f>-I335*(1+J336)</f>
        <v>273.59999999999997</v>
      </c>
      <c r="K335">
        <f t="shared" ref="K335:N335" si="286">-J335*(1+K336)</f>
        <v>-1039.6799999999998</v>
      </c>
      <c r="L335">
        <f t="shared" si="286"/>
        <v>3950.7839999999992</v>
      </c>
      <c r="M335">
        <f t="shared" si="286"/>
        <v>-15012.979199999996</v>
      </c>
      <c r="N335">
        <f t="shared" si="286"/>
        <v>57049.320959999983</v>
      </c>
    </row>
    <row r="336" spans="1:14" x14ac:dyDescent="0.2">
      <c r="A336" s="44" t="s">
        <v>128</v>
      </c>
      <c r="B336" t="s">
        <v>193</v>
      </c>
      <c r="C336" s="63">
        <f>-(C335/B335-1)</f>
        <v>-4.8780487804878092E-2</v>
      </c>
      <c r="D336" s="63">
        <f t="shared" ref="D336:I336" si="287">-(D335/C335-1)</f>
        <v>1.8720930232558139</v>
      </c>
      <c r="E336" s="63">
        <f t="shared" si="287"/>
        <v>0.65333333333333332</v>
      </c>
      <c r="F336" s="63">
        <f t="shared" si="287"/>
        <v>1.2692307692307692</v>
      </c>
      <c r="G336" s="63">
        <f t="shared" si="287"/>
        <v>-0.5714285714285714</v>
      </c>
      <c r="H336" s="63">
        <f t="shared" si="287"/>
        <v>4.6363636363636367</v>
      </c>
      <c r="I336" s="63">
        <f t="shared" si="287"/>
        <v>2.8</v>
      </c>
      <c r="J336" s="62">
        <f>I336</f>
        <v>2.8</v>
      </c>
      <c r="K336" s="62">
        <f t="shared" ref="K336:N336" si="288">J336</f>
        <v>2.8</v>
      </c>
      <c r="L336" s="62">
        <f t="shared" si="288"/>
        <v>2.8</v>
      </c>
      <c r="M336" s="62">
        <f t="shared" si="288"/>
        <v>2.8</v>
      </c>
      <c r="N336" s="62">
        <f t="shared" si="288"/>
        <v>2.8</v>
      </c>
    </row>
    <row r="337" spans="1:14" x14ac:dyDescent="0.2">
      <c r="A337" s="45" t="s">
        <v>112</v>
      </c>
    </row>
    <row r="338" spans="1:14" x14ac:dyDescent="0.2">
      <c r="A338" s="46" t="s">
        <v>128</v>
      </c>
      <c r="J338" s="64"/>
      <c r="K338" s="64"/>
      <c r="L338" s="64"/>
      <c r="M338" s="64"/>
      <c r="N338" s="64"/>
    </row>
    <row r="339" spans="1:14" x14ac:dyDescent="0.2">
      <c r="A339" s="44" t="s">
        <v>136</v>
      </c>
      <c r="J339" s="49"/>
      <c r="K339" s="49"/>
      <c r="L339" s="49"/>
      <c r="M339" s="49"/>
      <c r="N339" s="49"/>
    </row>
    <row r="340" spans="1:14" x14ac:dyDescent="0.2">
      <c r="A340" s="44" t="s">
        <v>137</v>
      </c>
      <c r="J340" s="49"/>
      <c r="K340" s="49"/>
      <c r="L340" s="49"/>
      <c r="M340" s="49"/>
      <c r="N340" s="49"/>
    </row>
    <row r="341" spans="1:14" x14ac:dyDescent="0.2">
      <c r="A341" s="45" t="s">
        <v>113</v>
      </c>
    </row>
    <row r="342" spans="1:14" x14ac:dyDescent="0.2">
      <c r="A342" s="44" t="s">
        <v>128</v>
      </c>
      <c r="J342" s="64"/>
      <c r="K342" s="64"/>
      <c r="L342" s="64"/>
      <c r="M342" s="64"/>
      <c r="N342" s="64"/>
    </row>
    <row r="343" spans="1:14" x14ac:dyDescent="0.2">
      <c r="A343" s="44" t="s">
        <v>136</v>
      </c>
      <c r="J343" s="65"/>
      <c r="K343" s="65"/>
      <c r="L343" s="65"/>
      <c r="M343" s="65"/>
      <c r="N343" s="65"/>
    </row>
    <row r="344" spans="1:14" x14ac:dyDescent="0.2">
      <c r="A344" s="44" t="s">
        <v>137</v>
      </c>
      <c r="J344" s="65"/>
      <c r="K344" s="65"/>
      <c r="L344" s="65"/>
      <c r="M344" s="65"/>
      <c r="N344" s="65"/>
    </row>
    <row r="345" spans="1:14" x14ac:dyDescent="0.2">
      <c r="A345" s="45" t="s">
        <v>114</v>
      </c>
    </row>
    <row r="346" spans="1:14" x14ac:dyDescent="0.2">
      <c r="A346" s="44" t="s">
        <v>128</v>
      </c>
      <c r="J346" s="64"/>
      <c r="K346" s="64"/>
      <c r="L346" s="64"/>
      <c r="M346" s="64"/>
      <c r="N346" s="64"/>
    </row>
    <row r="347" spans="1:14" x14ac:dyDescent="0.2">
      <c r="A347" s="44" t="s">
        <v>136</v>
      </c>
      <c r="J347" s="65"/>
      <c r="K347" s="65"/>
      <c r="L347" s="65"/>
      <c r="M347" s="65"/>
      <c r="N347" s="65"/>
    </row>
    <row r="348" spans="1:14" x14ac:dyDescent="0.2">
      <c r="A348" s="44" t="s">
        <v>137</v>
      </c>
      <c r="J348" s="65"/>
      <c r="K348" s="65"/>
      <c r="L348" s="65"/>
      <c r="M348" s="65"/>
      <c r="N348" s="65"/>
    </row>
    <row r="349" spans="1:14" x14ac:dyDescent="0.2">
      <c r="A349" s="9" t="s">
        <v>129</v>
      </c>
      <c r="B349">
        <f>B352+B356</f>
        <v>-1022</v>
      </c>
      <c r="C349">
        <f t="shared" ref="C349:I349" si="289">C352+C356</f>
        <v>-1089</v>
      </c>
      <c r="D349">
        <f t="shared" si="289"/>
        <v>-633</v>
      </c>
      <c r="E349">
        <f t="shared" si="289"/>
        <v>-1346</v>
      </c>
      <c r="F349">
        <f t="shared" si="289"/>
        <v>-1694</v>
      </c>
      <c r="G349">
        <f t="shared" si="289"/>
        <v>-1855</v>
      </c>
      <c r="H349">
        <f t="shared" si="289"/>
        <v>-2120</v>
      </c>
      <c r="I349">
        <f t="shared" si="289"/>
        <v>-2085</v>
      </c>
      <c r="J349" s="48">
        <f>I349*(1+J350)</f>
        <v>-2119.4221698113206</v>
      </c>
      <c r="K349" s="48">
        <f t="shared" ref="K349:N349" si="290">J349*(1+K350)</f>
        <v>-2154.412630161979</v>
      </c>
      <c r="L349" s="48">
        <f t="shared" si="290"/>
        <v>-2189.9807632071056</v>
      </c>
      <c r="M349" s="48">
        <f t="shared" si="290"/>
        <v>-2226.1361059959017</v>
      </c>
      <c r="N349" s="48">
        <f t="shared" si="290"/>
        <v>-2262.8883530288526</v>
      </c>
    </row>
    <row r="350" spans="1:14" x14ac:dyDescent="0.2">
      <c r="A350" s="46" t="s">
        <v>128</v>
      </c>
      <c r="B350" t="s">
        <v>193</v>
      </c>
      <c r="C350" s="63">
        <f>-(C349/B349-1)</f>
        <v>-6.5557729941291498E-2</v>
      </c>
      <c r="D350" s="63">
        <f t="shared" ref="D350:I350" si="291">-(D349/C349-1)</f>
        <v>0.41873278236914602</v>
      </c>
      <c r="E350" s="63">
        <f t="shared" si="291"/>
        <v>-1.126382306477093</v>
      </c>
      <c r="F350" s="63">
        <f t="shared" si="291"/>
        <v>-0.25854383358098065</v>
      </c>
      <c r="G350" s="63">
        <f t="shared" si="291"/>
        <v>-9.5041322314049603E-2</v>
      </c>
      <c r="H350" s="63">
        <f t="shared" si="291"/>
        <v>-0.14285714285714279</v>
      </c>
      <c r="I350" s="63">
        <f t="shared" si="291"/>
        <v>1.650943396226412E-2</v>
      </c>
      <c r="J350" s="67">
        <f>I350</f>
        <v>1.650943396226412E-2</v>
      </c>
      <c r="K350" s="67">
        <f t="shared" ref="K350:N350" si="292">J350</f>
        <v>1.650943396226412E-2</v>
      </c>
      <c r="L350" s="67">
        <f t="shared" si="292"/>
        <v>1.650943396226412E-2</v>
      </c>
      <c r="M350" s="67">
        <f t="shared" si="292"/>
        <v>1.650943396226412E-2</v>
      </c>
      <c r="N350" s="67">
        <f t="shared" si="292"/>
        <v>1.650943396226412E-2</v>
      </c>
    </row>
    <row r="351" spans="1:14" x14ac:dyDescent="0.2">
      <c r="A351" s="46" t="s">
        <v>130</v>
      </c>
      <c r="B351" s="63">
        <f>B349/B335</f>
        <v>12.463414634146341</v>
      </c>
      <c r="C351" s="63">
        <f t="shared" ref="C351:N351" si="293">C349/C335</f>
        <v>12.662790697674419</v>
      </c>
      <c r="D351" s="63">
        <f t="shared" si="293"/>
        <v>-8.44</v>
      </c>
      <c r="E351" s="63">
        <f t="shared" si="293"/>
        <v>-51.769230769230766</v>
      </c>
      <c r="F351" s="63">
        <f t="shared" si="293"/>
        <v>242</v>
      </c>
      <c r="G351" s="63">
        <f t="shared" si="293"/>
        <v>168.63636363636363</v>
      </c>
      <c r="H351" s="63">
        <f t="shared" si="293"/>
        <v>-53</v>
      </c>
      <c r="I351" s="63">
        <f t="shared" si="293"/>
        <v>28.958333333333332</v>
      </c>
      <c r="J351" s="63">
        <f t="shared" si="293"/>
        <v>-7.7464260592519034</v>
      </c>
      <c r="K351" s="63">
        <f t="shared" si="293"/>
        <v>2.072188202294917</v>
      </c>
      <c r="L351" s="63">
        <f t="shared" si="293"/>
        <v>-0.55431548857318091</v>
      </c>
      <c r="M351" s="63">
        <f t="shared" si="293"/>
        <v>0.1482807693489579</v>
      </c>
      <c r="N351" s="63">
        <f t="shared" si="293"/>
        <v>-3.9665473925894271E-2</v>
      </c>
    </row>
    <row r="352" spans="1:14" x14ac:dyDescent="0.2">
      <c r="A352" s="9" t="s">
        <v>131</v>
      </c>
      <c r="B352">
        <f>Historicals!B210</f>
        <v>75</v>
      </c>
      <c r="C352">
        <f>Historicals!C210</f>
        <v>84</v>
      </c>
      <c r="D352">
        <f>Historicals!D210</f>
        <v>91</v>
      </c>
      <c r="E352">
        <f>Historicals!E210</f>
        <v>110</v>
      </c>
      <c r="F352">
        <f>Historicals!F210</f>
        <v>116</v>
      </c>
      <c r="G352">
        <f>Historicals!G210</f>
        <v>112</v>
      </c>
      <c r="H352">
        <f>Historicals!H210</f>
        <v>141</v>
      </c>
      <c r="I352">
        <f>Historicals!I210</f>
        <v>134</v>
      </c>
      <c r="J352" s="48">
        <f>I352*(1+J353)</f>
        <v>146.27957660007601</v>
      </c>
      <c r="K352" s="48">
        <f t="shared" ref="K352:N352" si="294">J352*(1+K353)</f>
        <v>159.09176693629067</v>
      </c>
      <c r="L352" s="48">
        <f t="shared" si="294"/>
        <v>173.12281360885771</v>
      </c>
      <c r="M352" s="48">
        <f t="shared" si="294"/>
        <v>185.40875084629383</v>
      </c>
      <c r="N352" s="48">
        <f t="shared" si="294"/>
        <v>199.00152552165591</v>
      </c>
    </row>
    <row r="353" spans="1:14" x14ac:dyDescent="0.2">
      <c r="A353" s="46" t="s">
        <v>128</v>
      </c>
      <c r="B353" t="s">
        <v>193</v>
      </c>
      <c r="C353" s="63">
        <f>C352/B352-1</f>
        <v>0.12000000000000011</v>
      </c>
      <c r="D353" s="63">
        <f t="shared" ref="D353:I353" si="295">D352/C352-1</f>
        <v>8.3333333333333259E-2</v>
      </c>
      <c r="E353" s="63">
        <f t="shared" si="295"/>
        <v>0.20879120879120872</v>
      </c>
      <c r="F353" s="63">
        <f t="shared" si="295"/>
        <v>5.4545454545454453E-2</v>
      </c>
      <c r="G353" s="63">
        <f t="shared" si="295"/>
        <v>-3.4482758620689613E-2</v>
      </c>
      <c r="H353" s="63">
        <f t="shared" si="295"/>
        <v>0.2589285714285714</v>
      </c>
      <c r="I353" s="63">
        <f t="shared" si="295"/>
        <v>-4.9645390070921946E-2</v>
      </c>
      <c r="J353" s="67">
        <f>AVERAGE(C353:I353)</f>
        <v>9.1638631343850904E-2</v>
      </c>
      <c r="K353" s="67">
        <f t="shared" ref="K353:N353" si="296">AVERAGE(D353:J353)</f>
        <v>8.7587007250115298E-2</v>
      </c>
      <c r="L353" s="67">
        <f t="shared" si="296"/>
        <v>8.8194674952512736E-2</v>
      </c>
      <c r="M353" s="67">
        <f t="shared" si="296"/>
        <v>7.0966598689841898E-2</v>
      </c>
      <c r="N353" s="67">
        <f t="shared" si="296"/>
        <v>7.3312476424754386E-2</v>
      </c>
    </row>
    <row r="354" spans="1:14" x14ac:dyDescent="0.2">
      <c r="A354" s="46" t="s">
        <v>132</v>
      </c>
      <c r="B354" s="63">
        <f>B352/B335</f>
        <v>-0.91463414634146345</v>
      </c>
      <c r="C354" s="63">
        <f t="shared" ref="C354:N354" si="297">C352/C335</f>
        <v>-0.97674418604651159</v>
      </c>
      <c r="D354" s="63">
        <f t="shared" si="297"/>
        <v>1.2133333333333334</v>
      </c>
      <c r="E354" s="63">
        <f t="shared" si="297"/>
        <v>4.2307692307692308</v>
      </c>
      <c r="F354" s="63">
        <f t="shared" si="297"/>
        <v>-16.571428571428573</v>
      </c>
      <c r="G354" s="63">
        <f t="shared" si="297"/>
        <v>-10.181818181818182</v>
      </c>
      <c r="H354" s="63">
        <f t="shared" si="297"/>
        <v>3.5249999999999999</v>
      </c>
      <c r="I354" s="63">
        <f t="shared" si="297"/>
        <v>-1.8611111111111112</v>
      </c>
      <c r="J354" s="63">
        <f t="shared" si="297"/>
        <v>0.53464757529267559</v>
      </c>
      <c r="K354" s="63">
        <f t="shared" si="297"/>
        <v>-0.15301993588055046</v>
      </c>
      <c r="L354" s="63">
        <f t="shared" si="297"/>
        <v>4.3819862996523663E-2</v>
      </c>
      <c r="M354" s="63">
        <f t="shared" si="297"/>
        <v>-1.2349897270642583E-2</v>
      </c>
      <c r="N354" s="63">
        <f t="shared" si="297"/>
        <v>3.4882365324065017E-3</v>
      </c>
    </row>
    <row r="355" spans="1:14" x14ac:dyDescent="0.2">
      <c r="A355" s="46" t="s">
        <v>139</v>
      </c>
      <c r="B355" s="63">
        <f>B352/B362</f>
        <v>0.10518934081346423</v>
      </c>
      <c r="C355" s="63">
        <f t="shared" ref="C355:N355" si="298">C352/C362</f>
        <v>8.9647812166488788E-2</v>
      </c>
      <c r="D355" s="63">
        <f t="shared" si="298"/>
        <v>7.3505654281098551E-2</v>
      </c>
      <c r="E355" s="63">
        <f t="shared" si="298"/>
        <v>7.586206896551724E-2</v>
      </c>
      <c r="F355" s="63">
        <f t="shared" si="298"/>
        <v>6.9336521219366412E-2</v>
      </c>
      <c r="G355" s="63">
        <f t="shared" si="298"/>
        <v>5.845511482254697E-2</v>
      </c>
      <c r="H355" s="63">
        <f t="shared" si="298"/>
        <v>7.5401069518716571E-2</v>
      </c>
      <c r="I355" s="63">
        <f t="shared" si="298"/>
        <v>7.374793615850303E-2</v>
      </c>
      <c r="J355" s="63">
        <f t="shared" si="298"/>
        <v>8.2854375175001993E-2</v>
      </c>
      <c r="K355" s="63">
        <f t="shared" si="298"/>
        <v>9.273979604671255E-2</v>
      </c>
      <c r="L355" s="63">
        <f t="shared" si="298"/>
        <v>0.10386265307681973</v>
      </c>
      <c r="M355" s="63">
        <f t="shared" si="298"/>
        <v>0.11447799581431663</v>
      </c>
      <c r="N355" s="63">
        <f t="shared" si="298"/>
        <v>0.12645467056320572</v>
      </c>
    </row>
    <row r="356" spans="1:14" x14ac:dyDescent="0.2">
      <c r="A356" s="9" t="s">
        <v>133</v>
      </c>
      <c r="B356">
        <v>-1097</v>
      </c>
      <c r="C356">
        <v>-1173</v>
      </c>
      <c r="D356">
        <v>-724</v>
      </c>
      <c r="E356">
        <v>-1456</v>
      </c>
      <c r="F356">
        <v>-1810</v>
      </c>
      <c r="G356">
        <v>-1967</v>
      </c>
      <c r="H356">
        <v>-2261</v>
      </c>
      <c r="I356">
        <v>-2219</v>
      </c>
      <c r="J356" s="59">
        <f>I356*(1+J357)</f>
        <v>-2260.2198142414859</v>
      </c>
      <c r="K356" s="59">
        <f t="shared" ref="K356:N356" si="299">J356*(1+K357)</f>
        <v>-2302.2053216267768</v>
      </c>
      <c r="L356" s="59">
        <f t="shared" si="299"/>
        <v>-2344.9707455579241</v>
      </c>
      <c r="M356" s="59">
        <f t="shared" si="299"/>
        <v>-2388.5305736487835</v>
      </c>
      <c r="N356" s="59">
        <f t="shared" si="299"/>
        <v>-2432.8995626329715</v>
      </c>
    </row>
    <row r="357" spans="1:14" x14ac:dyDescent="0.2">
      <c r="A357" s="46" t="s">
        <v>128</v>
      </c>
      <c r="B357" t="s">
        <v>193</v>
      </c>
      <c r="C357" s="63">
        <f>-(C356/B356-1)</f>
        <v>-6.9279854147675568E-2</v>
      </c>
      <c r="D357" s="63">
        <f t="shared" ref="D357:I357" si="300">-(D356/C356-1)</f>
        <v>0.38277919863597609</v>
      </c>
      <c r="E357" s="63">
        <f t="shared" si="300"/>
        <v>-1.0110497237569063</v>
      </c>
      <c r="F357" s="63">
        <f t="shared" si="300"/>
        <v>-0.24313186813186816</v>
      </c>
      <c r="G357" s="63">
        <f t="shared" si="300"/>
        <v>-8.6740331491712785E-2</v>
      </c>
      <c r="H357" s="63">
        <f t="shared" si="300"/>
        <v>-0.14946619217081847</v>
      </c>
      <c r="I357" s="63">
        <f t="shared" si="300"/>
        <v>1.8575851393188847E-2</v>
      </c>
      <c r="J357" s="47">
        <f>I357</f>
        <v>1.8575851393188847E-2</v>
      </c>
      <c r="K357" s="47">
        <f t="shared" ref="K357:N357" si="301">J357</f>
        <v>1.8575851393188847E-2</v>
      </c>
      <c r="L357" s="47">
        <f t="shared" si="301"/>
        <v>1.8575851393188847E-2</v>
      </c>
      <c r="M357" s="47">
        <f t="shared" si="301"/>
        <v>1.8575851393188847E-2</v>
      </c>
      <c r="N357" s="47">
        <f t="shared" si="301"/>
        <v>1.8575851393188847E-2</v>
      </c>
    </row>
    <row r="358" spans="1:14" x14ac:dyDescent="0.2">
      <c r="A358" s="46" t="s">
        <v>130</v>
      </c>
      <c r="B358" s="63">
        <f>B356/B335</f>
        <v>13.378048780487806</v>
      </c>
      <c r="C358" s="63">
        <f t="shared" ref="C358:N358" si="302">C356/C335</f>
        <v>13.63953488372093</v>
      </c>
      <c r="D358" s="63">
        <f t="shared" si="302"/>
        <v>-9.6533333333333342</v>
      </c>
      <c r="E358" s="63">
        <f t="shared" si="302"/>
        <v>-56</v>
      </c>
      <c r="F358" s="63">
        <f t="shared" si="302"/>
        <v>258.57142857142856</v>
      </c>
      <c r="G358" s="63">
        <f t="shared" si="302"/>
        <v>178.81818181818181</v>
      </c>
      <c r="H358" s="63">
        <f t="shared" si="302"/>
        <v>-56.524999999999999</v>
      </c>
      <c r="I358" s="63">
        <f t="shared" si="302"/>
        <v>30.819444444444443</v>
      </c>
      <c r="J358" s="63">
        <f t="shared" si="302"/>
        <v>-8.2610373327539701</v>
      </c>
      <c r="K358" s="63">
        <f t="shared" si="302"/>
        <v>2.2143402985791565</v>
      </c>
      <c r="L358" s="63">
        <f t="shared" si="302"/>
        <v>-0.59354567234197686</v>
      </c>
      <c r="M358" s="63">
        <f t="shared" si="302"/>
        <v>0.15909770751222943</v>
      </c>
      <c r="N358" s="63">
        <f t="shared" si="302"/>
        <v>-4.2645548127361481E-2</v>
      </c>
    </row>
    <row r="359" spans="1:14" x14ac:dyDescent="0.2">
      <c r="A359" s="9" t="s">
        <v>134</v>
      </c>
      <c r="B359">
        <f>Historicals!B195</f>
        <v>963</v>
      </c>
      <c r="C359">
        <f>Historicals!C195</f>
        <v>1143</v>
      </c>
      <c r="D359">
        <f>Historicals!D195</f>
        <v>1105</v>
      </c>
      <c r="E359">
        <f>Historicals!E195</f>
        <v>159</v>
      </c>
      <c r="F359">
        <f>Historicals!F195</f>
        <v>377</v>
      </c>
      <c r="G359">
        <f>Historicals!G195</f>
        <v>318</v>
      </c>
      <c r="H359">
        <f>Historicals!H195</f>
        <v>11</v>
      </c>
      <c r="I359">
        <f>Historicals!I195</f>
        <v>50</v>
      </c>
      <c r="J359" s="69">
        <f>I359*(1+J360)</f>
        <v>72.086983538349401</v>
      </c>
      <c r="K359" s="69">
        <f t="shared" ref="K359:N359" si="303">J359*(1+K360)</f>
        <v>106.55487503377704</v>
      </c>
      <c r="L359" s="69">
        <f t="shared" si="303"/>
        <v>165.28777588119033</v>
      </c>
      <c r="M359" s="69">
        <f t="shared" si="303"/>
        <v>289.62426835521569</v>
      </c>
      <c r="N359" s="69">
        <f t="shared" si="303"/>
        <v>481.88806819814187</v>
      </c>
    </row>
    <row r="360" spans="1:14" x14ac:dyDescent="0.2">
      <c r="A360" s="46" t="s">
        <v>128</v>
      </c>
      <c r="B360" t="s">
        <v>193</v>
      </c>
      <c r="C360" s="63">
        <f>C359/B359-1</f>
        <v>0.18691588785046731</v>
      </c>
      <c r="D360" s="63">
        <f t="shared" ref="D360:I360" si="304">D359/C359-1</f>
        <v>-3.3245844269466307E-2</v>
      </c>
      <c r="E360" s="63">
        <f t="shared" si="304"/>
        <v>-0.85610859728506794</v>
      </c>
      <c r="F360" s="63">
        <f t="shared" si="304"/>
        <v>1.3710691823899372</v>
      </c>
      <c r="G360" s="63">
        <f t="shared" si="304"/>
        <v>-0.156498673740053</v>
      </c>
      <c r="H360" s="63">
        <f t="shared" si="304"/>
        <v>-0.96540880503144655</v>
      </c>
      <c r="I360" s="63">
        <f t="shared" si="304"/>
        <v>3.5454545454545459</v>
      </c>
      <c r="J360" s="67">
        <f>AVERAGE(C360:I360)</f>
        <v>0.44173967076698811</v>
      </c>
      <c r="K360" s="67">
        <f t="shared" ref="K360:N360" si="305">AVERAGE(D360:J360)</f>
        <v>0.47814306832649106</v>
      </c>
      <c r="L360" s="67">
        <f t="shared" si="305"/>
        <v>0.55119862726877067</v>
      </c>
      <c r="M360" s="67">
        <f t="shared" si="305"/>
        <v>0.75224251649074769</v>
      </c>
      <c r="N360" s="67">
        <f t="shared" si="305"/>
        <v>0.66383870707657766</v>
      </c>
    </row>
    <row r="361" spans="1:14" x14ac:dyDescent="0.2">
      <c r="A361" s="46" t="s">
        <v>132</v>
      </c>
      <c r="B361" s="63">
        <f>B359/B335</f>
        <v>-11.74390243902439</v>
      </c>
      <c r="C361" s="63">
        <f t="shared" ref="C361:N361" si="306">C359/C335</f>
        <v>-13.290697674418604</v>
      </c>
      <c r="D361" s="63">
        <f t="shared" si="306"/>
        <v>14.733333333333333</v>
      </c>
      <c r="E361" s="63">
        <f t="shared" si="306"/>
        <v>6.115384615384615</v>
      </c>
      <c r="F361" s="63">
        <f t="shared" si="306"/>
        <v>-53.857142857142854</v>
      </c>
      <c r="G361" s="63">
        <f t="shared" si="306"/>
        <v>-28.90909090909091</v>
      </c>
      <c r="H361" s="63">
        <f t="shared" si="306"/>
        <v>0.27500000000000002</v>
      </c>
      <c r="I361" s="63">
        <f t="shared" si="306"/>
        <v>-0.69444444444444442</v>
      </c>
      <c r="J361" s="63">
        <f t="shared" si="306"/>
        <v>0.26347581702613088</v>
      </c>
      <c r="K361" s="63">
        <f t="shared" si="306"/>
        <v>-0.10248814542337743</v>
      </c>
      <c r="L361" s="63">
        <f t="shared" si="306"/>
        <v>4.1836702761069794E-2</v>
      </c>
      <c r="M361" s="63">
        <f t="shared" si="306"/>
        <v>-1.9291591928350622E-2</v>
      </c>
      <c r="N361" s="63">
        <f t="shared" si="306"/>
        <v>8.4468677293462746E-3</v>
      </c>
    </row>
    <row r="362" spans="1:14" x14ac:dyDescent="0.2">
      <c r="A362" s="72" t="s">
        <v>140</v>
      </c>
      <c r="B362">
        <v>713</v>
      </c>
      <c r="C362">
        <v>937</v>
      </c>
      <c r="D362">
        <v>1238</v>
      </c>
      <c r="E362">
        <v>1450</v>
      </c>
      <c r="F362">
        <v>1673</v>
      </c>
      <c r="G362">
        <v>1916</v>
      </c>
      <c r="H362">
        <v>1870</v>
      </c>
      <c r="I362">
        <v>1817</v>
      </c>
      <c r="J362" s="69">
        <f>I362*(1+J363)</f>
        <v>1765.5021390374332</v>
      </c>
      <c r="K362" s="69">
        <f t="shared" ref="K362:N362" si="307">J362*(1+K363)</f>
        <v>1715.4638431181904</v>
      </c>
      <c r="L362" s="69">
        <f t="shared" si="307"/>
        <v>1666.8437448907764</v>
      </c>
      <c r="M362" s="69">
        <f t="shared" si="307"/>
        <v>1619.6016494473481</v>
      </c>
      <c r="N362" s="69">
        <f t="shared" si="307"/>
        <v>1573.6985010940275</v>
      </c>
    </row>
    <row r="363" spans="1:14" x14ac:dyDescent="0.2">
      <c r="A363" s="46" t="s">
        <v>128</v>
      </c>
      <c r="B363" t="s">
        <v>193</v>
      </c>
      <c r="C363" s="63">
        <f>C362/B362-1</f>
        <v>0.31416549789621318</v>
      </c>
      <c r="D363" s="63">
        <f t="shared" ref="D363:I363" si="308">D362/C362-1</f>
        <v>0.32123799359658478</v>
      </c>
      <c r="E363" s="63">
        <f t="shared" si="308"/>
        <v>0.17124394184168024</v>
      </c>
      <c r="F363" s="63">
        <f t="shared" si="308"/>
        <v>0.15379310344827579</v>
      </c>
      <c r="G363" s="63">
        <f t="shared" si="308"/>
        <v>0.14524805738194857</v>
      </c>
      <c r="H363" s="63">
        <f t="shared" si="308"/>
        <v>-2.4008350730688965E-2</v>
      </c>
      <c r="I363" s="63">
        <f t="shared" si="308"/>
        <v>-2.8342245989304793E-2</v>
      </c>
      <c r="J363" s="47">
        <f>I363</f>
        <v>-2.8342245989304793E-2</v>
      </c>
      <c r="K363" s="47">
        <f t="shared" ref="K363:N363" si="309">J363</f>
        <v>-2.8342245989304793E-2</v>
      </c>
      <c r="L363" s="47">
        <f t="shared" si="309"/>
        <v>-2.8342245989304793E-2</v>
      </c>
      <c r="M363" s="47">
        <f t="shared" si="309"/>
        <v>-2.8342245989304793E-2</v>
      </c>
      <c r="N363" s="47">
        <f t="shared" si="309"/>
        <v>-2.8342245989304793E-2</v>
      </c>
    </row>
    <row r="364" spans="1:14" x14ac:dyDescent="0.2">
      <c r="A364" s="46" t="s">
        <v>132</v>
      </c>
      <c r="B364" s="63">
        <f>B362/B335</f>
        <v>-8.6951219512195124</v>
      </c>
      <c r="C364" s="63">
        <f t="shared" ref="C364:N364" si="310">C362/C335</f>
        <v>-10.895348837209303</v>
      </c>
      <c r="D364" s="63">
        <f t="shared" si="310"/>
        <v>16.506666666666668</v>
      </c>
      <c r="E364" s="63">
        <f t="shared" si="310"/>
        <v>55.769230769230766</v>
      </c>
      <c r="F364" s="63">
        <f t="shared" si="310"/>
        <v>-239</v>
      </c>
      <c r="G364" s="63">
        <f t="shared" si="310"/>
        <v>-174.18181818181819</v>
      </c>
      <c r="H364" s="63">
        <f t="shared" si="310"/>
        <v>46.75</v>
      </c>
      <c r="I364" s="63">
        <f t="shared" si="310"/>
        <v>-25.236111111111111</v>
      </c>
      <c r="J364" s="63">
        <f t="shared" si="310"/>
        <v>6.4528586953122566</v>
      </c>
      <c r="K364" s="63">
        <f t="shared" si="310"/>
        <v>-1.6499921544303928</v>
      </c>
      <c r="L364" s="63">
        <f t="shared" si="310"/>
        <v>0.42190201866029042</v>
      </c>
      <c r="M364" s="63">
        <f t="shared" si="310"/>
        <v>-0.10788009680632532</v>
      </c>
      <c r="N364" s="63">
        <f t="shared" si="310"/>
        <v>2.7584876990865904E-2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0"/>
  <sheetViews>
    <sheetView tabSelected="1" topLeftCell="E7" workbookViewId="0">
      <selection activeCell="O15" sqref="O15"/>
    </sheetView>
  </sheetViews>
  <sheetFormatPr baseColWidth="10" defaultColWidth="8.83203125" defaultRowHeight="15" x14ac:dyDescent="0.2"/>
  <cols>
    <col min="1" max="1" width="48.83203125" customWidth="1"/>
    <col min="2" max="8" width="11.83203125" customWidth="1"/>
    <col min="9" max="9" width="15" customWidth="1"/>
    <col min="10" max="10" width="13.1640625" customWidth="1"/>
    <col min="11" max="11" width="14.33203125" customWidth="1"/>
    <col min="12" max="13" width="13.6640625" customWidth="1"/>
    <col min="14" max="14" width="13.33203125" customWidth="1"/>
    <col min="15" max="15" width="84.33203125" customWidth="1"/>
    <col min="16" max="17" width="12.5" customWidth="1"/>
    <col min="18" max="19" width="13.33203125" customWidth="1"/>
  </cols>
  <sheetData>
    <row r="1" spans="1:19" ht="60" customHeight="1" x14ac:dyDescent="0.2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39"/>
      <c r="P1" s="39"/>
      <c r="Q1" s="39"/>
      <c r="R1" s="39"/>
      <c r="S1" s="39"/>
    </row>
    <row r="2" spans="1:19" x14ac:dyDescent="0.2">
      <c r="A2" s="40" t="s">
        <v>141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54582.04548884376</v>
      </c>
      <c r="K3" s="9">
        <f>'Segmental forecast'!K3</f>
        <v>61423.457156422155</v>
      </c>
      <c r="L3" s="9">
        <f>'Segmental forecast'!L3</f>
        <v>76115.605288570892</v>
      </c>
      <c r="M3" s="9">
        <f>'Segmental forecast'!M3</f>
        <v>68860.673139196369</v>
      </c>
      <c r="N3" s="9">
        <f>'Segmental forecast'!N3</f>
        <v>154918.8134998813</v>
      </c>
      <c r="O3" s="9"/>
      <c r="P3" s="9"/>
      <c r="Q3" s="9"/>
      <c r="R3" s="9"/>
      <c r="S3" s="9"/>
    </row>
    <row r="4" spans="1:19" x14ac:dyDescent="0.2">
      <c r="A4" s="42" t="s">
        <v>128</v>
      </c>
      <c r="B4" s="54" t="s">
        <v>193</v>
      </c>
      <c r="C4" s="54">
        <f>C3/B3-1</f>
        <v>5.8004640371229765E-2</v>
      </c>
      <c r="D4" s="54">
        <f t="shared" ref="D4:I4" si="1">D3/C3-1</f>
        <v>6.0971089696071123E-2</v>
      </c>
      <c r="E4" s="54">
        <f t="shared" si="1"/>
        <v>5.95924308588065E-2</v>
      </c>
      <c r="F4" s="54">
        <f t="shared" si="1"/>
        <v>7.4731433909388079E-2</v>
      </c>
      <c r="G4" s="54">
        <f t="shared" si="1"/>
        <v>-4.3817266150267153E-2</v>
      </c>
      <c r="H4" s="54">
        <f t="shared" si="1"/>
        <v>0.19076009945726269</v>
      </c>
      <c r="I4" s="54">
        <f t="shared" si="1"/>
        <v>4.8767344739323759E-2</v>
      </c>
      <c r="J4" s="54">
        <f>'Segmental forecast'!J4</f>
        <v>0.16853019672112524</v>
      </c>
      <c r="K4" s="54">
        <f>'Segmental forecast'!K4</f>
        <v>0.12534179703794243</v>
      </c>
      <c r="L4" s="54">
        <f>'Segmental forecast'!L4</f>
        <v>0.23919441875004577</v>
      </c>
      <c r="M4" s="54">
        <f>'Segmental forecast'!M4</f>
        <v>-9.5314648315144967E-2</v>
      </c>
      <c r="N4" s="54">
        <f>'Segmental forecast'!N4</f>
        <v>1.2497429437950056</v>
      </c>
      <c r="O4" s="54"/>
      <c r="P4" s="54"/>
      <c r="Q4" s="54"/>
      <c r="R4" s="54"/>
      <c r="S4" s="54"/>
    </row>
    <row r="5" spans="1:19" x14ac:dyDescent="0.2">
      <c r="A5" s="1" t="s">
        <v>142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8626.011695453024</v>
      </c>
      <c r="K5" s="9">
        <f>'Segmental forecast'!K5</f>
        <v>11027.076440700039</v>
      </c>
      <c r="L5" s="9">
        <f>'Segmental forecast'!L5</f>
        <v>14272.995640367593</v>
      </c>
      <c r="M5" s="9">
        <f>'Segmental forecast'!M5</f>
        <v>18653.775784042675</v>
      </c>
      <c r="N5" s="9">
        <f>'Segmental forecast'!N5</f>
        <v>24225.547351707693</v>
      </c>
      <c r="O5" s="9"/>
    </row>
    <row r="6" spans="1:19" x14ac:dyDescent="0.2">
      <c r="A6" s="50" t="s">
        <v>131</v>
      </c>
      <c r="B6" s="55">
        <f>'Segmental forecast'!B8</f>
        <v>606</v>
      </c>
      <c r="C6" s="55">
        <f>'Segmental forecast'!C8</f>
        <v>649</v>
      </c>
      <c r="D6" s="55">
        <f>'Segmental forecast'!D8</f>
        <v>706</v>
      </c>
      <c r="E6" s="55">
        <f>'Segmental forecast'!E8</f>
        <v>747</v>
      </c>
      <c r="F6" s="55">
        <f>'Segmental forecast'!F8</f>
        <v>705</v>
      </c>
      <c r="G6" s="55">
        <f>'Segmental forecast'!G8</f>
        <v>721</v>
      </c>
      <c r="H6" s="55">
        <f>'Segmental forecast'!H8</f>
        <v>744</v>
      </c>
      <c r="I6" s="55">
        <f>'Segmental forecast'!I8</f>
        <v>717</v>
      </c>
      <c r="J6" s="55">
        <f>'Segmental forecast'!J8</f>
        <v>722.35626729696696</v>
      </c>
      <c r="K6" s="55">
        <f>'Segmental forecast'!K8</f>
        <v>726.86508888046012</v>
      </c>
      <c r="L6" s="55">
        <f>'Segmental forecast'!L8</f>
        <v>731.24139556730415</v>
      </c>
      <c r="M6" s="55">
        <f>'Segmental forecast'!M8</f>
        <v>731.21297332920824</v>
      </c>
      <c r="N6" s="55">
        <f>'Segmental forecast'!N8</f>
        <v>733.94561474338491</v>
      </c>
      <c r="O6" s="55"/>
    </row>
    <row r="7" spans="1:19" x14ac:dyDescent="0.2">
      <c r="A7" s="4" t="s">
        <v>133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12498.263849259416</v>
      </c>
      <c r="K7" s="5">
        <f>'Segmental forecast'!K11</f>
        <v>16218.360249637481</v>
      </c>
      <c r="L7" s="5">
        <f>'Segmental forecast'!L11</f>
        <v>20393.501009487172</v>
      </c>
      <c r="M7" s="5">
        <f>'Segmental forecast'!M11</f>
        <v>25594.127340361734</v>
      </c>
      <c r="N7" s="5">
        <f>'Segmental forecast'!N11</f>
        <v>32221.169769525011</v>
      </c>
      <c r="O7" s="41"/>
    </row>
    <row r="8" spans="1:19" x14ac:dyDescent="0.2">
      <c r="A8" s="42" t="s">
        <v>128</v>
      </c>
      <c r="B8" s="54" t="s">
        <v>193</v>
      </c>
      <c r="C8" s="54">
        <f>C7/B7-1</f>
        <v>9.6621781242617555E-2</v>
      </c>
      <c r="D8" s="54">
        <f t="shared" ref="D8:I8" si="2">D7/C7-1</f>
        <v>6.5273588970271357E-2</v>
      </c>
      <c r="E8" s="54">
        <f t="shared" si="2"/>
        <v>-0.11445904954499497</v>
      </c>
      <c r="F8" s="54">
        <f t="shared" si="2"/>
        <v>0.10755880337976698</v>
      </c>
      <c r="G8" s="54">
        <f t="shared" si="2"/>
        <v>-0.38639175257731961</v>
      </c>
      <c r="H8" s="54">
        <f t="shared" si="2"/>
        <v>1.32627688172043</v>
      </c>
      <c r="I8" s="54">
        <f t="shared" si="2"/>
        <v>-9.67788530983682E-3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/>
    </row>
    <row r="9" spans="1:19" x14ac:dyDescent="0.2">
      <c r="A9" s="42" t="s">
        <v>130</v>
      </c>
      <c r="B9" s="54">
        <f>B7/B3</f>
        <v>0.13832881278389594</v>
      </c>
      <c r="C9" s="54">
        <f t="shared" ref="C9:I9" si="3">C7/C3</f>
        <v>0.14337781072399308</v>
      </c>
      <c r="D9" s="54">
        <f t="shared" si="3"/>
        <v>0.14395924308588065</v>
      </c>
      <c r="E9" s="54">
        <f t="shared" si="3"/>
        <v>0.12031211363573921</v>
      </c>
      <c r="F9" s="54">
        <f t="shared" si="3"/>
        <v>0.12398701331901731</v>
      </c>
      <c r="G9" s="54">
        <f t="shared" si="3"/>
        <v>7.9565810229126011E-2</v>
      </c>
      <c r="H9" s="54">
        <f t="shared" si="3"/>
        <v>0.1554402981723472</v>
      </c>
      <c r="I9" s="54">
        <f t="shared" si="3"/>
        <v>0.14677799186469706</v>
      </c>
      <c r="J9" s="54">
        <f>I9</f>
        <v>0.14677799186469706</v>
      </c>
      <c r="K9" s="54">
        <f t="shared" ref="K9:N9" si="4">J9</f>
        <v>0.14677799186469706</v>
      </c>
      <c r="L9" s="54">
        <f t="shared" si="4"/>
        <v>0.14677799186469706</v>
      </c>
      <c r="M9" s="54">
        <f t="shared" si="4"/>
        <v>0.14677799186469706</v>
      </c>
      <c r="N9" s="54">
        <f t="shared" si="4"/>
        <v>0.14677799186469706</v>
      </c>
      <c r="O9" s="54"/>
    </row>
    <row r="10" spans="1:19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</f>
        <v>205</v>
      </c>
      <c r="K10" s="3">
        <f t="shared" ref="K10:N10" si="5">J10</f>
        <v>205</v>
      </c>
      <c r="L10" s="3">
        <f t="shared" si="5"/>
        <v>205</v>
      </c>
      <c r="M10" s="3">
        <f t="shared" si="5"/>
        <v>205</v>
      </c>
      <c r="N10" s="3">
        <f t="shared" si="5"/>
        <v>205</v>
      </c>
      <c r="O10" s="3"/>
    </row>
    <row r="11" spans="1:19" x14ac:dyDescent="0.2">
      <c r="A11" s="4" t="s">
        <v>143</v>
      </c>
      <c r="B11" s="5">
        <f>B7-B10</f>
        <v>4205</v>
      </c>
      <c r="C11" s="5">
        <f t="shared" ref="C11:N11" si="6">C7-C10</f>
        <v>4623</v>
      </c>
      <c r="D11" s="5">
        <f t="shared" si="6"/>
        <v>4886</v>
      </c>
      <c r="E11" s="5">
        <f t="shared" si="6"/>
        <v>4325</v>
      </c>
      <c r="F11" s="5">
        <f t="shared" si="6"/>
        <v>4801</v>
      </c>
      <c r="G11" s="5">
        <f t="shared" si="6"/>
        <v>2887</v>
      </c>
      <c r="H11" s="5">
        <f t="shared" si="6"/>
        <v>6661</v>
      </c>
      <c r="I11" s="5">
        <f t="shared" si="6"/>
        <v>6651</v>
      </c>
      <c r="J11" s="5">
        <f t="shared" si="6"/>
        <v>12293.263849259416</v>
      </c>
      <c r="K11" s="5">
        <f t="shared" si="6"/>
        <v>16013.360249637481</v>
      </c>
      <c r="L11" s="5">
        <f t="shared" si="6"/>
        <v>20188.501009487172</v>
      </c>
      <c r="M11" s="5">
        <f t="shared" si="6"/>
        <v>25389.127340361734</v>
      </c>
      <c r="N11" s="5">
        <f t="shared" si="6"/>
        <v>32016.169769525011</v>
      </c>
      <c r="O11" s="41"/>
    </row>
    <row r="12" spans="1:19" x14ac:dyDescent="0.2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1966.9222158815066</v>
      </c>
      <c r="K12" s="3">
        <f t="shared" ref="K12:N12" si="7">K11*K13</f>
        <v>1921.6032299564977</v>
      </c>
      <c r="L12" s="3">
        <f t="shared" si="7"/>
        <v>2422.6201211384605</v>
      </c>
      <c r="M12" s="3">
        <f t="shared" si="7"/>
        <v>3046.695280843408</v>
      </c>
      <c r="N12" s="3">
        <f t="shared" si="7"/>
        <v>3841.9403723430014</v>
      </c>
      <c r="O12" s="3"/>
    </row>
    <row r="13" spans="1:19" x14ac:dyDescent="0.2">
      <c r="A13" s="51" t="s">
        <v>144</v>
      </c>
      <c r="B13" s="56">
        <f>B12/B11</f>
        <v>0.22164090368608799</v>
      </c>
      <c r="C13" s="56">
        <f t="shared" ref="C13:I13" si="8">C12/C11</f>
        <v>0.18667531905688947</v>
      </c>
      <c r="D13" s="56">
        <f t="shared" si="8"/>
        <v>0.13221449038067951</v>
      </c>
      <c r="E13" s="56">
        <f t="shared" si="8"/>
        <v>0.55306358381502885</v>
      </c>
      <c r="F13" s="56">
        <f t="shared" si="8"/>
        <v>0.16079983336804832</v>
      </c>
      <c r="G13" s="56">
        <f t="shared" si="8"/>
        <v>0.12054035330793211</v>
      </c>
      <c r="H13" s="56">
        <f t="shared" si="8"/>
        <v>0.14021918630836211</v>
      </c>
      <c r="I13" s="56">
        <f t="shared" si="8"/>
        <v>9.0963764847391368E-2</v>
      </c>
      <c r="J13" s="57">
        <v>0.16</v>
      </c>
      <c r="K13" s="57">
        <v>0.12</v>
      </c>
      <c r="L13" s="57">
        <v>0.12</v>
      </c>
      <c r="M13" s="57">
        <v>0.12</v>
      </c>
      <c r="N13" s="57">
        <v>0.12</v>
      </c>
      <c r="O13" s="57" t="s">
        <v>210</v>
      </c>
    </row>
    <row r="14" spans="1:19" ht="16" thickBot="1" x14ac:dyDescent="0.25">
      <c r="A14" s="6" t="s">
        <v>145</v>
      </c>
      <c r="B14" s="7">
        <f>B11-B12</f>
        <v>3273</v>
      </c>
      <c r="C14" s="7">
        <f t="shared" ref="C14:I14" si="9">C11-C12</f>
        <v>3760</v>
      </c>
      <c r="D14" s="7">
        <f t="shared" si="9"/>
        <v>4240</v>
      </c>
      <c r="E14" s="7">
        <f t="shared" si="9"/>
        <v>1933</v>
      </c>
      <c r="F14" s="7">
        <f t="shared" si="9"/>
        <v>4029</v>
      </c>
      <c r="G14" s="7">
        <f t="shared" si="9"/>
        <v>2539</v>
      </c>
      <c r="H14" s="7">
        <f t="shared" si="9"/>
        <v>5727</v>
      </c>
      <c r="I14" s="7">
        <f t="shared" si="9"/>
        <v>6046</v>
      </c>
      <c r="J14" s="7">
        <f>J11-J12</f>
        <v>10326.34163337791</v>
      </c>
      <c r="K14" s="7">
        <f t="shared" ref="K14:N14" si="10">K11-K12</f>
        <v>14091.757019680983</v>
      </c>
      <c r="L14" s="7">
        <f t="shared" si="10"/>
        <v>17765.880888348711</v>
      </c>
      <c r="M14" s="7">
        <f t="shared" si="10"/>
        <v>22342.432059518327</v>
      </c>
      <c r="N14" s="7">
        <f t="shared" si="10"/>
        <v>28174.229397182011</v>
      </c>
      <c r="O14" s="41"/>
    </row>
    <row r="15" spans="1:19" ht="16" thickTop="1" x14ac:dyDescent="0.2">
      <c r="A15" t="s">
        <v>146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</v>
      </c>
      <c r="F15" s="3">
        <f>Historicals!F18</f>
        <v>1618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I15</f>
        <v>1610.8</v>
      </c>
      <c r="K15" s="3">
        <f t="shared" ref="K15:N15" si="11">J15</f>
        <v>1610.8</v>
      </c>
      <c r="L15" s="3">
        <f t="shared" si="11"/>
        <v>1610.8</v>
      </c>
      <c r="M15" s="3">
        <f t="shared" si="11"/>
        <v>1610.8</v>
      </c>
      <c r="N15" s="3">
        <f t="shared" si="11"/>
        <v>1610.8</v>
      </c>
      <c r="O15" s="3"/>
    </row>
    <row r="16" spans="1:19" x14ac:dyDescent="0.2">
      <c r="A16" t="s">
        <v>147</v>
      </c>
      <c r="B16" s="58">
        <f>B14/B15</f>
        <v>1.8504070556309362</v>
      </c>
      <c r="C16" s="58">
        <f t="shared" ref="C16:N16" si="12">C14/C15</f>
        <v>2.1578192252510759</v>
      </c>
      <c r="D16" s="58">
        <f t="shared" si="12"/>
        <v>2.5059101654846336</v>
      </c>
      <c r="E16" s="58">
        <f t="shared" si="12"/>
        <v>1.165159734779988</v>
      </c>
      <c r="F16" s="58">
        <f t="shared" si="12"/>
        <v>2.4901112484548826</v>
      </c>
      <c r="G16" s="58">
        <f t="shared" si="12"/>
        <v>1.5952500628298569</v>
      </c>
      <c r="H16" s="58">
        <f t="shared" si="12"/>
        <v>3.5584689946563937</v>
      </c>
      <c r="I16" s="58">
        <f t="shared" si="12"/>
        <v>3.7534144524459898</v>
      </c>
      <c r="J16" s="58">
        <f t="shared" si="12"/>
        <v>6.4106913542202069</v>
      </c>
      <c r="K16" s="58">
        <f t="shared" si="12"/>
        <v>8.7482971316618965</v>
      </c>
      <c r="L16" s="58">
        <f t="shared" si="12"/>
        <v>11.029228264433021</v>
      </c>
      <c r="M16" s="58">
        <f t="shared" si="12"/>
        <v>13.870394871814209</v>
      </c>
      <c r="N16" s="58">
        <f t="shared" si="12"/>
        <v>17.490830268923524</v>
      </c>
      <c r="O16" s="58"/>
    </row>
    <row r="17" spans="1:15" x14ac:dyDescent="0.2">
      <c r="A17" t="s">
        <v>148</v>
      </c>
      <c r="B17" s="80">
        <f>Historicals!B15</f>
        <v>1.85</v>
      </c>
      <c r="C17" s="80">
        <f>Historicals!C15</f>
        <v>2.16</v>
      </c>
      <c r="D17" s="80">
        <f>Historicals!D15</f>
        <v>2.5099999999999998</v>
      </c>
      <c r="E17" s="80">
        <f>Historicals!E15</f>
        <v>1.17</v>
      </c>
      <c r="F17" s="80">
        <f>Historicals!F15</f>
        <v>2.4900000000000002</v>
      </c>
      <c r="G17" s="80">
        <f>Historicals!G15</f>
        <v>1.6</v>
      </c>
      <c r="H17" s="80">
        <f>Historicals!H15</f>
        <v>3.56</v>
      </c>
      <c r="I17" s="80">
        <f>Historicals!I15</f>
        <v>3.75</v>
      </c>
      <c r="J17" s="58">
        <f>J16*J19</f>
        <v>6.4179276793811573</v>
      </c>
      <c r="K17" s="58">
        <f t="shared" ref="K17:N17" si="13">K16*K19</f>
        <v>8.7596470552270382</v>
      </c>
      <c r="L17" s="58">
        <f t="shared" si="13"/>
        <v>11.043932764084367</v>
      </c>
      <c r="M17" s="58">
        <f t="shared" si="13"/>
        <v>13.888369162619654</v>
      </c>
      <c r="N17" s="58">
        <f t="shared" si="13"/>
        <v>17.507246956368956</v>
      </c>
      <c r="O17" s="58"/>
    </row>
    <row r="18" spans="1:15" x14ac:dyDescent="0.2">
      <c r="A18" s="51" t="s">
        <v>128</v>
      </c>
      <c r="B18" s="56" t="s">
        <v>193</v>
      </c>
      <c r="C18" s="56">
        <f>-(C17/B17-1)</f>
        <v>-0.16756756756756763</v>
      </c>
      <c r="D18" s="56">
        <f t="shared" ref="D18:I18" si="14">-(D17/C17-1)</f>
        <v>-0.16203703703703676</v>
      </c>
      <c r="E18" s="56">
        <f t="shared" si="14"/>
        <v>0.53386454183266929</v>
      </c>
      <c r="F18" s="56">
        <f t="shared" si="14"/>
        <v>-1.1282051282051286</v>
      </c>
      <c r="G18" s="56">
        <f t="shared" si="14"/>
        <v>0.35742971887550201</v>
      </c>
      <c r="H18" s="56">
        <f t="shared" si="14"/>
        <v>-1.2250000000000001</v>
      </c>
      <c r="I18" s="56">
        <f t="shared" si="14"/>
        <v>-5.3370786516854007E-2</v>
      </c>
      <c r="J18" s="56">
        <f t="shared" ref="J18" si="15">-(J17/I17-1)</f>
        <v>-0.71144738116830863</v>
      </c>
      <c r="K18" s="56">
        <f t="shared" ref="K18" si="16">-(K17/J17-1)</f>
        <v>-0.36487157425739003</v>
      </c>
      <c r="L18" s="56">
        <f t="shared" ref="L18" si="17">-(L17/K17-1)</f>
        <v>-0.26077371547684169</v>
      </c>
      <c r="M18" s="56">
        <f t="shared" ref="M18" si="18">-(M17/L17-1)</f>
        <v>-0.25755647551437377</v>
      </c>
      <c r="N18" s="56">
        <f t="shared" ref="N18" si="19">-(N17/M17-1)</f>
        <v>-0.26056895171604877</v>
      </c>
      <c r="O18" s="57"/>
    </row>
    <row r="19" spans="1:15" x14ac:dyDescent="0.2">
      <c r="A19" s="51" t="s">
        <v>149</v>
      </c>
      <c r="B19" s="56">
        <f>B17/B16</f>
        <v>0.99978001833180574</v>
      </c>
      <c r="C19" s="56">
        <f t="shared" ref="C19:I19" si="20">C17/C16</f>
        <v>1.0010106382978725</v>
      </c>
      <c r="D19" s="56">
        <f t="shared" si="20"/>
        <v>1.0016320754716981</v>
      </c>
      <c r="E19" s="56">
        <f t="shared" si="20"/>
        <v>1.0041541645111225</v>
      </c>
      <c r="F19" s="56">
        <f t="shared" si="20"/>
        <v>0.9999553239017126</v>
      </c>
      <c r="G19" s="56">
        <f t="shared" si="20"/>
        <v>1.0029775502166207</v>
      </c>
      <c r="H19" s="56">
        <f t="shared" si="20"/>
        <v>1.0004302427099703</v>
      </c>
      <c r="I19" s="56">
        <f t="shared" si="20"/>
        <v>0.99909030764141571</v>
      </c>
      <c r="J19" s="56">
        <f>AVERAGE(B19:I19)</f>
        <v>1.0011287901352772</v>
      </c>
      <c r="K19" s="56">
        <f t="shared" ref="K19:N19" si="21">AVERAGE(C19:J19)</f>
        <v>1.0012973866107113</v>
      </c>
      <c r="L19" s="56">
        <f t="shared" si="21"/>
        <v>1.0013332301498161</v>
      </c>
      <c r="M19" s="56">
        <f t="shared" si="21"/>
        <v>1.0012958744845808</v>
      </c>
      <c r="N19" s="56">
        <f t="shared" si="21"/>
        <v>1.0009385882312631</v>
      </c>
      <c r="O19" s="56"/>
    </row>
    <row r="20" spans="1:15" x14ac:dyDescent="0.2">
      <c r="A20" s="52" t="s">
        <v>150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  <c r="O20" s="39"/>
    </row>
    <row r="21" spans="1:15" x14ac:dyDescent="0.2">
      <c r="A21" t="s">
        <v>151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45663.185717508371</v>
      </c>
      <c r="K21" s="3">
        <f t="shared" ref="K21:N21" si="22">J21</f>
        <v>45663.185717508371</v>
      </c>
      <c r="L21" s="3">
        <f t="shared" si="22"/>
        <v>45663.185717508371</v>
      </c>
      <c r="M21" s="3">
        <f t="shared" si="22"/>
        <v>45663.185717508371</v>
      </c>
      <c r="N21" s="3">
        <f t="shared" si="22"/>
        <v>45663.185717508371</v>
      </c>
      <c r="O21" s="3"/>
    </row>
    <row r="22" spans="1:15" x14ac:dyDescent="0.2">
      <c r="A22" t="s">
        <v>152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>
        <f>I22</f>
        <v>4423</v>
      </c>
      <c r="K22" s="3">
        <f t="shared" ref="K22:N22" si="23">J22</f>
        <v>4423</v>
      </c>
      <c r="L22" s="3">
        <f t="shared" si="23"/>
        <v>4423</v>
      </c>
      <c r="M22" s="3">
        <f t="shared" si="23"/>
        <v>4423</v>
      </c>
      <c r="N22" s="3">
        <f t="shared" si="23"/>
        <v>4423</v>
      </c>
      <c r="O22" s="3"/>
    </row>
    <row r="23" spans="1:15" x14ac:dyDescent="0.2">
      <c r="A23" t="s">
        <v>153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>
        <f>J24*J3</f>
        <v>10449.274054997459</v>
      </c>
      <c r="K23" s="3">
        <f t="shared" ref="K23:N23" si="24">K24*K3</f>
        <v>11832.847166474896</v>
      </c>
      <c r="L23" s="3">
        <f t="shared" si="24"/>
        <v>14765.770364786835</v>
      </c>
      <c r="M23" s="3">
        <f t="shared" si="24"/>
        <v>13353.265098867167</v>
      </c>
      <c r="N23" s="3">
        <f t="shared" si="24"/>
        <v>30348.937325638224</v>
      </c>
      <c r="O23" s="3"/>
    </row>
    <row r="24" spans="1:15" x14ac:dyDescent="0.2">
      <c r="A24" s="51" t="s">
        <v>154</v>
      </c>
      <c r="B24" s="56">
        <f>B23/B3</f>
        <v>0.18182412339466031</v>
      </c>
      <c r="C24" s="56">
        <f t="shared" ref="C24:I24" si="25">C23/C3</f>
        <v>0.1818631084754139</v>
      </c>
      <c r="D24" s="56">
        <f t="shared" si="25"/>
        <v>0.19458515283842795</v>
      </c>
      <c r="E24" s="56">
        <f t="shared" si="25"/>
        <v>0.17803665137236585</v>
      </c>
      <c r="F24" s="56">
        <f t="shared" si="25"/>
        <v>0.18615947030702765</v>
      </c>
      <c r="G24" s="56">
        <f t="shared" si="25"/>
        <v>0.21035745795791783</v>
      </c>
      <c r="H24" s="56">
        <f t="shared" si="25"/>
        <v>0.19042166240064665</v>
      </c>
      <c r="I24" s="56">
        <f t="shared" si="25"/>
        <v>0.20828516377649325</v>
      </c>
      <c r="J24" s="56">
        <f>AVERAGE(B24:I24)</f>
        <v>0.19144159881536918</v>
      </c>
      <c r="K24" s="56">
        <f t="shared" ref="K24:N24" si="26">AVERAGE(C24:J24)</f>
        <v>0.19264378324295781</v>
      </c>
      <c r="L24" s="56">
        <f t="shared" si="26"/>
        <v>0.19399136758890076</v>
      </c>
      <c r="M24" s="56">
        <f t="shared" si="26"/>
        <v>0.19391714443270985</v>
      </c>
      <c r="N24" s="56">
        <f t="shared" si="26"/>
        <v>0.19590220606525285</v>
      </c>
      <c r="O24" s="56"/>
    </row>
    <row r="25" spans="1:15" x14ac:dyDescent="0.2">
      <c r="A25" t="s">
        <v>155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27">J25</f>
        <v>2129</v>
      </c>
      <c r="L25" s="3">
        <f t="shared" si="27"/>
        <v>2129</v>
      </c>
      <c r="M25" s="3">
        <f t="shared" si="27"/>
        <v>2129</v>
      </c>
      <c r="N25" s="3">
        <f t="shared" si="27"/>
        <v>2129</v>
      </c>
      <c r="O25" s="3"/>
    </row>
    <row r="26" spans="1:15" x14ac:dyDescent="0.2">
      <c r="A26" t="s">
        <v>156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I26+J52-J47</f>
        <v>4893.7534553743972</v>
      </c>
      <c r="K26" s="3">
        <f t="shared" ref="K26:N26" si="28">J26+K52-K47</f>
        <v>5104.5891790374326</v>
      </c>
      <c r="L26" s="3">
        <f t="shared" si="28"/>
        <v>5477.7734956479817</v>
      </c>
      <c r="M26" s="3">
        <f t="shared" si="28"/>
        <v>6124.2850357200632</v>
      </c>
      <c r="N26" s="3">
        <f t="shared" si="28"/>
        <v>7135.3652921330222</v>
      </c>
      <c r="O26" s="3"/>
    </row>
    <row r="27" spans="1:15" x14ac:dyDescent="0.2">
      <c r="A27" t="s">
        <v>157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29">J27</f>
        <v>286</v>
      </c>
      <c r="L27" s="3">
        <f t="shared" si="29"/>
        <v>286</v>
      </c>
      <c r="M27" s="3">
        <f t="shared" si="29"/>
        <v>286</v>
      </c>
      <c r="N27" s="3">
        <f t="shared" si="29"/>
        <v>286</v>
      </c>
      <c r="O27" s="3"/>
    </row>
    <row r="28" spans="1:15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30">J28</f>
        <v>284</v>
      </c>
      <c r="L28" s="3">
        <f t="shared" si="30"/>
        <v>284</v>
      </c>
      <c r="M28" s="3">
        <f t="shared" si="30"/>
        <v>284</v>
      </c>
      <c r="N28" s="3">
        <f t="shared" si="30"/>
        <v>284</v>
      </c>
      <c r="O28" s="3"/>
    </row>
    <row r="29" spans="1:15" x14ac:dyDescent="0.2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30" si="31">J29</f>
        <v>2926</v>
      </c>
      <c r="L29" s="3">
        <f t="shared" si="31"/>
        <v>2926</v>
      </c>
      <c r="M29" s="3">
        <f t="shared" si="31"/>
        <v>2926</v>
      </c>
      <c r="N29" s="3">
        <f t="shared" si="31"/>
        <v>2926</v>
      </c>
      <c r="O29" s="3"/>
    </row>
    <row r="30" spans="1:15" x14ac:dyDescent="0.2">
      <c r="A30" t="s">
        <v>158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si="31"/>
        <v>3821</v>
      </c>
      <c r="L30" s="3">
        <f t="shared" si="31"/>
        <v>3821</v>
      </c>
      <c r="M30" s="3">
        <f t="shared" si="31"/>
        <v>3821</v>
      </c>
      <c r="N30" s="3">
        <f t="shared" si="31"/>
        <v>3821</v>
      </c>
      <c r="O30" s="3"/>
    </row>
    <row r="31" spans="1:15" ht="16" thickBot="1" x14ac:dyDescent="0.25">
      <c r="A31" s="6" t="s">
        <v>159</v>
      </c>
      <c r="B31" s="7">
        <f>B21+B22+B23+B25+B26+B27+B28+B29+B30</f>
        <v>19466</v>
      </c>
      <c r="C31" s="7">
        <f t="shared" ref="C31:N31" si="32">C21+C22+C23+C25+C26+C27+C28+C29+C30</f>
        <v>19205</v>
      </c>
      <c r="D31" s="7">
        <f t="shared" si="32"/>
        <v>21211</v>
      </c>
      <c r="E31" s="7">
        <f t="shared" si="32"/>
        <v>20257</v>
      </c>
      <c r="F31" s="7">
        <f t="shared" si="32"/>
        <v>21105</v>
      </c>
      <c r="G31" s="7">
        <f t="shared" si="32"/>
        <v>29094</v>
      </c>
      <c r="H31" s="7">
        <f t="shared" si="32"/>
        <v>34904</v>
      </c>
      <c r="I31" s="7">
        <f t="shared" si="32"/>
        <v>36963</v>
      </c>
      <c r="J31" s="7">
        <f t="shared" si="32"/>
        <v>74875.213227880216</v>
      </c>
      <c r="K31" s="7">
        <f t="shared" si="32"/>
        <v>76469.622063020695</v>
      </c>
      <c r="L31" s="7">
        <f t="shared" si="32"/>
        <v>79775.729577943188</v>
      </c>
      <c r="M31" s="7">
        <f t="shared" si="32"/>
        <v>79009.735852095604</v>
      </c>
      <c r="N31" s="7">
        <f t="shared" si="32"/>
        <v>97016.488335279617</v>
      </c>
      <c r="O31" s="41"/>
    </row>
    <row r="32" spans="1:15" ht="16" thickTop="1" x14ac:dyDescent="0.2">
      <c r="A32" t="s">
        <v>160</v>
      </c>
      <c r="B32" s="3">
        <f>B33+B34</f>
        <v>181</v>
      </c>
      <c r="C32" s="3">
        <f t="shared" ref="C32:I32" si="33">C33+C34</f>
        <v>45</v>
      </c>
      <c r="D32" s="3">
        <f t="shared" si="33"/>
        <v>331</v>
      </c>
      <c r="E32" s="3">
        <f t="shared" si="33"/>
        <v>342</v>
      </c>
      <c r="F32" s="3">
        <f t="shared" si="33"/>
        <v>15</v>
      </c>
      <c r="G32" s="3">
        <f t="shared" si="33"/>
        <v>251</v>
      </c>
      <c r="H32" s="3">
        <f t="shared" si="33"/>
        <v>2</v>
      </c>
      <c r="I32" s="3">
        <f t="shared" si="33"/>
        <v>510</v>
      </c>
      <c r="J32" s="3">
        <f t="shared" ref="J32:J40" si="34">I32</f>
        <v>510</v>
      </c>
      <c r="K32" s="3">
        <f t="shared" ref="K32:N39" si="35">J32</f>
        <v>510</v>
      </c>
      <c r="L32" s="3">
        <f t="shared" si="35"/>
        <v>510</v>
      </c>
      <c r="M32" s="3">
        <f t="shared" si="35"/>
        <v>510</v>
      </c>
      <c r="N32" s="3">
        <f t="shared" si="35"/>
        <v>510</v>
      </c>
      <c r="O32" s="3"/>
    </row>
    <row r="33" spans="1:15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 t="shared" si="34"/>
        <v>500</v>
      </c>
      <c r="K33" s="3">
        <f t="shared" si="35"/>
        <v>500</v>
      </c>
      <c r="L33" s="3">
        <f t="shared" si="35"/>
        <v>500</v>
      </c>
      <c r="M33" s="3">
        <f t="shared" si="35"/>
        <v>500</v>
      </c>
      <c r="N33" s="3">
        <f t="shared" si="35"/>
        <v>500</v>
      </c>
      <c r="O33" s="3"/>
    </row>
    <row r="34" spans="1:15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si="34"/>
        <v>10</v>
      </c>
      <c r="K34" s="3">
        <f t="shared" si="35"/>
        <v>10</v>
      </c>
      <c r="L34" s="3">
        <f t="shared" si="35"/>
        <v>10</v>
      </c>
      <c r="M34" s="3">
        <f t="shared" si="35"/>
        <v>10</v>
      </c>
      <c r="N34" s="3">
        <f t="shared" si="35"/>
        <v>10</v>
      </c>
      <c r="O34" s="3"/>
    </row>
    <row r="35" spans="1:15" x14ac:dyDescent="0.2">
      <c r="A35" t="s">
        <v>161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 t="shared" si="34"/>
        <v>6862</v>
      </c>
      <c r="K35" s="3">
        <f t="shared" si="35"/>
        <v>6862</v>
      </c>
      <c r="L35" s="3">
        <f t="shared" si="35"/>
        <v>6862</v>
      </c>
      <c r="M35" s="3">
        <f t="shared" si="35"/>
        <v>6862</v>
      </c>
      <c r="N35" s="3">
        <f t="shared" si="35"/>
        <v>6862</v>
      </c>
      <c r="O35" s="3"/>
    </row>
    <row r="36" spans="1:15" x14ac:dyDescent="0.2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 t="shared" si="34"/>
        <v>8920</v>
      </c>
      <c r="K36" s="3">
        <f t="shared" si="35"/>
        <v>8920</v>
      </c>
      <c r="L36" s="3">
        <f t="shared" si="35"/>
        <v>8920</v>
      </c>
      <c r="M36" s="3">
        <f t="shared" si="35"/>
        <v>8920</v>
      </c>
      <c r="N36" s="3">
        <f t="shared" si="35"/>
        <v>8920</v>
      </c>
      <c r="O36" s="3"/>
    </row>
    <row r="37" spans="1:15" x14ac:dyDescent="0.2">
      <c r="A37" s="5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si="34"/>
        <v>2777</v>
      </c>
      <c r="K37" s="3">
        <f t="shared" si="35"/>
        <v>2777</v>
      </c>
      <c r="L37" s="3">
        <f t="shared" si="35"/>
        <v>2777</v>
      </c>
      <c r="M37" s="3">
        <f t="shared" si="35"/>
        <v>2777</v>
      </c>
      <c r="N37" s="3">
        <f t="shared" si="35"/>
        <v>2777</v>
      </c>
      <c r="O37" s="3"/>
    </row>
    <row r="38" spans="1:15" x14ac:dyDescent="0.2">
      <c r="A38" t="s">
        <v>162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si="34"/>
        <v>2613</v>
      </c>
      <c r="K38" s="3">
        <f t="shared" si="35"/>
        <v>2613</v>
      </c>
      <c r="L38" s="3">
        <f t="shared" si="35"/>
        <v>2613</v>
      </c>
      <c r="M38" s="3">
        <f t="shared" si="35"/>
        <v>2613</v>
      </c>
      <c r="N38" s="3">
        <f t="shared" si="35"/>
        <v>2613</v>
      </c>
      <c r="O38" s="3"/>
    </row>
    <row r="39" spans="1:15" x14ac:dyDescent="0.2">
      <c r="A39" t="s">
        <v>163</v>
      </c>
      <c r="B39" s="3">
        <f>B40+B41+B42</f>
        <v>12707</v>
      </c>
      <c r="C39" s="3">
        <f t="shared" ref="C39:I39" si="36">C40+C41+C42</f>
        <v>12258</v>
      </c>
      <c r="D39" s="3">
        <f t="shared" si="36"/>
        <v>12407</v>
      </c>
      <c r="E39" s="3">
        <f t="shared" si="36"/>
        <v>9812</v>
      </c>
      <c r="F39" s="3">
        <f t="shared" si="36"/>
        <v>9040</v>
      </c>
      <c r="G39" s="3">
        <f t="shared" si="36"/>
        <v>8055</v>
      </c>
      <c r="H39" s="3">
        <f t="shared" si="36"/>
        <v>12767</v>
      </c>
      <c r="I39" s="3">
        <f t="shared" si="36"/>
        <v>15281</v>
      </c>
      <c r="J39" s="3">
        <f t="shared" si="34"/>
        <v>15281</v>
      </c>
      <c r="K39" s="3">
        <f t="shared" si="35"/>
        <v>15281</v>
      </c>
      <c r="L39" s="3">
        <f t="shared" si="35"/>
        <v>15281</v>
      </c>
      <c r="M39" s="3">
        <f t="shared" si="35"/>
        <v>15281</v>
      </c>
      <c r="N39" s="3">
        <f t="shared" si="35"/>
        <v>15281</v>
      </c>
    </row>
    <row r="40" spans="1:15" x14ac:dyDescent="0.2">
      <c r="A40" s="2" t="s">
        <v>164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si="34"/>
        <v>3</v>
      </c>
      <c r="K40" s="3">
        <f t="shared" ref="K40:N40" si="37">J40</f>
        <v>3</v>
      </c>
      <c r="L40" s="3">
        <f t="shared" si="37"/>
        <v>3</v>
      </c>
      <c r="M40" s="3">
        <f t="shared" si="37"/>
        <v>3</v>
      </c>
      <c r="N40" s="3">
        <f t="shared" si="37"/>
        <v>3</v>
      </c>
    </row>
    <row r="41" spans="1:15" x14ac:dyDescent="0.2">
      <c r="A41" s="2" t="s">
        <v>165</v>
      </c>
      <c r="B41" s="3">
        <f>Historicals!B57</f>
        <v>4685</v>
      </c>
      <c r="C41" s="3">
        <f>Historicals!C57</f>
        <v>4151</v>
      </c>
      <c r="D41" s="3">
        <f>Historicals!D57</f>
        <v>3979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I41+J14-J61</f>
        <v>3464.3437274307416</v>
      </c>
      <c r="K41" s="3">
        <f t="shared" ref="K41:N41" si="38">J41+K14-K61</f>
        <v>3446.0612705520143</v>
      </c>
      <c r="L41" s="3">
        <f t="shared" si="38"/>
        <v>3422.3752625136258</v>
      </c>
      <c r="M41" s="3">
        <f t="shared" si="38"/>
        <v>3393.4222748842149</v>
      </c>
      <c r="N41" s="3">
        <f t="shared" si="38"/>
        <v>3366.9782747471108</v>
      </c>
    </row>
    <row r="42" spans="1:15" x14ac:dyDescent="0.2">
      <c r="A42" s="2" t="s">
        <v>166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8425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I42</f>
        <v>11802</v>
      </c>
      <c r="K42" s="3">
        <f t="shared" ref="K42:N42" si="39">J42</f>
        <v>11802</v>
      </c>
      <c r="L42" s="3">
        <f t="shared" si="39"/>
        <v>11802</v>
      </c>
      <c r="M42" s="3">
        <f t="shared" si="39"/>
        <v>11802</v>
      </c>
      <c r="N42" s="3">
        <f t="shared" si="39"/>
        <v>11802</v>
      </c>
    </row>
    <row r="43" spans="1:15" ht="16" thickBot="1" x14ac:dyDescent="0.25">
      <c r="A43" s="6" t="s">
        <v>167</v>
      </c>
      <c r="B43" s="7">
        <f>B32+B35+B36+B38+B39</f>
        <v>19466</v>
      </c>
      <c r="C43" s="7">
        <f t="shared" ref="C43:F43" si="40">C32+C35+C36+C38+C39</f>
        <v>19205</v>
      </c>
      <c r="D43" s="7">
        <f t="shared" si="40"/>
        <v>21211</v>
      </c>
      <c r="E43" s="7">
        <f t="shared" si="40"/>
        <v>20257</v>
      </c>
      <c r="F43" s="7">
        <f t="shared" si="40"/>
        <v>21105</v>
      </c>
      <c r="G43" s="7">
        <f>G32+G35+G36+G38+G39+G37</f>
        <v>29094</v>
      </c>
      <c r="H43" s="7">
        <f t="shared" ref="H43:N43" si="41">H32+H35+H36+H38+H39+H37</f>
        <v>34904</v>
      </c>
      <c r="I43" s="7">
        <f t="shared" si="41"/>
        <v>36963</v>
      </c>
      <c r="J43" s="7">
        <f t="shared" si="41"/>
        <v>36963</v>
      </c>
      <c r="K43" s="7">
        <f t="shared" si="41"/>
        <v>36963</v>
      </c>
      <c r="L43" s="7">
        <f t="shared" si="41"/>
        <v>36963</v>
      </c>
      <c r="M43" s="7">
        <f t="shared" si="41"/>
        <v>36963</v>
      </c>
      <c r="N43" s="7">
        <f t="shared" si="41"/>
        <v>36963</v>
      </c>
      <c r="O43" s="41"/>
    </row>
    <row r="44" spans="1:15" s="1" customFormat="1" ht="16" thickTop="1" x14ac:dyDescent="0.2">
      <c r="A44" s="60" t="s">
        <v>168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</row>
    <row r="45" spans="1:15" x14ac:dyDescent="0.2">
      <c r="A45" s="52" t="s">
        <v>192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  <c r="O45" s="39"/>
    </row>
    <row r="46" spans="1:15" x14ac:dyDescent="0.2">
      <c r="A46" s="1" t="s">
        <v>133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'Segmental forecast'!J11</f>
        <v>12498.263849259416</v>
      </c>
      <c r="K46" s="9">
        <f>'Segmental forecast'!K11</f>
        <v>16218.360249637481</v>
      </c>
      <c r="L46" s="9">
        <f>'Segmental forecast'!L11</f>
        <v>20393.501009487172</v>
      </c>
      <c r="M46" s="9">
        <f>'Segmental forecast'!M11</f>
        <v>25594.127340361734</v>
      </c>
      <c r="N46" s="9">
        <f>'Segmental forecast'!N11</f>
        <v>32221.169769525011</v>
      </c>
      <c r="O46" s="9"/>
    </row>
    <row r="47" spans="1:15" x14ac:dyDescent="0.2">
      <c r="A47" t="s">
        <v>131</v>
      </c>
      <c r="B47" s="59">
        <f>'Segmental forecast'!B8</f>
        <v>606</v>
      </c>
      <c r="C47" s="59">
        <f>'Segmental forecast'!C8</f>
        <v>649</v>
      </c>
      <c r="D47" s="59">
        <f>'Segmental forecast'!D8</f>
        <v>706</v>
      </c>
      <c r="E47" s="59">
        <f>'Segmental forecast'!E8</f>
        <v>747</v>
      </c>
      <c r="F47" s="59">
        <f>'Segmental forecast'!F8</f>
        <v>705</v>
      </c>
      <c r="G47" s="59">
        <f>'Segmental forecast'!G8</f>
        <v>721</v>
      </c>
      <c r="H47" s="59">
        <f>'Segmental forecast'!H8</f>
        <v>744</v>
      </c>
      <c r="I47" s="59">
        <f>'Segmental forecast'!I8</f>
        <v>717</v>
      </c>
      <c r="J47" s="59">
        <f>'Segmental forecast'!J8</f>
        <v>722.35626729696696</v>
      </c>
      <c r="K47" s="59">
        <f>'Segmental forecast'!K8</f>
        <v>726.86508888046012</v>
      </c>
      <c r="L47" s="59">
        <f>'Segmental forecast'!L8</f>
        <v>731.24139556730415</v>
      </c>
      <c r="M47" s="59">
        <f>'Segmental forecast'!M8</f>
        <v>731.21297332920824</v>
      </c>
      <c r="N47" s="59">
        <f>'Segmental forecast'!N8</f>
        <v>733.94561474338491</v>
      </c>
      <c r="O47" s="59"/>
    </row>
    <row r="48" spans="1:15" x14ac:dyDescent="0.2">
      <c r="A48" t="s">
        <v>169</v>
      </c>
      <c r="B48" s="3">
        <v>1262</v>
      </c>
      <c r="C48" s="3">
        <f>Historicals!C105</f>
        <v>748</v>
      </c>
      <c r="D48" s="3"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3">
        <f>I48</f>
        <v>1231</v>
      </c>
      <c r="K48" s="3">
        <f t="shared" ref="K48:N48" si="42">J48</f>
        <v>1231</v>
      </c>
      <c r="L48" s="3">
        <f t="shared" si="42"/>
        <v>1231</v>
      </c>
      <c r="M48" s="3">
        <f t="shared" si="42"/>
        <v>1231</v>
      </c>
      <c r="N48" s="3">
        <f t="shared" si="42"/>
        <v>1231</v>
      </c>
      <c r="O48" s="3"/>
    </row>
    <row r="49" spans="1:15" x14ac:dyDescent="0.2">
      <c r="A49" s="1" t="s">
        <v>170</v>
      </c>
      <c r="B49" s="9">
        <f>B46-B48</f>
        <v>2971</v>
      </c>
      <c r="C49" s="9">
        <f t="shared" ref="C49:N49" si="43">C46-C48</f>
        <v>3894</v>
      </c>
      <c r="D49" s="9">
        <f t="shared" si="43"/>
        <v>4242</v>
      </c>
      <c r="E49" s="9">
        <f t="shared" si="43"/>
        <v>3850</v>
      </c>
      <c r="F49" s="9">
        <f t="shared" si="43"/>
        <v>4093</v>
      </c>
      <c r="G49" s="9">
        <f t="shared" si="43"/>
        <v>1948</v>
      </c>
      <c r="H49" s="9">
        <f t="shared" si="43"/>
        <v>5746</v>
      </c>
      <c r="I49" s="9">
        <f t="shared" si="43"/>
        <v>5625</v>
      </c>
      <c r="J49" s="9">
        <f t="shared" si="43"/>
        <v>11267.263849259416</v>
      </c>
      <c r="K49" s="9">
        <f t="shared" si="43"/>
        <v>14987.360249637481</v>
      </c>
      <c r="L49" s="9">
        <f t="shared" si="43"/>
        <v>19162.501009487172</v>
      </c>
      <c r="M49" s="9">
        <f t="shared" si="43"/>
        <v>24363.127340361734</v>
      </c>
      <c r="N49" s="9">
        <f t="shared" si="43"/>
        <v>30990.169769525011</v>
      </c>
      <c r="O49" s="9"/>
    </row>
    <row r="50" spans="1:15" x14ac:dyDescent="0.2">
      <c r="A50" t="s">
        <v>171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J70/J10</f>
        <v>32.453658536585365</v>
      </c>
      <c r="K50" s="3">
        <f t="shared" ref="K50:N50" si="44">K70/K10</f>
        <v>32.453658536585365</v>
      </c>
      <c r="L50" s="3">
        <f t="shared" si="44"/>
        <v>32.453658536585365</v>
      </c>
      <c r="M50" s="3">
        <f t="shared" si="44"/>
        <v>32.453658536585365</v>
      </c>
      <c r="N50" s="3">
        <f t="shared" si="44"/>
        <v>32.453658536585365</v>
      </c>
      <c r="O50" s="3"/>
    </row>
    <row r="51" spans="1:15" x14ac:dyDescent="0.2">
      <c r="A51" t="s">
        <v>172</v>
      </c>
      <c r="B51" s="3">
        <f>5451-B23</f>
        <v>-113</v>
      </c>
      <c r="C51" s="3">
        <f>B23-C23</f>
        <v>-324</v>
      </c>
      <c r="D51" s="3">
        <f t="shared" ref="D51:I51" si="45">C23-D23</f>
        <v>-796</v>
      </c>
      <c r="E51" s="3">
        <f t="shared" si="45"/>
        <v>204</v>
      </c>
      <c r="F51" s="3">
        <f t="shared" si="45"/>
        <v>-802</v>
      </c>
      <c r="G51" s="3">
        <f t="shared" si="45"/>
        <v>-586</v>
      </c>
      <c r="H51" s="3">
        <f t="shared" si="45"/>
        <v>-613</v>
      </c>
      <c r="I51" s="3">
        <f t="shared" si="45"/>
        <v>-1248</v>
      </c>
      <c r="J51" s="3">
        <f t="shared" ref="J51" si="46">I23-J23</f>
        <v>-720.27405499745873</v>
      </c>
      <c r="K51" s="3">
        <f t="shared" ref="K51" si="47">J23-K23</f>
        <v>-1383.5731114774371</v>
      </c>
      <c r="L51" s="3">
        <f t="shared" ref="L51" si="48">K23-L23</f>
        <v>-2932.9231983119389</v>
      </c>
      <c r="M51" s="3">
        <f t="shared" ref="M51" si="49">L23-M23</f>
        <v>1412.5052659196681</v>
      </c>
      <c r="N51" s="3">
        <f t="shared" ref="N51" si="50">M23-N23</f>
        <v>-16995.672226771057</v>
      </c>
      <c r="O51" s="3"/>
    </row>
    <row r="52" spans="1:15" x14ac:dyDescent="0.2">
      <c r="A52" t="s">
        <v>134</v>
      </c>
      <c r="B52" s="3">
        <f>-'Segmental forecast'!B14</f>
        <v>-963</v>
      </c>
      <c r="C52" s="3">
        <f>-'Segmental forecast'!C14</f>
        <v>-1143</v>
      </c>
      <c r="D52" s="3">
        <f>-'Segmental forecast'!D14</f>
        <v>-1105</v>
      </c>
      <c r="E52" s="3">
        <f>-'Segmental forecast'!E14</f>
        <v>-1028</v>
      </c>
      <c r="F52" s="3">
        <f>-'Segmental forecast'!F14</f>
        <v>-1119</v>
      </c>
      <c r="G52" s="3">
        <f>-'Segmental forecast'!G14</f>
        <v>-1086</v>
      </c>
      <c r="H52" s="3">
        <f>-'Segmental forecast'!H14</f>
        <v>-695</v>
      </c>
      <c r="I52" s="3">
        <f>-'Segmental forecast'!I14</f>
        <v>-758</v>
      </c>
      <c r="J52" s="3">
        <f>'Segmental forecast'!J14</f>
        <v>825.10972267136481</v>
      </c>
      <c r="K52" s="3">
        <f>'Segmental forecast'!K14</f>
        <v>937.70081254349566</v>
      </c>
      <c r="L52" s="3">
        <f>'Segmental forecast'!L14</f>
        <v>1104.4257121778523</v>
      </c>
      <c r="M52" s="3">
        <f>'Segmental forecast'!M14</f>
        <v>1377.7245134012901</v>
      </c>
      <c r="N52" s="3">
        <f>'Segmental forecast'!N14</f>
        <v>1745.0258711563436</v>
      </c>
      <c r="O52" s="3"/>
    </row>
    <row r="53" spans="1:15" x14ac:dyDescent="0.2">
      <c r="A53" s="1" t="s">
        <v>173</v>
      </c>
      <c r="B53" s="9">
        <f>B49+B47-B50+B52</f>
        <v>2561</v>
      </c>
      <c r="C53" s="9">
        <f t="shared" ref="C53:N53" si="51">C49+C47-C50+C51+C52</f>
        <v>3006</v>
      </c>
      <c r="D53" s="9">
        <f t="shared" si="51"/>
        <v>2949</v>
      </c>
      <c r="E53" s="9">
        <f t="shared" si="51"/>
        <v>3648</v>
      </c>
      <c r="F53" s="9">
        <f t="shared" si="51"/>
        <v>2724</v>
      </c>
      <c r="G53" s="9">
        <f t="shared" si="51"/>
        <v>857</v>
      </c>
      <c r="H53" s="9">
        <f t="shared" si="51"/>
        <v>4889</v>
      </c>
      <c r="I53" s="9">
        <f t="shared" si="51"/>
        <v>4046</v>
      </c>
      <c r="J53" s="9">
        <f t="shared" si="51"/>
        <v>12062.002125693703</v>
      </c>
      <c r="K53" s="9">
        <f t="shared" si="51"/>
        <v>15235.899381047413</v>
      </c>
      <c r="L53" s="9">
        <f t="shared" si="51"/>
        <v>18032.791260383805</v>
      </c>
      <c r="M53" s="9">
        <f t="shared" si="51"/>
        <v>27852.11643447532</v>
      </c>
      <c r="N53" s="9">
        <f t="shared" si="51"/>
        <v>16441.015370117097</v>
      </c>
      <c r="O53" s="9"/>
    </row>
    <row r="54" spans="1:15" x14ac:dyDescent="0.2">
      <c r="A54" t="s">
        <v>174</v>
      </c>
      <c r="B54" s="3">
        <f>Historicals!B76-('Three Statements'!B49+'Three Statements'!B47)</f>
        <v>1103</v>
      </c>
      <c r="C54" s="3">
        <f>Historicals!C76-('Three Statements'!C49+'Three Statements'!C51+'Three Statements'!C47)</f>
        <v>-1123</v>
      </c>
      <c r="D54" s="3">
        <f>Historicals!D76-('Three Statements'!D49+'Three Statements'!D51+'Three Statements'!D47)</f>
        <v>-512</v>
      </c>
      <c r="E54" s="3">
        <f>Historicals!E76-('Three Statements'!E49+'Three Statements'!E51+'Three Statements'!E47)</f>
        <v>154</v>
      </c>
      <c r="F54" s="3">
        <f>Historicals!F76-('Three Statements'!F49+'Three Statements'!F51+'Three Statements'!F47)</f>
        <v>1817</v>
      </c>
      <c r="G54" s="3">
        <f>Historicals!G76-('Three Statements'!G49+'Three Statements'!G51+'Three Statements'!G47)</f>
        <v>402</v>
      </c>
      <c r="H54" s="3">
        <f>Historicals!H76-('Three Statements'!H49+'Three Statements'!H51+'Three Statements'!H47)</f>
        <v>780</v>
      </c>
      <c r="I54" s="3">
        <f>Historicals!I76-('Three Statements'!I49+'Three Statements'!I51+'Three Statements'!I47)</f>
        <v>94</v>
      </c>
      <c r="J54" s="3">
        <f>J70/J10</f>
        <v>32.453658536585365</v>
      </c>
      <c r="K54" s="3">
        <f t="shared" ref="K54:N54" si="52">K70/K10</f>
        <v>32.453658536585365</v>
      </c>
      <c r="L54" s="3">
        <f t="shared" si="52"/>
        <v>32.453658536585365</v>
      </c>
      <c r="M54" s="3">
        <f t="shared" si="52"/>
        <v>32.453658536585365</v>
      </c>
      <c r="N54" s="3">
        <f t="shared" si="52"/>
        <v>32.453658536585365</v>
      </c>
      <c r="O54" s="3"/>
    </row>
    <row r="55" spans="1:15" x14ac:dyDescent="0.2">
      <c r="A55" s="27" t="s">
        <v>175</v>
      </c>
      <c r="B55" s="26">
        <f>B49+B47+B54</f>
        <v>4680</v>
      </c>
      <c r="C55" s="26">
        <f t="shared" ref="C55:H55" si="53">C49+C51+C47+C54</f>
        <v>3096</v>
      </c>
      <c r="D55" s="26">
        <f t="shared" si="53"/>
        <v>3640</v>
      </c>
      <c r="E55" s="26">
        <f t="shared" si="53"/>
        <v>4955</v>
      </c>
      <c r="F55" s="26">
        <f t="shared" si="53"/>
        <v>5813</v>
      </c>
      <c r="G55" s="26">
        <f t="shared" si="53"/>
        <v>2485</v>
      </c>
      <c r="H55" s="26">
        <f t="shared" si="53"/>
        <v>6657</v>
      </c>
      <c r="I55" s="26">
        <f>I49+I51+I47+I54</f>
        <v>5188</v>
      </c>
      <c r="J55" s="26">
        <f t="shared" ref="J55:M55" si="54">J49+J51+J47+J54</f>
        <v>11301.799720095511</v>
      </c>
      <c r="K55" s="26">
        <f t="shared" si="54"/>
        <v>14363.10588557709</v>
      </c>
      <c r="L55" s="26">
        <f t="shared" si="54"/>
        <v>16993.272865279123</v>
      </c>
      <c r="M55" s="26">
        <f t="shared" si="54"/>
        <v>26539.2992381472</v>
      </c>
      <c r="N55" s="26">
        <f t="shared" ref="N55" si="55">N49+N51+N47+N54</f>
        <v>14760.896816033925</v>
      </c>
      <c r="O55" s="41"/>
    </row>
    <row r="56" spans="1:15" x14ac:dyDescent="0.2">
      <c r="A56" t="s">
        <v>176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2">
      <c r="A57" t="s">
        <v>177</v>
      </c>
      <c r="B57" s="3">
        <f>Historicals!B78+Historicals!B79+Historicals!B80+Historicals!B81+Historicals!B84+Historicals!B83</f>
        <v>788</v>
      </c>
      <c r="C57" s="3">
        <f>Historicals!C78+Historicals!C79+Historicals!C80+Historicals!C81+Historicals!C84+Historicals!C83</f>
        <v>109</v>
      </c>
      <c r="D57" s="3">
        <f>Historicals!D78+Historicals!D79+Historicals!D80+Historicals!D84+Historicals!D83</f>
        <v>97</v>
      </c>
      <c r="E57" s="3">
        <f>Historicals!E78+Historicals!E79+Historicals!E80+Historicals!E81+Historicals!E84+Historicals!E83</f>
        <v>1304</v>
      </c>
      <c r="F57" s="3">
        <f>Historicals!F78+Historicals!F79+Historicals!F80+Historicals!F81+Historicals!F84+Historicals!F83</f>
        <v>855</v>
      </c>
      <c r="G57" s="3">
        <f>Historicals!G78+Historicals!G79+Historicals!G80+Historicals!G81+Historicals!G84+Historicals!G83</f>
        <v>58</v>
      </c>
      <c r="H57" s="3">
        <f>Historicals!H78+Historicals!H79+Historicals!H80+Historicals!H81+Historicals!H84+Historicals!H83</f>
        <v>-3105</v>
      </c>
      <c r="I57" s="3">
        <f>Historicals!I78+Historicals!I79+Historicals!I80+Historicals!I81+Historicals!I84+Historicals!I83</f>
        <v>-766</v>
      </c>
      <c r="J57" s="3">
        <f>I57</f>
        <v>-766</v>
      </c>
      <c r="K57" s="3">
        <f t="shared" ref="K57:N57" si="56">J57</f>
        <v>-766</v>
      </c>
      <c r="L57" s="3">
        <f t="shared" si="56"/>
        <v>-766</v>
      </c>
      <c r="M57" s="3">
        <f t="shared" si="56"/>
        <v>-766</v>
      </c>
      <c r="N57" s="3">
        <f t="shared" si="56"/>
        <v>-766</v>
      </c>
      <c r="O57" s="3"/>
    </row>
    <row r="58" spans="1:15" x14ac:dyDescent="0.2">
      <c r="A58" s="27" t="s">
        <v>178</v>
      </c>
      <c r="B58" s="26">
        <f>B52+B57</f>
        <v>-175</v>
      </c>
      <c r="C58" s="26">
        <f t="shared" ref="C58:N58" si="57">C52+C57</f>
        <v>-1034</v>
      </c>
      <c r="D58" s="26">
        <f t="shared" si="57"/>
        <v>-1008</v>
      </c>
      <c r="E58" s="26">
        <f t="shared" si="57"/>
        <v>276</v>
      </c>
      <c r="F58" s="26">
        <f t="shared" si="57"/>
        <v>-264</v>
      </c>
      <c r="G58" s="26">
        <f t="shared" si="57"/>
        <v>-1028</v>
      </c>
      <c r="H58" s="26">
        <f t="shared" si="57"/>
        <v>-3800</v>
      </c>
      <c r="I58" s="26">
        <f t="shared" si="57"/>
        <v>-1524</v>
      </c>
      <c r="J58" s="26">
        <f t="shared" si="57"/>
        <v>59.109722671364807</v>
      </c>
      <c r="K58" s="26">
        <f t="shared" si="57"/>
        <v>171.70081254349566</v>
      </c>
      <c r="L58" s="26">
        <f t="shared" si="57"/>
        <v>338.42571217785235</v>
      </c>
      <c r="M58" s="26">
        <f t="shared" si="57"/>
        <v>611.7245134012901</v>
      </c>
      <c r="N58" s="26">
        <f t="shared" si="57"/>
        <v>979.02587115634356</v>
      </c>
      <c r="O58" s="41"/>
    </row>
    <row r="59" spans="1:15" x14ac:dyDescent="0.2">
      <c r="A59" t="s">
        <v>179</v>
      </c>
      <c r="B59" s="3">
        <f>Historicals!B91+Historicals!B93</f>
        <v>-2020</v>
      </c>
      <c r="C59" s="3">
        <f>Historicals!C91+Historicals!C93</f>
        <v>-2731</v>
      </c>
      <c r="D59" s="3">
        <f>Historicals!D91+Historicals!D93</f>
        <v>-2734</v>
      </c>
      <c r="E59" s="3">
        <f>Historicals!E91+Historicals!E93</f>
        <v>-3521</v>
      </c>
      <c r="F59" s="3">
        <f>Historicals!F91+Historicals!F93</f>
        <v>-3586</v>
      </c>
      <c r="G59" s="3">
        <f>Historicals!G91+Historicals!G93</f>
        <v>-2182</v>
      </c>
      <c r="H59" s="3">
        <f>Historicals!H91+Historicals!H93</f>
        <v>564</v>
      </c>
      <c r="I59" s="3">
        <f>Historicals!I91+Historicals!I93</f>
        <v>-2863</v>
      </c>
      <c r="J59" s="3">
        <f>I59*(1+J60)</f>
        <v>14533.278368794327</v>
      </c>
      <c r="K59" s="3">
        <f t="shared" ref="K59:N59" si="58">J59*(1+K60)</f>
        <v>-73774.425478471909</v>
      </c>
      <c r="L59" s="3">
        <f t="shared" si="58"/>
        <v>374496.77330649836</v>
      </c>
      <c r="M59" s="3">
        <f t="shared" si="58"/>
        <v>-1901035.9254902566</v>
      </c>
      <c r="N59" s="3">
        <f t="shared" si="58"/>
        <v>9650116.7636145465</v>
      </c>
      <c r="O59" s="3"/>
    </row>
    <row r="60" spans="1:15" x14ac:dyDescent="0.2">
      <c r="A60" s="51" t="s">
        <v>128</v>
      </c>
      <c r="B60" s="56" t="s">
        <v>193</v>
      </c>
      <c r="C60" s="56">
        <f>C59/B59-1</f>
        <v>0.35198019801980207</v>
      </c>
      <c r="D60" s="56">
        <f t="shared" ref="D60:I60" si="59">D59/C59-1</f>
        <v>1.0984987184181616E-3</v>
      </c>
      <c r="E60" s="56">
        <f t="shared" si="59"/>
        <v>0.28785662033650339</v>
      </c>
      <c r="F60" s="56">
        <f t="shared" si="59"/>
        <v>1.8460664583924924E-2</v>
      </c>
      <c r="G60" s="56">
        <f t="shared" si="59"/>
        <v>-0.39152258784160621</v>
      </c>
      <c r="H60" s="56">
        <f t="shared" si="59"/>
        <v>-1.2584784601283228</v>
      </c>
      <c r="I60" s="56">
        <f t="shared" si="59"/>
        <v>-6.0762411347517729</v>
      </c>
      <c r="J60" s="56">
        <f>I60</f>
        <v>-6.0762411347517729</v>
      </c>
      <c r="K60" s="56">
        <f t="shared" ref="K60:N60" si="60">J60</f>
        <v>-6.0762411347517729</v>
      </c>
      <c r="L60" s="56">
        <f t="shared" si="60"/>
        <v>-6.0762411347517729</v>
      </c>
      <c r="M60" s="56">
        <f t="shared" si="60"/>
        <v>-6.0762411347517729</v>
      </c>
      <c r="N60" s="56">
        <f t="shared" si="60"/>
        <v>-6.0762411347517729</v>
      </c>
      <c r="O60" s="56"/>
    </row>
    <row r="61" spans="1:15" x14ac:dyDescent="0.2">
      <c r="A61" t="s">
        <v>180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J17*J15</f>
        <v>10337.997905947168</v>
      </c>
      <c r="K61" s="3">
        <f t="shared" ref="K61:N61" si="61">K17*K15</f>
        <v>14110.039476559712</v>
      </c>
      <c r="L61" s="3">
        <f t="shared" si="61"/>
        <v>17789.566896387099</v>
      </c>
      <c r="M61" s="3">
        <f t="shared" si="61"/>
        <v>22371.385047147738</v>
      </c>
      <c r="N61" s="3">
        <f t="shared" si="61"/>
        <v>28200.673397319115</v>
      </c>
      <c r="O61" s="3"/>
    </row>
    <row r="62" spans="1:15" x14ac:dyDescent="0.2">
      <c r="A62" t="s">
        <v>181</v>
      </c>
      <c r="B62" s="3">
        <f>Historicals!B88+Historicals!B89</f>
        <v>-70</v>
      </c>
      <c r="C62" s="3">
        <f>Historicals!C87+Historicals!C88+Historicals!C89</f>
        <v>808</v>
      </c>
      <c r="D62" s="3">
        <f>Historicals!D87+Historicals!D88+Historicals!D89</f>
        <v>1765</v>
      </c>
      <c r="E62" s="3">
        <f>Historicals!E89-6</f>
        <v>7</v>
      </c>
      <c r="F62" s="3">
        <f>Historicals!F89-6</f>
        <v>-331</v>
      </c>
      <c r="G62" s="3">
        <f>Historicals!G87+Historicals!G88+Historicals!G89-6</f>
        <v>6177</v>
      </c>
      <c r="H62" s="3">
        <f>Historicals!H87+Historicals!H88+Historicals!H89</f>
        <v>-249</v>
      </c>
      <c r="I62" s="3">
        <f>Historicals!I89</f>
        <v>15</v>
      </c>
      <c r="J62" s="3">
        <f>J38-J37</f>
        <v>-164</v>
      </c>
      <c r="K62" s="3">
        <f t="shared" ref="K62:N62" si="62">K38-K37</f>
        <v>-164</v>
      </c>
      <c r="L62" s="3">
        <f t="shared" si="62"/>
        <v>-164</v>
      </c>
      <c r="M62" s="3">
        <f t="shared" si="62"/>
        <v>-164</v>
      </c>
      <c r="N62" s="3">
        <f t="shared" si="62"/>
        <v>-164</v>
      </c>
      <c r="O62" s="3"/>
    </row>
    <row r="63" spans="1:15" x14ac:dyDescent="0.2">
      <c r="A63" t="s">
        <v>182</v>
      </c>
      <c r="B63" s="3">
        <f>Historicals!B92+Historicals!B90</f>
        <v>199</v>
      </c>
      <c r="C63" s="3">
        <f>Historicals!C92+Historicals!C90</f>
        <v>274</v>
      </c>
      <c r="D63" s="3">
        <f>Historicals!D92+Historicals!D90</f>
        <v>160</v>
      </c>
      <c r="E63" s="3">
        <f>Historicals!E95+6</f>
        <v>-78</v>
      </c>
      <c r="F63" s="3">
        <f>Historicals!F95+6</f>
        <v>-44</v>
      </c>
      <c r="G63" s="3">
        <f>Historicals!G95+6</f>
        <v>-52</v>
      </c>
      <c r="H63" s="3">
        <f>Historicals!H95</f>
        <v>-136</v>
      </c>
      <c r="I63" s="3">
        <f>Historicals!I95</f>
        <v>-151</v>
      </c>
      <c r="J63" s="3">
        <f>I63</f>
        <v>-151</v>
      </c>
      <c r="K63" s="3">
        <f t="shared" ref="K63:N63" si="63">J63</f>
        <v>-151</v>
      </c>
      <c r="L63" s="3">
        <f t="shared" si="63"/>
        <v>-151</v>
      </c>
      <c r="M63" s="3">
        <f t="shared" si="63"/>
        <v>-151</v>
      </c>
      <c r="N63" s="3">
        <f t="shared" si="63"/>
        <v>-151</v>
      </c>
      <c r="O63" s="3"/>
    </row>
    <row r="64" spans="1:15" x14ac:dyDescent="0.2">
      <c r="A64" s="27" t="s">
        <v>183</v>
      </c>
      <c r="B64" s="26">
        <f>B59+B61+B63+B62</f>
        <v>-2790</v>
      </c>
      <c r="C64" s="26">
        <f t="shared" ref="C64:N64" si="64">C59+C61+C63+C62</f>
        <v>-2671</v>
      </c>
      <c r="D64" s="26">
        <f t="shared" si="64"/>
        <v>-1942</v>
      </c>
      <c r="E64" s="26">
        <f t="shared" si="64"/>
        <v>-4835</v>
      </c>
      <c r="F64" s="26">
        <f t="shared" si="64"/>
        <v>-5293</v>
      </c>
      <c r="G64" s="26">
        <f t="shared" si="64"/>
        <v>2491</v>
      </c>
      <c r="H64" s="26">
        <f t="shared" si="64"/>
        <v>-1459</v>
      </c>
      <c r="I64" s="26">
        <f t="shared" si="64"/>
        <v>-4836</v>
      </c>
      <c r="J64" s="26">
        <f t="shared" si="64"/>
        <v>24556.276274741496</v>
      </c>
      <c r="K64" s="26">
        <f t="shared" si="64"/>
        <v>-59979.386001912193</v>
      </c>
      <c r="L64" s="26">
        <f t="shared" si="64"/>
        <v>391971.34020288545</v>
      </c>
      <c r="M64" s="26">
        <f t="shared" si="64"/>
        <v>-1878979.5404431089</v>
      </c>
      <c r="N64" s="26">
        <f t="shared" si="64"/>
        <v>9678002.4370118659</v>
      </c>
      <c r="O64" s="41"/>
    </row>
    <row r="65" spans="1:15" x14ac:dyDescent="0.2">
      <c r="A65" t="s">
        <v>184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>
        <f>I65</f>
        <v>-143</v>
      </c>
      <c r="K65" s="3">
        <f t="shared" ref="K65:N65" si="65">J65</f>
        <v>-143</v>
      </c>
      <c r="L65" s="3">
        <f t="shared" si="65"/>
        <v>-143</v>
      </c>
      <c r="M65" s="3">
        <f t="shared" si="65"/>
        <v>-143</v>
      </c>
      <c r="N65" s="3">
        <f t="shared" si="65"/>
        <v>-143</v>
      </c>
      <c r="O65" s="3"/>
    </row>
    <row r="66" spans="1:15" x14ac:dyDescent="0.2">
      <c r="A66" s="27" t="s">
        <v>185</v>
      </c>
      <c r="B66" s="26">
        <f>B55+B58+B64+B65</f>
        <v>1632</v>
      </c>
      <c r="C66" s="26">
        <f t="shared" ref="C66:H66" si="66">C58+C64+C65+C55</f>
        <v>-714</v>
      </c>
      <c r="D66" s="26">
        <f t="shared" si="66"/>
        <v>670</v>
      </c>
      <c r="E66" s="26">
        <f t="shared" si="66"/>
        <v>441</v>
      </c>
      <c r="F66" s="26">
        <v>217</v>
      </c>
      <c r="G66" s="26">
        <f t="shared" si="66"/>
        <v>3882</v>
      </c>
      <c r="H66" s="26">
        <f t="shared" si="66"/>
        <v>1541</v>
      </c>
      <c r="I66" s="26">
        <f>I58+I64+I65+I55</f>
        <v>-1315</v>
      </c>
      <c r="J66" s="26">
        <f>J58+J64+J65+J55</f>
        <v>35774.185717508371</v>
      </c>
      <c r="K66" s="26">
        <f>K58+K64+K65+K55</f>
        <v>-45587.579303791608</v>
      </c>
      <c r="L66" s="26">
        <f>L58+L64+L65+L55</f>
        <v>409160.03878034244</v>
      </c>
      <c r="M66" s="26">
        <f>M58+M64+M65+N55</f>
        <v>-1863749.9191136737</v>
      </c>
      <c r="N66" s="26" t="e">
        <f>N58+N64+N65+#REF!</f>
        <v>#REF!</v>
      </c>
      <c r="O66" s="41"/>
    </row>
    <row r="67" spans="1:15" x14ac:dyDescent="0.2">
      <c r="A67" t="s">
        <v>186</v>
      </c>
      <c r="B67" s="3">
        <f>Historicals!B99</f>
        <v>2220</v>
      </c>
      <c r="C67" s="3">
        <f>B68</f>
        <v>3852</v>
      </c>
      <c r="D67" s="3">
        <f t="shared" ref="D67:I67" si="67">C68</f>
        <v>3138</v>
      </c>
      <c r="E67" s="3">
        <f t="shared" si="67"/>
        <v>3808</v>
      </c>
      <c r="F67" s="3">
        <f t="shared" si="67"/>
        <v>4249</v>
      </c>
      <c r="G67" s="3">
        <f t="shared" si="67"/>
        <v>4466</v>
      </c>
      <c r="H67" s="3">
        <f t="shared" si="67"/>
        <v>8348</v>
      </c>
      <c r="I67" s="3">
        <f t="shared" si="67"/>
        <v>9889</v>
      </c>
      <c r="J67" s="3">
        <f>I67</f>
        <v>9889</v>
      </c>
      <c r="K67" s="3">
        <f t="shared" ref="K67:N67" si="68">J67</f>
        <v>9889</v>
      </c>
      <c r="L67" s="3">
        <f t="shared" si="68"/>
        <v>9889</v>
      </c>
      <c r="M67" s="3">
        <f t="shared" si="68"/>
        <v>9889</v>
      </c>
      <c r="N67" s="3">
        <f t="shared" si="68"/>
        <v>9889</v>
      </c>
      <c r="O67" s="3"/>
    </row>
    <row r="68" spans="1:15" ht="16" thickBot="1" x14ac:dyDescent="0.25">
      <c r="A68" s="6" t="s">
        <v>187</v>
      </c>
      <c r="B68" s="7">
        <f>B66+B67</f>
        <v>3852</v>
      </c>
      <c r="C68" s="7">
        <f t="shared" ref="C68:N68" si="69">C66+C67</f>
        <v>3138</v>
      </c>
      <c r="D68" s="7">
        <f t="shared" si="69"/>
        <v>3808</v>
      </c>
      <c r="E68" s="7">
        <f t="shared" si="69"/>
        <v>4249</v>
      </c>
      <c r="F68" s="7">
        <f t="shared" si="69"/>
        <v>4466</v>
      </c>
      <c r="G68" s="7">
        <f t="shared" si="69"/>
        <v>8348</v>
      </c>
      <c r="H68" s="7">
        <f t="shared" si="69"/>
        <v>9889</v>
      </c>
      <c r="I68" s="7">
        <f t="shared" si="69"/>
        <v>8574</v>
      </c>
      <c r="J68" s="7">
        <f t="shared" si="69"/>
        <v>45663.185717508371</v>
      </c>
      <c r="K68" s="7">
        <f t="shared" si="69"/>
        <v>-35698.579303791608</v>
      </c>
      <c r="L68" s="7">
        <f t="shared" si="69"/>
        <v>419049.03878034244</v>
      </c>
      <c r="M68" s="7">
        <f t="shared" si="69"/>
        <v>-1853860.9191136737</v>
      </c>
      <c r="N68" s="7" t="e">
        <f t="shared" si="69"/>
        <v>#REF!</v>
      </c>
      <c r="O68" s="41"/>
    </row>
    <row r="69" spans="1:15" ht="16" thickTop="1" x14ac:dyDescent="0.2">
      <c r="A69" s="60" t="s">
        <v>168</v>
      </c>
      <c r="B69" s="83">
        <f t="shared" ref="B69:I69" si="70">+B68-B21</f>
        <v>0</v>
      </c>
      <c r="C69" s="83">
        <f t="shared" si="70"/>
        <v>0</v>
      </c>
      <c r="D69" s="83">
        <f t="shared" si="70"/>
        <v>0</v>
      </c>
      <c r="E69" s="83">
        <f t="shared" si="70"/>
        <v>0</v>
      </c>
      <c r="F69" s="83">
        <f t="shared" si="70"/>
        <v>0</v>
      </c>
      <c r="G69" s="83">
        <f t="shared" si="70"/>
        <v>0</v>
      </c>
      <c r="H69" s="83">
        <f t="shared" si="70"/>
        <v>0</v>
      </c>
      <c r="I69" s="83">
        <f t="shared" si="70"/>
        <v>0</v>
      </c>
      <c r="J69" s="41"/>
      <c r="K69" s="41"/>
      <c r="L69" s="41"/>
      <c r="M69" s="41"/>
      <c r="N69" s="41"/>
      <c r="O69" s="41"/>
    </row>
    <row r="70" spans="1:15" x14ac:dyDescent="0.2">
      <c r="A70" s="1" t="s">
        <v>188</v>
      </c>
      <c r="B70" s="48">
        <f>Historicals!B45+Historicals!B46-(Historicals!B25+Historicals!B26)</f>
        <v>1487</v>
      </c>
      <c r="C70" s="48">
        <f>Historicals!C45+Historicals!C46-(Historicals!C25+Historicals!C26)</f>
        <v>1911</v>
      </c>
      <c r="D70" s="48">
        <f>Historicals!D45+Historicals!D46-(Historicals!D25+Historicals!D26)</f>
        <v>2766</v>
      </c>
      <c r="E70" s="48">
        <f>Historicals!E45+Historicals!E46-(Historicals!E25+Historicals!E26)</f>
        <v>4263</v>
      </c>
      <c r="F70" s="48">
        <f>Historicals!F45+Historicals!F46-(Historicals!F25+Historicals!F26)</f>
        <v>6667</v>
      </c>
      <c r="G70" s="48">
        <f>Historicals!G45+Historicals!G46-(Historicals!G25+Historicals!G26)</f>
        <v>8903</v>
      </c>
      <c r="H70" s="48">
        <f>Historicals!H45+Historicals!H46-(Historicals!H25+Historicals!H26)</f>
        <v>5611</v>
      </c>
      <c r="I70" s="48">
        <f>Historicals!I45+Historicals!I46-(Historicals!I25+Historicals!I26)</f>
        <v>6653</v>
      </c>
      <c r="J70" s="48">
        <f>I70</f>
        <v>6653</v>
      </c>
      <c r="K70" s="48">
        <f t="shared" ref="K70:N70" si="71">J70</f>
        <v>6653</v>
      </c>
      <c r="L70" s="48">
        <f t="shared" si="71"/>
        <v>6653</v>
      </c>
      <c r="M70" s="48">
        <f t="shared" si="71"/>
        <v>6653</v>
      </c>
      <c r="N70" s="48">
        <f t="shared" si="71"/>
        <v>6653</v>
      </c>
      <c r="O70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katerina stylianaki</cp:lastModifiedBy>
  <dcterms:created xsi:type="dcterms:W3CDTF">2020-05-20T17:26:08Z</dcterms:created>
  <dcterms:modified xsi:type="dcterms:W3CDTF">2023-12-18T10:47:47Z</dcterms:modified>
</cp:coreProperties>
</file>