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lisasola/Desktop/"/>
    </mc:Choice>
  </mc:AlternateContent>
  <xr:revisionPtr revIDLastSave="0" documentId="8_{B08AB007-75E4-2248-B6DA-47EBB2048FAB}" xr6:coauthVersionLast="47" xr6:coauthVersionMax="47" xr10:uidLastSave="{00000000-0000-0000-0000-000000000000}"/>
  <bookViews>
    <workbookView xWindow="0" yWindow="740" windowWidth="23260" windowHeight="13900" activeTab="2" xr2:uid="{00000000-000D-0000-FFFF-FFFF00000000}"/>
  </bookViews>
  <sheets>
    <sheet name="Instructions" sheetId="2" r:id="rId1"/>
    <sheet name="Financial Statements" sheetId="1" r:id="rId2"/>
    <sheet name="List of Ratios" sheetId="3" r:id="rId3"/>
    <sheet name="Sheet2"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3" l="1"/>
  <c r="E44" i="3"/>
  <c r="C44" i="3"/>
  <c r="E31" i="3"/>
  <c r="E30" i="3"/>
  <c r="D51" i="3"/>
  <c r="E51" i="3"/>
  <c r="C51" i="3"/>
  <c r="C50" i="3" s="1"/>
  <c r="E50" i="3"/>
  <c r="D48" i="3"/>
  <c r="E48" i="3"/>
  <c r="C48" i="3"/>
  <c r="D29" i="3"/>
  <c r="E29" i="3"/>
  <c r="C29" i="3"/>
  <c r="D45" i="3"/>
  <c r="E45" i="3"/>
  <c r="E46" i="3" s="1"/>
  <c r="C45" i="3"/>
  <c r="D46" i="3"/>
  <c r="C46" i="3"/>
  <c r="E43" i="3"/>
  <c r="E42" i="3" s="1"/>
  <c r="D43" i="3"/>
  <c r="D42" i="3" s="1"/>
  <c r="C43" i="3"/>
  <c r="C42" i="3" s="1"/>
  <c r="D41" i="3"/>
  <c r="E41" i="3"/>
  <c r="C41" i="3"/>
  <c r="D26" i="3"/>
  <c r="E26" i="3"/>
  <c r="D25" i="3"/>
  <c r="E25" i="3"/>
  <c r="C25" i="3"/>
  <c r="D8" i="3"/>
  <c r="E8" i="3"/>
  <c r="C8" i="3"/>
  <c r="D9" i="3"/>
  <c r="E9" i="3"/>
  <c r="D50" i="3"/>
  <c r="D49" i="3"/>
  <c r="E49" i="3"/>
  <c r="C49" i="3"/>
  <c r="C4" i="5"/>
  <c r="D4" i="5"/>
  <c r="B4" i="5"/>
  <c r="D47" i="3"/>
  <c r="E47" i="3"/>
  <c r="D40" i="3"/>
  <c r="E40" i="3"/>
  <c r="C40" i="3"/>
  <c r="C47" i="3"/>
  <c r="A74" i="3"/>
  <c r="A75" i="3" s="1"/>
  <c r="A76" i="3" s="1"/>
  <c r="D74" i="3"/>
  <c r="D76" i="3" s="1"/>
  <c r="C74" i="3"/>
  <c r="C31" i="3" s="1"/>
  <c r="C30" i="3" s="1"/>
  <c r="D73" i="3"/>
  <c r="E73" i="3"/>
  <c r="C73" i="3"/>
  <c r="A65" i="3"/>
  <c r="A66" i="3" s="1"/>
  <c r="A67" i="3" s="1"/>
  <c r="A68" i="3" s="1"/>
  <c r="A69" i="3" s="1"/>
  <c r="A70" i="3" s="1"/>
  <c r="A71" i="3" s="1"/>
  <c r="D65" i="3"/>
  <c r="E65" i="3"/>
  <c r="D66" i="3"/>
  <c r="E66" i="3"/>
  <c r="D67" i="3"/>
  <c r="E67" i="3"/>
  <c r="D68" i="3"/>
  <c r="E68" i="3"/>
  <c r="D69" i="3"/>
  <c r="E69" i="3"/>
  <c r="D70" i="3"/>
  <c r="E70" i="3"/>
  <c r="D71" i="3"/>
  <c r="E71" i="3"/>
  <c r="C71" i="3"/>
  <c r="C70" i="3"/>
  <c r="C69" i="3"/>
  <c r="C68" i="3"/>
  <c r="C67" i="3"/>
  <c r="C66" i="3"/>
  <c r="C65" i="3"/>
  <c r="A54" i="3"/>
  <c r="A55" i="3" s="1"/>
  <c r="A56" i="3" s="1"/>
  <c r="A57" i="3" s="1"/>
  <c r="A58" i="3" s="1"/>
  <c r="A59" i="3" s="1"/>
  <c r="A60" i="3" s="1"/>
  <c r="D54" i="3"/>
  <c r="D55" i="3"/>
  <c r="D56" i="3"/>
  <c r="D57" i="3"/>
  <c r="D58" i="3"/>
  <c r="D59" i="3"/>
  <c r="D60" i="3"/>
  <c r="C60" i="3"/>
  <c r="C59" i="3"/>
  <c r="C58" i="3"/>
  <c r="C57" i="3"/>
  <c r="C56" i="3"/>
  <c r="C55" i="3"/>
  <c r="C54" i="3"/>
  <c r="D34" i="3"/>
  <c r="E34" i="3"/>
  <c r="D35" i="3"/>
  <c r="E35" i="3"/>
  <c r="D36" i="3"/>
  <c r="E36" i="3"/>
  <c r="D37" i="3"/>
  <c r="E37" i="3"/>
  <c r="C37" i="3"/>
  <c r="C36" i="3"/>
  <c r="C35" i="3"/>
  <c r="C34" i="3"/>
  <c r="D27" i="3"/>
  <c r="E27" i="3"/>
  <c r="C26" i="3"/>
  <c r="D22" i="3"/>
  <c r="E22" i="3"/>
  <c r="C22" i="3"/>
  <c r="D21" i="3"/>
  <c r="D20" i="3" s="1"/>
  <c r="E21" i="3"/>
  <c r="E28" i="3" s="1"/>
  <c r="C21" i="3"/>
  <c r="C19" i="3" s="1"/>
  <c r="C18" i="3" s="1"/>
  <c r="D17" i="3"/>
  <c r="E17" i="3"/>
  <c r="C17" i="3"/>
  <c r="D14" i="3"/>
  <c r="D13" i="3" s="1"/>
  <c r="E14" i="3"/>
  <c r="E13" i="3" s="1"/>
  <c r="D11" i="3"/>
  <c r="E11" i="3"/>
  <c r="E12" i="3" s="1"/>
  <c r="C14" i="3"/>
  <c r="C13" i="3" s="1"/>
  <c r="E10" i="3"/>
  <c r="D10" i="3"/>
  <c r="D7" i="3"/>
  <c r="E7" i="3"/>
  <c r="D6" i="3"/>
  <c r="E6" i="3"/>
  <c r="C6" i="3"/>
  <c r="C7" i="3"/>
  <c r="C9" i="3"/>
  <c r="C10" i="3"/>
  <c r="C11" i="3"/>
  <c r="D5" i="3"/>
  <c r="E5" i="3"/>
  <c r="C5" i="3"/>
  <c r="D108" i="1"/>
  <c r="C108" i="1"/>
  <c r="B108" i="1"/>
  <c r="D99" i="1"/>
  <c r="C99" i="1"/>
  <c r="B99" i="1"/>
  <c r="E20" i="3" l="1"/>
  <c r="C12" i="3"/>
  <c r="D31" i="3"/>
  <c r="D30" i="3" s="1"/>
  <c r="C75" i="3"/>
  <c r="E19" i="3"/>
  <c r="E18" i="3" s="1"/>
  <c r="C76" i="3"/>
  <c r="D75" i="3"/>
  <c r="D12" i="3"/>
  <c r="D19" i="3"/>
  <c r="D18" i="3" s="1"/>
  <c r="C28" i="3"/>
  <c r="D28" i="3"/>
  <c r="C20" i="3"/>
  <c r="D68" i="1"/>
  <c r="C68" i="1"/>
  <c r="B68" i="1"/>
  <c r="D61" i="1"/>
  <c r="C61" i="1"/>
  <c r="B61" i="1"/>
  <c r="D56" i="1"/>
  <c r="C56" i="1"/>
  <c r="C62" i="1" s="1"/>
  <c r="B56" i="1"/>
  <c r="B62" i="1" s="1"/>
  <c r="D47" i="1"/>
  <c r="C47" i="1"/>
  <c r="B47" i="1"/>
  <c r="D42" i="1"/>
  <c r="C42" i="1"/>
  <c r="B42" i="1"/>
  <c r="B48" i="1" s="1"/>
  <c r="D17" i="1"/>
  <c r="C17" i="1"/>
  <c r="B17" i="1"/>
  <c r="D13" i="1"/>
  <c r="D18" i="1" s="1"/>
  <c r="D20" i="1" s="1"/>
  <c r="D22" i="1" s="1"/>
  <c r="D76" i="1" s="1"/>
  <c r="D91" i="1" s="1"/>
  <c r="D109" i="1" s="1"/>
  <c r="D12" i="1"/>
  <c r="C12" i="1"/>
  <c r="B12" i="1"/>
  <c r="D8" i="1"/>
  <c r="C8" i="1"/>
  <c r="C13" i="1" s="1"/>
  <c r="B8" i="1"/>
  <c r="B13" i="1" s="1"/>
  <c r="E3" i="3"/>
  <c r="D3" i="3"/>
  <c r="C3" i="3"/>
  <c r="D33" i="1"/>
  <c r="D73" i="1" s="1"/>
  <c r="C33" i="1"/>
  <c r="C73" i="1" s="1"/>
  <c r="B33" i="1"/>
  <c r="B73" i="1" s="1"/>
  <c r="C18" i="1" l="1"/>
  <c r="C20" i="1" s="1"/>
  <c r="C22" i="1" s="1"/>
  <c r="C76" i="1" s="1"/>
  <c r="C91" i="1" s="1"/>
  <c r="C109" i="1" s="1"/>
  <c r="B18" i="1"/>
  <c r="B20" i="1" s="1"/>
  <c r="B22" i="1" s="1"/>
  <c r="B76" i="1" s="1"/>
  <c r="B91" i="1" s="1"/>
  <c r="B109" i="1" s="1"/>
  <c r="C48" i="1"/>
  <c r="D62" i="1"/>
  <c r="D69" i="1" s="1"/>
  <c r="C69" i="1"/>
  <c r="D48" i="1"/>
  <c r="B69" i="1"/>
  <c r="A47" i="3"/>
  <c r="A49" i="3" s="1"/>
  <c r="A16" i="3"/>
  <c r="A17" i="3" s="1"/>
  <c r="A18" i="3" s="1"/>
  <c r="A20" i="3" s="1"/>
  <c r="A22" i="3" s="1"/>
  <c r="A5" i="3"/>
  <c r="A6" i="3" s="1"/>
  <c r="A7" i="3" s="1"/>
  <c r="A8" i="3" s="1"/>
  <c r="A9" i="3" s="1"/>
  <c r="A10" i="3" s="1"/>
  <c r="A11" i="3" s="1"/>
  <c r="A12" i="3" s="1"/>
  <c r="A13" i="3" s="1"/>
  <c r="A24" i="3" l="1"/>
  <c r="A25" i="3" s="1"/>
  <c r="A26" i="3" s="1"/>
  <c r="A27" i="3" s="1"/>
  <c r="A28" i="3" s="1"/>
  <c r="A29" i="3" s="1"/>
  <c r="A30" i="3" s="1"/>
  <c r="A33" i="3"/>
  <c r="A39" i="3" l="1"/>
  <c r="A40" i="3" s="1"/>
  <c r="A41" i="3" s="1"/>
  <c r="A42" i="3" s="1"/>
  <c r="A43" i="3" s="1"/>
  <c r="A44" i="3" s="1"/>
  <c r="A46" i="3" s="1"/>
  <c r="A48" i="3" s="1"/>
  <c r="A50" i="3" s="1"/>
  <c r="A34" i="3"/>
  <c r="A35" i="3" s="1"/>
  <c r="A36" i="3" s="1"/>
  <c r="A37" i="3" s="1"/>
</calcChain>
</file>

<file path=xl/sharedStrings.xml><?xml version="1.0" encoding="utf-8"?>
<sst xmlns="http://schemas.openxmlformats.org/spreadsheetml/2006/main" count="215" uniqueCount="180">
  <si>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</si>
  <si>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</si>
  <si>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</si>
  <si>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</si>
  <si>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</si>
  <si>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</si>
  <si>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</si>
  <si>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</si>
  <si>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</si>
  <si>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</si>
  <si>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</si>
  <si>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</si>
  <si>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</si>
  <si>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</si>
  <si>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</si>
  <si>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</si>
  <si>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</si>
  <si>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</si>
  <si>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</si>
  <si>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</si>
  <si>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</si>
  <si>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</si>
  <si>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</si>
  <si>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</si>
  <si>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</si>
  <si>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</si>
  <si>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</si>
  <si>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</si>
  <si>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</si>
  <si>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</si>
  <si>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</si>
  <si>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</si>
  <si>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</si>
  <si>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</si>
  <si>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</si>
  <si>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</si>
  <si>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</si>
  <si>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</si>
  <si>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</si>
  <si>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</si>
  <si>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</si>
  <si>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</si>
  <si>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</si>
  <si>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</si>
  <si>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</si>
  <si>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</si>
  <si>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</si>
  <si>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</si>
  <si>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</si>
  <si>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</si>
  <si>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</si>
  <si>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</si>
  <si>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</si>
  <si>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</si>
  <si>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</si>
  <si>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</si>
  <si>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</si>
  <si>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</si>
  <si>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</si>
  <si>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</si>
  <si>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</si>
  <si>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</si>
  <si>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</si>
  <si>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</si>
  <si>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</si>
  <si>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</si>
  <si>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</si>
  <si>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</si>
  <si>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</si>
  <si>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</si>
  <si>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</si>
  <si>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</si>
  <si>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</si>
  <si>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</si>
  <si>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</si>
  <si>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</si>
  <si>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</si>
  <si>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</si>
  <si>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</si>
  <si>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</si>
  <si>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</si>
  <si>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</si>
  <si>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</si>
  <si>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</si>
  <si>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</si>
  <si>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</si>
  <si>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</si>
  <si>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</si>
  <si>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</si>
  <si>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</si>
  <si>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</si>
  <si>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</si>
  <si>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</si>
  <si>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</si>
  <si>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</si>
  <si>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</si>
  <si>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</si>
  <si>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</si>
  <si>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</si>
  <si>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</si>
  <si>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</si>
  <si>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</si>
  <si>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</si>
  <si>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</si>
  <si>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</si>
  <si>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</si>
  <si>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</si>
  <si>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</si>
  <si>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</si>
  <si>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</si>
  <si>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</si>
  <si>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</si>
  <si>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</si>
  <si>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</si>
  <si>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</si>
  <si>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</si>
  <si>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</si>
  <si>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</si>
  <si>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</si>
  <si>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</si>
  <si>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</si>
  <si>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</si>
  <si>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</si>
  <si>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</si>
  <si>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</si>
  <si>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</si>
  <si>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</si>
  <si>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</si>
  <si>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</si>
  <si>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</si>
  <si>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</si>
  <si>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</si>
  <si>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</si>
  <si>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</si>
  <si>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</si>
  <si>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</si>
  <si>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</si>
  <si>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</si>
  <si>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</si>
  <si>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</si>
  <si>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</si>
  <si>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</si>
  <si>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</si>
  <si>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</si>
  <si>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</si>
  <si>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</si>
  <si>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</si>
  <si>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</si>
  <si>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</si>
  <si>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</si>
  <si>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Total net sales growth rate</t>
  </si>
  <si>
    <t>Gross Profit growth rate</t>
  </si>
  <si>
    <t>R&amp;D growth rate</t>
  </si>
  <si>
    <t>S,G&amp;A growth rate</t>
  </si>
  <si>
    <t>Total operating expenses growth rate</t>
  </si>
  <si>
    <t xml:space="preserve">   Products growth rate</t>
  </si>
  <si>
    <t xml:space="preserve">   Services growth rate</t>
  </si>
  <si>
    <t>Income statement Growth rates</t>
  </si>
  <si>
    <t>Margins</t>
  </si>
  <si>
    <t>Capex</t>
  </si>
  <si>
    <r>
      <t>As of</t>
    </r>
    <r>
      <rPr>
        <sz val="11"/>
        <color theme="1"/>
        <rFont val="Calibri"/>
        <family val="2"/>
        <scheme val="minor"/>
      </rPr>
      <t>12:00 AM EST 11/17/23</t>
    </r>
    <r>
      <rPr>
        <sz val="14"/>
        <color rgb="FF767676"/>
        <rFont val="Helvetica"/>
        <family val="2"/>
      </rPr>
      <t>.</t>
    </r>
  </si>
  <si>
    <t>Market closed. 189.69</t>
  </si>
  <si>
    <t>SHARE PRICE</t>
  </si>
  <si>
    <t>CAPITAL EMPLOYED</t>
  </si>
  <si>
    <t>Current Assets / Daily Operational Expenses where Daily Operational Expenses = (Annual Operating Expenses - Noncash Charges) / 365</t>
  </si>
  <si>
    <t>For the numerator include only term debt (under non-current liabilities), remove row 55</t>
  </si>
  <si>
    <t>EBIT/ (Interest + Debt repayment) debt repayment can be found in cash flow statement</t>
  </si>
  <si>
    <t>FCFE/Diluted number of shares</t>
  </si>
  <si>
    <t>Cash from operations + Capex + Net debt issued</t>
  </si>
  <si>
    <t>Link diluted EPS</t>
  </si>
  <si>
    <t>Total shareholder equity/Diluted number of shares. Diluted number of shares can be found at the bottom of income statement. Note that the three statements are reported in millions while the share count is reported in absolute number, so divide share count by 1000 within brackets</t>
  </si>
  <si>
    <t>Dividends paid/Diluted number of shares. Diluted number of shares can be found at the bottom of income statement. Note that the three statements are reported in millions while the share count is reported in absolute number, so divide share count by 1000 within brackets</t>
  </si>
  <si>
    <t>DPS/EPS</t>
  </si>
  <si>
    <t>EBIT / (Term debt + total equity)</t>
  </si>
  <si>
    <t>Market Cap + Total Debt - (Cash + Cash Equivalents), Where market cap=Share price* (diluted number of shares/1000)</t>
  </si>
  <si>
    <t>DPS/Share price</t>
  </si>
  <si>
    <t>Please calculate the ratios mentioned in rows 14 to 24 in the instructions sheet</t>
  </si>
  <si>
    <t>Feedback</t>
  </si>
  <si>
    <t>apologies these were starting in row 82. I've moved the cells up</t>
  </si>
  <si>
    <t>I'm not sure of ths. Why divide by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</si>
</sst>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
    <numFmt numFmtId="167" formatCode="0.0000"/>
    <numFmt numFmtId="168" formatCode="0.00000"/>
    <numFmt numFmtId="173" formatCode="_(* #,##0.000000_);_(* \(#,##0.00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rgb="FF767676"/>
      <name val="Helvetica"/>
      <family val="2"/>
    </font>
    <font>
      <sz val="11"/>
      <color rgb="FF000000"/>
      <name val="Calibri"/>
      <family val="2"/>
      <charset val="1"/>
    </font>
    <font>
      <sz val="11"/>
      <color theme="4"/>
      <name val="Calibri"/>
      <family val="2"/>
      <scheme val="minor"/>
    </font>
    <font>
      <sz val="11"/>
      <color theme="4"/>
      <name val="Calibri (Body)"/>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9" fillId="0" borderId="0"/>
  </cellStyleXfs>
  <cellXfs count="42">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4" fontId="0" fillId="0" borderId="3" xfId="1" applyNumberFormat="1" applyFont="1" applyBorder="1"/>
    <xf numFmtId="0" fontId="2" fillId="0" borderId="3" xfId="0" applyFont="1" applyBorder="1" applyAlignment="1">
      <alignment horizontal="left"/>
    </xf>
    <xf numFmtId="9" fontId="0" fillId="0" borderId="0" xfId="3" applyFont="1"/>
    <xf numFmtId="165" fontId="0" fillId="5" borderId="0" xfId="0" applyNumberFormat="1" applyFill="1"/>
    <xf numFmtId="0" fontId="0" fillId="5" borderId="0" xfId="0" applyFill="1" applyAlignment="1">
      <alignment horizontal="left" indent="1"/>
    </xf>
    <xf numFmtId="0" fontId="0" fillId="5" borderId="0" xfId="0" applyFill="1"/>
    <xf numFmtId="0" fontId="0" fillId="5" borderId="0" xfId="0" applyFill="1" applyAlignment="1">
      <alignment horizontal="left" indent="2"/>
    </xf>
    <xf numFmtId="0" fontId="8" fillId="0" borderId="0" xfId="0" applyFont="1"/>
    <xf numFmtId="43" fontId="0" fillId="0" borderId="0" xfId="1" applyFont="1"/>
    <xf numFmtId="2" fontId="0" fillId="0" borderId="0" xfId="0" applyNumberFormat="1"/>
    <xf numFmtId="2" fontId="0" fillId="0" borderId="0" xfId="3" applyNumberFormat="1" applyFont="1"/>
    <xf numFmtId="0" fontId="9" fillId="0" borderId="0" xfId="4"/>
    <xf numFmtId="0" fontId="2" fillId="0" borderId="0" xfId="0" applyFont="1" applyAlignment="1">
      <alignment horizontal="center"/>
    </xf>
    <xf numFmtId="0" fontId="2" fillId="3" borderId="0" xfId="0" applyFont="1" applyFill="1" applyAlignment="1">
      <alignment horizontal="center"/>
    </xf>
    <xf numFmtId="167" fontId="0" fillId="0" borderId="0" xfId="0" applyNumberFormat="1"/>
    <xf numFmtId="168" fontId="0" fillId="0" borderId="0" xfId="0" applyNumberFormat="1"/>
    <xf numFmtId="173" fontId="0" fillId="0" borderId="0" xfId="1" applyNumberFormat="1" applyFont="1"/>
    <xf numFmtId="0" fontId="10" fillId="0" borderId="0" xfId="0" applyFont="1"/>
    <xf numFmtId="0" fontId="11" fillId="0" borderId="0" xfId="0" applyFont="1"/>
    <xf numFmtId="166" fontId="0" fillId="5" borderId="0" xfId="0" applyNumberFormat="1" applyFill="1"/>
    <xf numFmtId="43" fontId="0" fillId="5" borderId="0" xfId="1" applyFont="1" applyFill="1"/>
  </cellXfs>
  <cellStyles count="5">
    <cellStyle name="Comma" xfId="1" builtinId="3"/>
    <cellStyle name="Hyperlink" xfId="2" builtinId="8"/>
    <cellStyle name="Normal" xfId="0" builtinId="0"/>
    <cellStyle name="Normal 2" xfId="4" xr:uid="{162EEE01-5B34-422E-B551-AC7729D2AA15}"/>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workbookViewId="0">
      <selection activeCell="A14" sqref="A14"/>
    </sheetView>
  </sheetViews>
  <sheetFormatPr baseColWidth="10" defaultColWidth="8.83203125" defaultRowHeight="15" x14ac:dyDescent="0.2"/>
  <cols>
    <col min="1" max="1" width="104.5" customWidth="1"/>
  </cols>
  <sheetData>
    <row r="1" spans="1:1" ht="24" x14ac:dyDescent="0.3">
      <c r="A1" s="5" t="s">
        <v>87</v>
      </c>
    </row>
    <row r="3" spans="1:1" x14ac:dyDescent="0.2">
      <c r="A3" s="7" t="s">
        <v>141</v>
      </c>
    </row>
    <row r="4" spans="1:1" x14ac:dyDescent="0.2">
      <c r="A4" s="16" t="s">
        <v>88</v>
      </c>
    </row>
    <row r="5" spans="1:1" x14ac:dyDescent="0.2">
      <c r="A5" s="7" t="s">
        <v>97</v>
      </c>
    </row>
    <row r="6" spans="1:1" x14ac:dyDescent="0.2">
      <c r="A6" s="1" t="s">
        <v>148</v>
      </c>
    </row>
    <row r="7" spans="1:1" x14ac:dyDescent="0.2">
      <c r="A7" s="1"/>
    </row>
    <row r="8" spans="1:1" x14ac:dyDescent="0.2">
      <c r="A8" s="17" t="s">
        <v>149</v>
      </c>
    </row>
    <row r="9" spans="1:1" x14ac:dyDescent="0.2">
      <c r="A9" s="1" t="s">
        <v>145</v>
      </c>
    </row>
    <row r="10" spans="1:1" x14ac:dyDescent="0.2">
      <c r="A10" s="1" t="s">
        <v>89</v>
      </c>
    </row>
    <row r="11" spans="1:1" x14ac:dyDescent="0.2">
      <c r="A11" s="1" t="s">
        <v>90</v>
      </c>
    </row>
    <row r="12" spans="1:1" x14ac:dyDescent="0.2">
      <c r="A12" s="1" t="s">
        <v>91</v>
      </c>
    </row>
    <row r="13" spans="1:1" x14ac:dyDescent="0.2">
      <c r="A13" s="1"/>
    </row>
    <row r="14" spans="1:1" x14ac:dyDescent="0.2">
      <c r="A14" s="17" t="s">
        <v>92</v>
      </c>
    </row>
    <row r="15" spans="1:1" x14ac:dyDescent="0.2">
      <c r="A15" s="1" t="s">
        <v>146</v>
      </c>
    </row>
    <row r="16" spans="1:1" x14ac:dyDescent="0.2">
      <c r="A16" s="1" t="s">
        <v>89</v>
      </c>
    </row>
    <row r="17" spans="1:1" x14ac:dyDescent="0.2">
      <c r="A17" s="1" t="s">
        <v>90</v>
      </c>
    </row>
    <row r="18" spans="1:1" x14ac:dyDescent="0.2">
      <c r="A18" s="1" t="s">
        <v>14</v>
      </c>
    </row>
    <row r="19" spans="1:1" x14ac:dyDescent="0.2">
      <c r="A19" s="1" t="s">
        <v>93</v>
      </c>
    </row>
    <row r="20" spans="1:1" x14ac:dyDescent="0.2">
      <c r="A20" s="1"/>
    </row>
    <row r="21" spans="1:1" x14ac:dyDescent="0.2">
      <c r="A21" s="17" t="s">
        <v>98</v>
      </c>
    </row>
    <row r="22" spans="1:1" x14ac:dyDescent="0.2">
      <c r="A22" s="1" t="s">
        <v>94</v>
      </c>
    </row>
    <row r="23" spans="1:1" x14ac:dyDescent="0.2">
      <c r="A23" s="1" t="s">
        <v>95</v>
      </c>
    </row>
    <row r="24" spans="1:1" x14ac:dyDescent="0.2">
      <c r="A24" s="1" t="s">
        <v>96</v>
      </c>
    </row>
    <row r="25" spans="1:1" x14ac:dyDescent="0.2">
      <c r="A25" s="1"/>
    </row>
    <row r="26" spans="1:1" x14ac:dyDescent="0.2">
      <c r="A26" s="17" t="s">
        <v>144</v>
      </c>
    </row>
    <row r="27" spans="1:1" x14ac:dyDescent="0.2">
      <c r="A27" s="16" t="s">
        <v>143</v>
      </c>
    </row>
    <row r="29" spans="1:1" x14ac:dyDescent="0.2">
      <c r="A29" s="7" t="s">
        <v>147</v>
      </c>
    </row>
    <row r="31" spans="1:1" ht="18" x14ac:dyDescent="0.2">
      <c r="A31" s="28" t="s">
        <v>160</v>
      </c>
    </row>
    <row r="32" spans="1:1" ht="18" x14ac:dyDescent="0.2">
      <c r="A32" s="28" t="s">
        <v>161</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35" workbookViewId="0">
      <selection activeCell="A48" sqref="A48"/>
    </sheetView>
  </sheetViews>
  <sheetFormatPr baseColWidth="10" defaultColWidth="8.83203125" defaultRowHeight="15" x14ac:dyDescent="0.2"/>
  <cols>
    <col min="1" max="1" width="59" customWidth="1"/>
    <col min="2" max="3" width="11.5" bestFit="1" customWidth="1"/>
    <col min="4" max="4" width="11.6640625" bestFit="1" customWidth="1"/>
  </cols>
  <sheetData>
    <row r="1" spans="1:10" ht="60" customHeight="1" x14ac:dyDescent="0.2">
      <c r="A1" s="6" t="s">
        <v>0</v>
      </c>
      <c r="B1" s="4" t="s">
        <v>2</v>
      </c>
      <c r="C1" s="4"/>
      <c r="D1" s="4"/>
      <c r="E1" s="4"/>
      <c r="F1" s="4"/>
      <c r="G1" s="4"/>
      <c r="H1" s="4"/>
      <c r="I1" s="4"/>
      <c r="J1" s="4"/>
    </row>
    <row r="2" spans="1:10" x14ac:dyDescent="0.2">
      <c r="A2" s="34" t="s">
        <v>1</v>
      </c>
      <c r="B2" s="34"/>
      <c r="C2" s="34"/>
      <c r="D2" s="34"/>
    </row>
    <row r="3" spans="1:10" x14ac:dyDescent="0.2">
      <c r="B3" s="33" t="s">
        <v>23</v>
      </c>
      <c r="C3" s="33"/>
      <c r="D3" s="33"/>
    </row>
    <row r="4" spans="1:10" x14ac:dyDescent="0.2">
      <c r="B4" s="7">
        <v>2022</v>
      </c>
      <c r="C4" s="7">
        <v>2021</v>
      </c>
      <c r="D4" s="7">
        <v>2020</v>
      </c>
    </row>
    <row r="5" spans="1:10" x14ac:dyDescent="0.2">
      <c r="A5" t="s">
        <v>3</v>
      </c>
    </row>
    <row r="6" spans="1:10" x14ac:dyDescent="0.2">
      <c r="A6" s="1" t="s">
        <v>4</v>
      </c>
      <c r="B6" s="12">
        <v>316199</v>
      </c>
      <c r="C6" s="12">
        <v>297392</v>
      </c>
      <c r="D6" s="12">
        <v>220747</v>
      </c>
    </row>
    <row r="7" spans="1:10" x14ac:dyDescent="0.2">
      <c r="A7" s="1" t="s">
        <v>5</v>
      </c>
      <c r="B7" s="12">
        <v>78129</v>
      </c>
      <c r="C7" s="12">
        <v>68425</v>
      </c>
      <c r="D7" s="12">
        <v>53768</v>
      </c>
    </row>
    <row r="8" spans="1:10" x14ac:dyDescent="0.2">
      <c r="A8" s="8" t="s">
        <v>6</v>
      </c>
      <c r="B8" s="13">
        <f>+B6+B7</f>
        <v>394328</v>
      </c>
      <c r="C8" s="13">
        <f t="shared" ref="C8:D8" si="0">+C6+C7</f>
        <v>365817</v>
      </c>
      <c r="D8" s="13">
        <f t="shared" si="0"/>
        <v>274515</v>
      </c>
    </row>
    <row r="9" spans="1:10" x14ac:dyDescent="0.2">
      <c r="A9" t="s">
        <v>7</v>
      </c>
      <c r="B9" s="12"/>
      <c r="C9" s="12"/>
      <c r="D9" s="12"/>
    </row>
    <row r="10" spans="1:10" x14ac:dyDescent="0.2">
      <c r="A10" s="1" t="s">
        <v>4</v>
      </c>
      <c r="B10" s="12">
        <v>201471</v>
      </c>
      <c r="C10" s="12">
        <v>192266</v>
      </c>
      <c r="D10" s="12">
        <v>151286</v>
      </c>
    </row>
    <row r="11" spans="1:10" x14ac:dyDescent="0.2">
      <c r="A11" s="1" t="s">
        <v>5</v>
      </c>
      <c r="B11" s="12">
        <v>22075</v>
      </c>
      <c r="C11" s="12">
        <v>20715</v>
      </c>
      <c r="D11" s="12">
        <v>18273</v>
      </c>
    </row>
    <row r="12" spans="1:10" x14ac:dyDescent="0.2">
      <c r="A12" s="8" t="s">
        <v>8</v>
      </c>
      <c r="B12" s="13">
        <f>+B10+B11</f>
        <v>223546</v>
      </c>
      <c r="C12" s="13">
        <f t="shared" ref="C12:D12" si="1">+C10+C11</f>
        <v>212981</v>
      </c>
      <c r="D12" s="13">
        <f t="shared" si="1"/>
        <v>169559</v>
      </c>
    </row>
    <row r="13" spans="1:10" x14ac:dyDescent="0.2">
      <c r="A13" s="8" t="s">
        <v>9</v>
      </c>
      <c r="B13" s="13">
        <f>+B8-B12</f>
        <v>170782</v>
      </c>
      <c r="C13" s="13">
        <f t="shared" ref="C13:D13" si="2">+C8-C12</f>
        <v>152836</v>
      </c>
      <c r="D13" s="13">
        <f t="shared" si="2"/>
        <v>104956</v>
      </c>
    </row>
    <row r="14" spans="1:10" x14ac:dyDescent="0.2">
      <c r="A14" t="s">
        <v>10</v>
      </c>
      <c r="B14" s="12"/>
      <c r="C14" s="12"/>
      <c r="D14" s="12"/>
    </row>
    <row r="15" spans="1:10" x14ac:dyDescent="0.2">
      <c r="A15" s="1" t="s">
        <v>11</v>
      </c>
      <c r="B15" s="12">
        <v>26251</v>
      </c>
      <c r="C15" s="12">
        <v>21914</v>
      </c>
      <c r="D15" s="12">
        <v>18752</v>
      </c>
    </row>
    <row r="16" spans="1:10" x14ac:dyDescent="0.2">
      <c r="A16" s="1" t="s">
        <v>12</v>
      </c>
      <c r="B16" s="12">
        <v>25094</v>
      </c>
      <c r="C16" s="12">
        <v>21973</v>
      </c>
      <c r="D16" s="12">
        <v>19916</v>
      </c>
    </row>
    <row r="17" spans="1:4" x14ac:dyDescent="0.2">
      <c r="A17" s="8" t="s">
        <v>13</v>
      </c>
      <c r="B17" s="13">
        <f>+B15+B16</f>
        <v>51345</v>
      </c>
      <c r="C17" s="13">
        <f t="shared" ref="C17" si="3">+C15+C16</f>
        <v>43887</v>
      </c>
      <c r="D17" s="13">
        <f t="shared" ref="D17" si="4">+D15+D16</f>
        <v>38668</v>
      </c>
    </row>
    <row r="18" spans="1:4" s="7" customFormat="1" x14ac:dyDescent="0.2">
      <c r="A18" s="8" t="s">
        <v>14</v>
      </c>
      <c r="B18" s="13">
        <f>+B13-B17</f>
        <v>119437</v>
      </c>
      <c r="C18" s="13">
        <f t="shared" ref="C18:D18" si="5">+C13-C17</f>
        <v>108949</v>
      </c>
      <c r="D18" s="13">
        <f t="shared" si="5"/>
        <v>66288</v>
      </c>
    </row>
    <row r="19" spans="1:4" x14ac:dyDescent="0.2">
      <c r="A19" t="s">
        <v>15</v>
      </c>
      <c r="B19" s="12">
        <v>-334</v>
      </c>
      <c r="C19" s="12">
        <v>258</v>
      </c>
      <c r="D19" s="12">
        <v>803</v>
      </c>
    </row>
    <row r="20" spans="1:4" x14ac:dyDescent="0.2">
      <c r="A20" s="8" t="s">
        <v>16</v>
      </c>
      <c r="B20" s="13">
        <f>+B18+B19</f>
        <v>119103</v>
      </c>
      <c r="C20" s="13">
        <f t="shared" ref="C20:D20" si="6">+C18+C19</f>
        <v>109207</v>
      </c>
      <c r="D20" s="13">
        <f t="shared" si="6"/>
        <v>67091</v>
      </c>
    </row>
    <row r="21" spans="1:4" x14ac:dyDescent="0.2">
      <c r="A21" t="s">
        <v>17</v>
      </c>
      <c r="B21" s="12">
        <v>19300</v>
      </c>
      <c r="C21" s="12">
        <v>14527</v>
      </c>
      <c r="D21" s="12">
        <v>9680</v>
      </c>
    </row>
    <row r="22" spans="1:4" ht="16" thickBot="1" x14ac:dyDescent="0.25">
      <c r="A22" s="9" t="s">
        <v>18</v>
      </c>
      <c r="B22" s="14">
        <f>+B20-B21</f>
        <v>99803</v>
      </c>
      <c r="C22" s="14">
        <f t="shared" ref="C22:D22" si="7">+C20-C21</f>
        <v>94680</v>
      </c>
      <c r="D22" s="14">
        <f t="shared" si="7"/>
        <v>57411</v>
      </c>
    </row>
    <row r="23" spans="1:4" ht="16" thickTop="1" x14ac:dyDescent="0.2">
      <c r="A23" t="s">
        <v>19</v>
      </c>
    </row>
    <row r="24" spans="1:4" x14ac:dyDescent="0.2">
      <c r="A24" s="1" t="s">
        <v>20</v>
      </c>
      <c r="B24" s="10">
        <v>6.15</v>
      </c>
      <c r="C24" s="10">
        <v>5.67</v>
      </c>
      <c r="D24" s="10">
        <v>3.31</v>
      </c>
    </row>
    <row r="25" spans="1:4" x14ac:dyDescent="0.2">
      <c r="A25" s="1" t="s">
        <v>21</v>
      </c>
      <c r="B25" s="10">
        <v>6.11</v>
      </c>
      <c r="C25" s="10">
        <v>5.61</v>
      </c>
      <c r="D25" s="10">
        <v>3.28</v>
      </c>
    </row>
    <row r="26" spans="1:4" x14ac:dyDescent="0.2">
      <c r="A26" t="s">
        <v>22</v>
      </c>
    </row>
    <row r="27" spans="1:4" x14ac:dyDescent="0.2">
      <c r="A27" s="1" t="s">
        <v>20</v>
      </c>
      <c r="B27" s="2">
        <v>16215963</v>
      </c>
      <c r="C27" s="2">
        <v>16701272</v>
      </c>
      <c r="D27" s="2">
        <v>17352119</v>
      </c>
    </row>
    <row r="28" spans="1:4" x14ac:dyDescent="0.2">
      <c r="A28" s="1" t="s">
        <v>21</v>
      </c>
      <c r="B28" s="2">
        <v>16325819</v>
      </c>
      <c r="C28" s="2">
        <v>16864919</v>
      </c>
      <c r="D28" s="2">
        <v>17528214</v>
      </c>
    </row>
    <row r="31" spans="1:4" x14ac:dyDescent="0.2">
      <c r="A31" s="34" t="s">
        <v>24</v>
      </c>
      <c r="B31" s="34"/>
      <c r="C31" s="34"/>
      <c r="D31" s="34"/>
    </row>
    <row r="32" spans="1:4" x14ac:dyDescent="0.2">
      <c r="B32" s="33" t="s">
        <v>142</v>
      </c>
      <c r="C32" s="33"/>
      <c r="D32" s="33"/>
    </row>
    <row r="33" spans="1:4" x14ac:dyDescent="0.2">
      <c r="B33" s="7">
        <f>+B4</f>
        <v>2022</v>
      </c>
      <c r="C33" s="7">
        <f t="shared" ref="C33:D33" si="8">+C4</f>
        <v>2021</v>
      </c>
      <c r="D33" s="7">
        <f t="shared" si="8"/>
        <v>2020</v>
      </c>
    </row>
    <row r="35" spans="1:4" x14ac:dyDescent="0.2">
      <c r="A35" t="s">
        <v>25</v>
      </c>
    </row>
    <row r="36" spans="1:4" x14ac:dyDescent="0.2">
      <c r="A36" s="1" t="s">
        <v>26</v>
      </c>
      <c r="B36" s="12">
        <v>23646</v>
      </c>
      <c r="C36" s="12">
        <v>34940</v>
      </c>
      <c r="D36" s="12">
        <v>38016</v>
      </c>
    </row>
    <row r="37" spans="1:4" x14ac:dyDescent="0.2">
      <c r="A37" s="1" t="s">
        <v>27</v>
      </c>
      <c r="B37" s="12">
        <v>24658</v>
      </c>
      <c r="C37" s="12">
        <v>27699</v>
      </c>
      <c r="D37" s="12">
        <v>52927</v>
      </c>
    </row>
    <row r="38" spans="1:4" x14ac:dyDescent="0.2">
      <c r="A38" s="1" t="s">
        <v>28</v>
      </c>
      <c r="B38" s="12">
        <v>28184</v>
      </c>
      <c r="C38" s="12">
        <v>26278</v>
      </c>
      <c r="D38" s="12">
        <v>16120</v>
      </c>
    </row>
    <row r="39" spans="1:4" x14ac:dyDescent="0.2">
      <c r="A39" s="1" t="s">
        <v>29</v>
      </c>
      <c r="B39" s="12">
        <v>4946</v>
      </c>
      <c r="C39" s="12">
        <v>6580</v>
      </c>
      <c r="D39" s="12">
        <v>4061</v>
      </c>
    </row>
    <row r="40" spans="1:4" x14ac:dyDescent="0.2">
      <c r="A40" s="1" t="s">
        <v>47</v>
      </c>
      <c r="B40" s="12">
        <v>32748</v>
      </c>
      <c r="C40" s="12">
        <v>25228</v>
      </c>
      <c r="D40" s="12">
        <v>21325</v>
      </c>
    </row>
    <row r="41" spans="1:4" x14ac:dyDescent="0.2">
      <c r="A41" s="1" t="s">
        <v>30</v>
      </c>
      <c r="B41" s="12">
        <v>21223</v>
      </c>
      <c r="C41" s="12">
        <v>14111</v>
      </c>
      <c r="D41" s="12">
        <v>11264</v>
      </c>
    </row>
    <row r="42" spans="1:4" x14ac:dyDescent="0.2">
      <c r="A42" s="8" t="s">
        <v>31</v>
      </c>
      <c r="B42" s="13">
        <f>+SUM(B36:B41)</f>
        <v>135405</v>
      </c>
      <c r="C42" s="13">
        <f t="shared" ref="C42:D42" si="9">+SUM(C36:C41)</f>
        <v>134836</v>
      </c>
      <c r="D42" s="13">
        <f t="shared" si="9"/>
        <v>143713</v>
      </c>
    </row>
    <row r="43" spans="1:4" x14ac:dyDescent="0.2">
      <c r="A43" t="s">
        <v>48</v>
      </c>
      <c r="B43" s="12"/>
      <c r="C43" s="12"/>
      <c r="D43" s="12"/>
    </row>
    <row r="44" spans="1:4" x14ac:dyDescent="0.2">
      <c r="A44" s="1" t="s">
        <v>27</v>
      </c>
      <c r="B44" s="12">
        <v>120805</v>
      </c>
      <c r="C44" s="12">
        <v>127877</v>
      </c>
      <c r="D44" s="12">
        <v>100887</v>
      </c>
    </row>
    <row r="45" spans="1:4" x14ac:dyDescent="0.2">
      <c r="A45" s="1" t="s">
        <v>32</v>
      </c>
      <c r="B45" s="12">
        <v>42117</v>
      </c>
      <c r="C45" s="12">
        <v>39440</v>
      </c>
      <c r="D45" s="12">
        <v>36766</v>
      </c>
    </row>
    <row r="46" spans="1:4" x14ac:dyDescent="0.2">
      <c r="A46" s="1" t="s">
        <v>49</v>
      </c>
      <c r="B46" s="12">
        <v>54428</v>
      </c>
      <c r="C46" s="12">
        <v>48849</v>
      </c>
      <c r="D46" s="12">
        <v>42522</v>
      </c>
    </row>
    <row r="47" spans="1:4" x14ac:dyDescent="0.2">
      <c r="A47" s="8" t="s">
        <v>50</v>
      </c>
      <c r="B47" s="13">
        <f>+SUM(B44:B46)</f>
        <v>217350</v>
      </c>
      <c r="C47" s="13">
        <f t="shared" ref="C47:D47" si="10">+SUM(C44:C46)</f>
        <v>216166</v>
      </c>
      <c r="D47" s="13">
        <f t="shared" si="10"/>
        <v>180175</v>
      </c>
    </row>
    <row r="48" spans="1:4" ht="16" thickBot="1" x14ac:dyDescent="0.25">
      <c r="A48" s="9" t="s">
        <v>33</v>
      </c>
      <c r="B48" s="14">
        <f>+B42+B47</f>
        <v>352755</v>
      </c>
      <c r="C48" s="14">
        <f t="shared" ref="C48:D48" si="11">+C42+C47</f>
        <v>351002</v>
      </c>
      <c r="D48" s="14">
        <f t="shared" si="11"/>
        <v>323888</v>
      </c>
    </row>
    <row r="49" spans="1:4" ht="16" thickTop="1" x14ac:dyDescent="0.2"/>
    <row r="50" spans="1:4" x14ac:dyDescent="0.2">
      <c r="A50" t="s">
        <v>34</v>
      </c>
    </row>
    <row r="51" spans="1:4" x14ac:dyDescent="0.2">
      <c r="A51" s="1" t="s">
        <v>35</v>
      </c>
      <c r="B51" s="12">
        <v>64115</v>
      </c>
      <c r="C51" s="12">
        <v>54763</v>
      </c>
      <c r="D51" s="12">
        <v>42296</v>
      </c>
    </row>
    <row r="52" spans="1:4" x14ac:dyDescent="0.2">
      <c r="A52" s="1" t="s">
        <v>36</v>
      </c>
      <c r="B52" s="12">
        <v>60845</v>
      </c>
      <c r="C52" s="12">
        <v>47493</v>
      </c>
      <c r="D52" s="12">
        <v>42684</v>
      </c>
    </row>
    <row r="53" spans="1:4" x14ac:dyDescent="0.2">
      <c r="A53" s="1" t="s">
        <v>37</v>
      </c>
      <c r="B53" s="12">
        <v>7912</v>
      </c>
      <c r="C53" s="12">
        <v>7612</v>
      </c>
      <c r="D53" s="12">
        <v>6643</v>
      </c>
    </row>
    <row r="54" spans="1:4" x14ac:dyDescent="0.2">
      <c r="A54" s="1" t="s">
        <v>38</v>
      </c>
      <c r="B54" s="12">
        <v>9982</v>
      </c>
      <c r="C54" s="12">
        <v>6000</v>
      </c>
      <c r="D54" s="12">
        <v>4996</v>
      </c>
    </row>
    <row r="55" spans="1:4" x14ac:dyDescent="0.2">
      <c r="A55" s="1" t="s">
        <v>39</v>
      </c>
      <c r="B55" s="12">
        <v>11128</v>
      </c>
      <c r="C55" s="12">
        <v>9613</v>
      </c>
      <c r="D55" s="12">
        <v>8773</v>
      </c>
    </row>
    <row r="56" spans="1:4" x14ac:dyDescent="0.2">
      <c r="A56" s="8" t="s">
        <v>40</v>
      </c>
      <c r="B56" s="13">
        <f>+SUM(B51:B55)</f>
        <v>153982</v>
      </c>
      <c r="C56" s="13">
        <f t="shared" ref="C56:D56" si="12">+SUM(C51:C55)</f>
        <v>125481</v>
      </c>
      <c r="D56" s="13">
        <f t="shared" si="12"/>
        <v>105392</v>
      </c>
    </row>
    <row r="57" spans="1:4" x14ac:dyDescent="0.2">
      <c r="A57" t="s">
        <v>51</v>
      </c>
      <c r="B57" s="12"/>
      <c r="C57" s="12"/>
      <c r="D57" s="12"/>
    </row>
    <row r="58" spans="1:4" x14ac:dyDescent="0.2">
      <c r="A58" s="1" t="s">
        <v>37</v>
      </c>
      <c r="B58" s="12"/>
      <c r="C58" s="12"/>
      <c r="D58" s="12"/>
    </row>
    <row r="59" spans="1:4" x14ac:dyDescent="0.2">
      <c r="A59" s="1" t="s">
        <v>39</v>
      </c>
      <c r="B59" s="12">
        <v>98959</v>
      </c>
      <c r="C59" s="12">
        <v>109106</v>
      </c>
      <c r="D59" s="12">
        <v>98667</v>
      </c>
    </row>
    <row r="60" spans="1:4" x14ac:dyDescent="0.2">
      <c r="A60" s="1" t="s">
        <v>52</v>
      </c>
      <c r="B60" s="12">
        <v>49142</v>
      </c>
      <c r="C60" s="12">
        <v>53325</v>
      </c>
      <c r="D60" s="12">
        <v>54490</v>
      </c>
    </row>
    <row r="61" spans="1:4" x14ac:dyDescent="0.2">
      <c r="A61" s="22" t="s">
        <v>53</v>
      </c>
      <c r="B61" s="21">
        <f>+B59+B60</f>
        <v>148101</v>
      </c>
      <c r="C61" s="21">
        <f t="shared" ref="C61:D61" si="13">+C59+C60</f>
        <v>162431</v>
      </c>
      <c r="D61" s="21">
        <f t="shared" si="13"/>
        <v>153157</v>
      </c>
    </row>
    <row r="62" spans="1:4" x14ac:dyDescent="0.2">
      <c r="A62" s="8" t="s">
        <v>41</v>
      </c>
      <c r="B62" s="13">
        <f>+B56+B61</f>
        <v>302083</v>
      </c>
      <c r="C62" s="13">
        <f t="shared" ref="C62:D62" si="14">+C56+C61</f>
        <v>287912</v>
      </c>
      <c r="D62" s="13">
        <f t="shared" si="14"/>
        <v>258549</v>
      </c>
    </row>
    <row r="63" spans="1:4" x14ac:dyDescent="0.2">
      <c r="B63" s="12"/>
      <c r="C63" s="12"/>
      <c r="D63" s="12"/>
    </row>
    <row r="64" spans="1:4" x14ac:dyDescent="0.2">
      <c r="A64" t="s">
        <v>42</v>
      </c>
      <c r="B64" s="12"/>
      <c r="C64" s="12"/>
      <c r="D64" s="12"/>
    </row>
    <row r="65" spans="1:4" x14ac:dyDescent="0.2">
      <c r="A65" s="1" t="s">
        <v>54</v>
      </c>
      <c r="B65" s="12">
        <v>64849</v>
      </c>
      <c r="C65" s="12">
        <v>57365</v>
      </c>
      <c r="D65" s="12">
        <v>50779</v>
      </c>
    </row>
    <row r="66" spans="1:4" x14ac:dyDescent="0.2">
      <c r="A66" s="1" t="s">
        <v>43</v>
      </c>
      <c r="B66" s="12">
        <v>-3068</v>
      </c>
      <c r="C66" s="12">
        <v>5562</v>
      </c>
      <c r="D66" s="12">
        <v>14966</v>
      </c>
    </row>
    <row r="67" spans="1:4" x14ac:dyDescent="0.2">
      <c r="A67" s="1" t="s">
        <v>44</v>
      </c>
      <c r="B67" s="12">
        <v>-11109</v>
      </c>
      <c r="C67" s="12">
        <v>163</v>
      </c>
      <c r="D67" s="12">
        <v>-406</v>
      </c>
    </row>
    <row r="68" spans="1:4" x14ac:dyDescent="0.2">
      <c r="A68" s="8" t="s">
        <v>45</v>
      </c>
      <c r="B68" s="13">
        <f>+SUM(B65:B67)</f>
        <v>50672</v>
      </c>
      <c r="C68" s="13">
        <f t="shared" ref="C68:D68" si="15">+SUM(C65:C67)</f>
        <v>63090</v>
      </c>
      <c r="D68" s="13">
        <f t="shared" si="15"/>
        <v>65339</v>
      </c>
    </row>
    <row r="69" spans="1:4" ht="16" thickBot="1" x14ac:dyDescent="0.25">
      <c r="A69" s="9" t="s">
        <v>46</v>
      </c>
      <c r="B69" s="14">
        <f>+B68+B62</f>
        <v>352755</v>
      </c>
      <c r="C69" s="14">
        <f t="shared" ref="C69:D69" si="16">+C68+C62</f>
        <v>351002</v>
      </c>
      <c r="D69" s="14">
        <f t="shared" si="16"/>
        <v>323888</v>
      </c>
    </row>
    <row r="70" spans="1:4" ht="16" thickTop="1" x14ac:dyDescent="0.2"/>
    <row r="71" spans="1:4" x14ac:dyDescent="0.2">
      <c r="A71" s="34" t="s">
        <v>55</v>
      </c>
      <c r="B71" s="34"/>
      <c r="C71" s="34"/>
      <c r="D71" s="34"/>
    </row>
    <row r="72" spans="1:4" x14ac:dyDescent="0.2">
      <c r="B72" s="33" t="s">
        <v>23</v>
      </c>
      <c r="C72" s="33"/>
      <c r="D72" s="33"/>
    </row>
    <row r="73" spans="1:4" x14ac:dyDescent="0.2">
      <c r="B73" s="7">
        <f>+B33</f>
        <v>2022</v>
      </c>
      <c r="C73" s="7">
        <f t="shared" ref="C73:D73" si="17">+C33</f>
        <v>2021</v>
      </c>
      <c r="D73" s="7">
        <f t="shared" si="17"/>
        <v>2020</v>
      </c>
    </row>
    <row r="75" spans="1:4" x14ac:dyDescent="0.2">
      <c r="A75" s="7" t="s">
        <v>56</v>
      </c>
      <c r="B75" s="15"/>
      <c r="C75" s="15"/>
      <c r="D75" s="15"/>
    </row>
    <row r="76" spans="1:4" x14ac:dyDescent="0.2">
      <c r="A76" t="s">
        <v>57</v>
      </c>
      <c r="B76" s="12">
        <f>+B22</f>
        <v>99803</v>
      </c>
      <c r="C76" s="12">
        <f t="shared" ref="C76:D76" si="18">+C22</f>
        <v>94680</v>
      </c>
      <c r="D76" s="12">
        <f t="shared" si="18"/>
        <v>57411</v>
      </c>
    </row>
    <row r="77" spans="1:4" x14ac:dyDescent="0.2">
      <c r="A77" s="11" t="s">
        <v>18</v>
      </c>
      <c r="B77" s="15"/>
      <c r="C77" s="15"/>
      <c r="D77" s="15"/>
    </row>
    <row r="78" spans="1:4" x14ac:dyDescent="0.2">
      <c r="A78" s="1" t="s">
        <v>58</v>
      </c>
      <c r="B78" s="12"/>
      <c r="C78" s="12"/>
      <c r="D78" s="12"/>
    </row>
    <row r="79" spans="1:4" x14ac:dyDescent="0.2">
      <c r="A79" s="3" t="s">
        <v>59</v>
      </c>
      <c r="B79" s="12">
        <v>11104</v>
      </c>
      <c r="C79" s="12">
        <v>11284</v>
      </c>
      <c r="D79" s="12">
        <v>11056</v>
      </c>
    </row>
    <row r="80" spans="1:4" x14ac:dyDescent="0.2">
      <c r="A80" s="3" t="s">
        <v>83</v>
      </c>
      <c r="B80" s="12">
        <v>9038</v>
      </c>
      <c r="C80" s="12">
        <v>7906</v>
      </c>
      <c r="D80" s="12">
        <v>6829</v>
      </c>
    </row>
    <row r="81" spans="1:4" x14ac:dyDescent="0.2">
      <c r="A81" s="3" t="s">
        <v>60</v>
      </c>
      <c r="B81" s="12">
        <v>895</v>
      </c>
      <c r="C81" s="12">
        <v>-4774</v>
      </c>
      <c r="D81" s="12">
        <v>-215</v>
      </c>
    </row>
    <row r="82" spans="1:4" x14ac:dyDescent="0.2">
      <c r="A82" s="3" t="s">
        <v>61</v>
      </c>
      <c r="B82" s="12">
        <v>111</v>
      </c>
      <c r="C82" s="12">
        <v>-147</v>
      </c>
      <c r="D82" s="12">
        <v>-97</v>
      </c>
    </row>
    <row r="83" spans="1:4" x14ac:dyDescent="0.2">
      <c r="A83" t="s">
        <v>62</v>
      </c>
      <c r="B83" s="12"/>
      <c r="C83" s="12"/>
      <c r="D83" s="12"/>
    </row>
    <row r="84" spans="1:4" x14ac:dyDescent="0.2">
      <c r="A84" s="1" t="s">
        <v>28</v>
      </c>
      <c r="B84" s="12">
        <v>-1823</v>
      </c>
      <c r="C84" s="12">
        <v>-10125</v>
      </c>
      <c r="D84" s="12">
        <v>6917</v>
      </c>
    </row>
    <row r="85" spans="1:4" x14ac:dyDescent="0.2">
      <c r="A85" s="1" t="s">
        <v>29</v>
      </c>
      <c r="B85" s="12">
        <v>1484</v>
      </c>
      <c r="C85" s="12">
        <v>-2642</v>
      </c>
      <c r="D85" s="12">
        <v>-127</v>
      </c>
    </row>
    <row r="86" spans="1:4" x14ac:dyDescent="0.2">
      <c r="A86" s="1" t="s">
        <v>47</v>
      </c>
      <c r="B86" s="12">
        <v>-7520</v>
      </c>
      <c r="C86" s="12">
        <v>-3903</v>
      </c>
      <c r="D86" s="12">
        <v>1553</v>
      </c>
    </row>
    <row r="87" spans="1:4" x14ac:dyDescent="0.2">
      <c r="A87" s="1" t="s">
        <v>84</v>
      </c>
      <c r="B87" s="12">
        <v>-6499</v>
      </c>
      <c r="C87" s="12">
        <v>-8042</v>
      </c>
      <c r="D87" s="12">
        <v>-9588</v>
      </c>
    </row>
    <row r="88" spans="1:4" x14ac:dyDescent="0.2">
      <c r="A88" s="1" t="s">
        <v>35</v>
      </c>
      <c r="B88" s="12">
        <v>9448</v>
      </c>
      <c r="C88" s="12">
        <v>12326</v>
      </c>
      <c r="D88" s="12">
        <v>-4062</v>
      </c>
    </row>
    <row r="89" spans="1:4" x14ac:dyDescent="0.2">
      <c r="A89" s="1" t="s">
        <v>37</v>
      </c>
      <c r="B89" s="12">
        <v>478</v>
      </c>
      <c r="C89" s="12">
        <v>1676</v>
      </c>
      <c r="D89" s="12">
        <v>2081</v>
      </c>
    </row>
    <row r="90" spans="1:4" x14ac:dyDescent="0.2">
      <c r="A90" s="1" t="s">
        <v>85</v>
      </c>
      <c r="B90" s="12">
        <v>5632</v>
      </c>
      <c r="C90" s="12">
        <v>5799</v>
      </c>
      <c r="D90" s="12">
        <v>8916</v>
      </c>
    </row>
    <row r="91" spans="1:4" x14ac:dyDescent="0.2">
      <c r="A91" s="8" t="s">
        <v>63</v>
      </c>
      <c r="B91" s="13">
        <f>+SUM(B76:B90)</f>
        <v>122151</v>
      </c>
      <c r="C91" s="13">
        <f t="shared" ref="C91:D91" si="19">+SUM(C76:C90)</f>
        <v>104038</v>
      </c>
      <c r="D91" s="13">
        <f t="shared" si="19"/>
        <v>80674</v>
      </c>
    </row>
    <row r="92" spans="1:4" x14ac:dyDescent="0.2">
      <c r="A92" s="7" t="s">
        <v>64</v>
      </c>
      <c r="B92" s="12"/>
      <c r="C92" s="12"/>
      <c r="D92" s="12"/>
    </row>
    <row r="93" spans="1:4" x14ac:dyDescent="0.2">
      <c r="A93" s="1" t="s">
        <v>65</v>
      </c>
      <c r="B93" s="12">
        <v>-76923</v>
      </c>
      <c r="C93" s="12">
        <v>-109558</v>
      </c>
      <c r="D93" s="12">
        <v>-114938</v>
      </c>
    </row>
    <row r="94" spans="1:4" x14ac:dyDescent="0.2">
      <c r="A94" s="1" t="s">
        <v>66</v>
      </c>
      <c r="B94" s="12">
        <v>29917</v>
      </c>
      <c r="C94" s="12">
        <v>59023</v>
      </c>
      <c r="D94" s="12">
        <v>69918</v>
      </c>
    </row>
    <row r="95" spans="1:4" x14ac:dyDescent="0.2">
      <c r="A95" s="1" t="s">
        <v>67</v>
      </c>
      <c r="B95" s="12">
        <v>37446</v>
      </c>
      <c r="C95" s="12">
        <v>47460</v>
      </c>
      <c r="D95" s="12">
        <v>50473</v>
      </c>
    </row>
    <row r="96" spans="1:4" x14ac:dyDescent="0.2">
      <c r="A96" s="1" t="s">
        <v>68</v>
      </c>
      <c r="B96" s="12">
        <v>-10708</v>
      </c>
      <c r="C96" s="12">
        <v>-11085</v>
      </c>
      <c r="D96" s="12">
        <v>-7309</v>
      </c>
    </row>
    <row r="97" spans="1:4" x14ac:dyDescent="0.2">
      <c r="A97" s="1" t="s">
        <v>69</v>
      </c>
      <c r="B97" s="12">
        <v>-306</v>
      </c>
      <c r="C97" s="12">
        <v>-33</v>
      </c>
      <c r="D97" s="12">
        <v>-1524</v>
      </c>
    </row>
    <row r="98" spans="1:4" x14ac:dyDescent="0.2">
      <c r="A98" s="1" t="s">
        <v>61</v>
      </c>
      <c r="B98" s="12">
        <v>-1780</v>
      </c>
      <c r="C98" s="12">
        <v>-352</v>
      </c>
      <c r="D98" s="12">
        <v>-909</v>
      </c>
    </row>
    <row r="99" spans="1:4" x14ac:dyDescent="0.2">
      <c r="A99" s="8" t="s">
        <v>70</v>
      </c>
      <c r="B99" s="13">
        <f>+SUM(B93:B98)</f>
        <v>-22354</v>
      </c>
      <c r="C99" s="13">
        <f t="shared" ref="C99:D99" si="20">+SUM(C93:C98)</f>
        <v>-14545</v>
      </c>
      <c r="D99" s="13">
        <f t="shared" si="20"/>
        <v>-4289</v>
      </c>
    </row>
    <row r="100" spans="1:4" x14ac:dyDescent="0.2">
      <c r="A100" s="7" t="s">
        <v>71</v>
      </c>
      <c r="B100" s="12"/>
      <c r="C100" s="12"/>
      <c r="D100" s="12"/>
    </row>
    <row r="101" spans="1:4" x14ac:dyDescent="0.2">
      <c r="A101" s="1" t="s">
        <v>86</v>
      </c>
      <c r="B101" s="12">
        <v>-6223</v>
      </c>
      <c r="C101" s="12">
        <v>-6556</v>
      </c>
      <c r="D101" s="12">
        <v>-3634</v>
      </c>
    </row>
    <row r="102" spans="1:4" x14ac:dyDescent="0.2">
      <c r="A102" s="1" t="s">
        <v>72</v>
      </c>
      <c r="B102" s="12">
        <v>-14841</v>
      </c>
      <c r="C102" s="12">
        <v>-14467</v>
      </c>
      <c r="D102" s="12">
        <v>-14081</v>
      </c>
    </row>
    <row r="103" spans="1:4" x14ac:dyDescent="0.2">
      <c r="A103" s="1" t="s">
        <v>73</v>
      </c>
      <c r="B103" s="12">
        <v>-89402</v>
      </c>
      <c r="C103" s="12">
        <v>-85971</v>
      </c>
      <c r="D103" s="12">
        <v>-72358</v>
      </c>
    </row>
    <row r="104" spans="1:4" x14ac:dyDescent="0.2">
      <c r="A104" s="1" t="s">
        <v>74</v>
      </c>
      <c r="B104" s="12">
        <v>5465</v>
      </c>
      <c r="C104" s="12">
        <v>20393</v>
      </c>
      <c r="D104" s="12">
        <v>16091</v>
      </c>
    </row>
    <row r="105" spans="1:4" x14ac:dyDescent="0.2">
      <c r="A105" s="1" t="s">
        <v>75</v>
      </c>
      <c r="B105" s="12">
        <v>-9543</v>
      </c>
      <c r="C105" s="12">
        <v>-8750</v>
      </c>
      <c r="D105" s="12">
        <v>-12629</v>
      </c>
    </row>
    <row r="106" spans="1:4" x14ac:dyDescent="0.2">
      <c r="A106" s="1" t="s">
        <v>76</v>
      </c>
      <c r="B106" s="12">
        <v>3955</v>
      </c>
      <c r="C106" s="12">
        <v>1022</v>
      </c>
      <c r="D106" s="12">
        <v>-963</v>
      </c>
    </row>
    <row r="107" spans="1:4" x14ac:dyDescent="0.2">
      <c r="A107" s="1" t="s">
        <v>61</v>
      </c>
      <c r="B107" s="12">
        <v>-160</v>
      </c>
      <c r="C107" s="12">
        <v>976</v>
      </c>
      <c r="D107" s="12">
        <v>754</v>
      </c>
    </row>
    <row r="108" spans="1:4" x14ac:dyDescent="0.2">
      <c r="A108" s="8" t="s">
        <v>77</v>
      </c>
      <c r="B108" s="13">
        <f>+SUM(B101:B107)</f>
        <v>-110749</v>
      </c>
      <c r="C108" s="13">
        <f t="shared" ref="C108:D108" si="21">+SUM(C101:C107)</f>
        <v>-93353</v>
      </c>
      <c r="D108" s="13">
        <f t="shared" si="21"/>
        <v>-86820</v>
      </c>
    </row>
    <row r="109" spans="1:4" x14ac:dyDescent="0.2">
      <c r="A109" s="8" t="s">
        <v>78</v>
      </c>
      <c r="B109" s="13">
        <f>+B91+B99+B108</f>
        <v>-10952</v>
      </c>
      <c r="C109" s="13">
        <f t="shared" ref="C109:D109" si="22">+C91+C99+C108</f>
        <v>-3860</v>
      </c>
      <c r="D109" s="13">
        <f t="shared" si="22"/>
        <v>-10435</v>
      </c>
    </row>
    <row r="110" spans="1:4" ht="16" thickBot="1" x14ac:dyDescent="0.25">
      <c r="A110" s="9" t="s">
        <v>79</v>
      </c>
      <c r="B110" s="14">
        <v>24977</v>
      </c>
      <c r="C110" s="14">
        <v>35929</v>
      </c>
      <c r="D110" s="14">
        <v>39789</v>
      </c>
    </row>
    <row r="111" spans="1:4" ht="16" thickTop="1" x14ac:dyDescent="0.2">
      <c r="B111" s="12"/>
      <c r="C111" s="12"/>
      <c r="D111" s="12"/>
    </row>
    <row r="112" spans="1:4" x14ac:dyDescent="0.2">
      <c r="A112" t="s">
        <v>80</v>
      </c>
      <c r="B112" s="12"/>
      <c r="C112" s="12"/>
      <c r="D112" s="12"/>
    </row>
    <row r="113" spans="1:4" x14ac:dyDescent="0.2">
      <c r="A113" t="s">
        <v>81</v>
      </c>
      <c r="B113" s="12">
        <v>19573</v>
      </c>
      <c r="C113" s="12">
        <v>25385</v>
      </c>
      <c r="D113" s="12">
        <v>9501</v>
      </c>
    </row>
    <row r="114" spans="1:4" x14ac:dyDescent="0.2">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6"/>
  <sheetViews>
    <sheetView tabSelected="1" workbookViewId="0">
      <selection activeCell="F1" sqref="F1"/>
    </sheetView>
  </sheetViews>
  <sheetFormatPr baseColWidth="10" defaultColWidth="8.83203125" defaultRowHeight="15" x14ac:dyDescent="0.2"/>
  <cols>
    <col min="1" max="1" width="4.6640625" customWidth="1"/>
    <col min="2" max="2" width="44.83203125" customWidth="1"/>
    <col min="3" max="3" width="13.6640625" bestFit="1" customWidth="1"/>
    <col min="4" max="5" width="22" bestFit="1" customWidth="1"/>
    <col min="6" max="6" width="42.33203125" customWidth="1"/>
  </cols>
  <sheetData>
    <row r="1" spans="1:10" ht="60" customHeight="1" x14ac:dyDescent="0.3">
      <c r="A1" s="6"/>
      <c r="B1" s="20" t="s">
        <v>0</v>
      </c>
      <c r="C1" s="19"/>
      <c r="D1" s="19"/>
      <c r="E1" s="19"/>
      <c r="F1" s="19" t="s">
        <v>177</v>
      </c>
      <c r="G1" s="19"/>
      <c r="H1" s="19"/>
      <c r="I1" s="19"/>
      <c r="J1" s="19"/>
    </row>
    <row r="2" spans="1:10" x14ac:dyDescent="0.2">
      <c r="C2" s="33" t="s">
        <v>23</v>
      </c>
      <c r="D2" s="33"/>
      <c r="E2" s="33"/>
    </row>
    <row r="3" spans="1:10" x14ac:dyDescent="0.2">
      <c r="C3" s="7">
        <f>+'Financial Statements'!B4</f>
        <v>2022</v>
      </c>
      <c r="D3" s="7">
        <f>+'Financial Statements'!C4</f>
        <v>2021</v>
      </c>
      <c r="E3" s="7">
        <f>+'Financial Statements'!D4</f>
        <v>2020</v>
      </c>
    </row>
    <row r="4" spans="1:10" x14ac:dyDescent="0.2">
      <c r="A4" s="18">
        <v>1</v>
      </c>
      <c r="B4" s="7" t="s">
        <v>99</v>
      </c>
    </row>
    <row r="5" spans="1:10" x14ac:dyDescent="0.2">
      <c r="A5" s="18">
        <f>+A4+0.1</f>
        <v>1.1000000000000001</v>
      </c>
      <c r="B5" s="1" t="s">
        <v>100</v>
      </c>
      <c r="C5" s="30">
        <f>'Financial Statements'!B42/'Financial Statements'!B56</f>
        <v>0.87935602862672257</v>
      </c>
      <c r="D5" s="30">
        <f>'Financial Statements'!C42/'Financial Statements'!C56</f>
        <v>1.0745531195957954</v>
      </c>
      <c r="E5" s="30">
        <f>'Financial Statements'!D42/'Financial Statements'!D56</f>
        <v>1.3636044481554577</v>
      </c>
    </row>
    <row r="6" spans="1:10" x14ac:dyDescent="0.2">
      <c r="A6" s="18">
        <f t="shared" ref="A6:A13" si="0">+A5+0.1</f>
        <v>1.2000000000000002</v>
      </c>
      <c r="B6" s="1" t="s">
        <v>101</v>
      </c>
      <c r="C6" s="30">
        <f>('Financial Statements'!B36+'Financial Statements'!B37+'Financial Statements'!B38)/'Financial Statements'!B56</f>
        <v>0.49673338442155579</v>
      </c>
      <c r="D6" s="30">
        <f>('Financial Statements'!C36+'Financial Statements'!C37+'Financial Statements'!C38)/'Financial Statements'!C56</f>
        <v>0.70860927152317876</v>
      </c>
      <c r="E6" s="30">
        <f>('Financial Statements'!D36+'Financial Statements'!D37+'Financial Statements'!D38)/'Financial Statements'!D56</f>
        <v>1.0158550933657204</v>
      </c>
    </row>
    <row r="7" spans="1:10" x14ac:dyDescent="0.2">
      <c r="A7" s="18">
        <f t="shared" si="0"/>
        <v>1.3000000000000003</v>
      </c>
      <c r="B7" s="1" t="s">
        <v>102</v>
      </c>
      <c r="C7" s="30">
        <f>'Financial Statements'!B36/'Financial Statements'!B56</f>
        <v>0.15356340351469652</v>
      </c>
      <c r="D7" s="30">
        <f>'Financial Statements'!C36/'Financial Statements'!C56</f>
        <v>0.27844853005634318</v>
      </c>
      <c r="E7" s="30">
        <f>'Financial Statements'!D36/'Financial Statements'!D56</f>
        <v>0.36071049035979963</v>
      </c>
    </row>
    <row r="8" spans="1:10" x14ac:dyDescent="0.2">
      <c r="A8" s="18">
        <f t="shared" si="0"/>
        <v>1.4000000000000004</v>
      </c>
      <c r="B8" s="1" t="s">
        <v>103</v>
      </c>
      <c r="C8" s="30">
        <f>'Financial Statements'!B42/(('Financial Statements'!B17-'Financial Statements'!B79-'Financial Statements'!B80-'Financial Statements'!B81-'Financial Statements'!B82)/365)</f>
        <v>1636.6799682087624</v>
      </c>
      <c r="D8" s="30">
        <f>'Financial Statements'!C42/(('Financial Statements'!C17-'Financial Statements'!C79-'Financial Statements'!C80-'Financial Statements'!C81-'Financial Statements'!C82)/365)</f>
        <v>1661.6631777972852</v>
      </c>
      <c r="E8" s="30">
        <f>'Financial Statements'!D42/(('Financial Statements'!D17-'Financial Statements'!D79-'Financial Statements'!D80-'Financial Statements'!D81-'Financial Statements'!D82)/365)</f>
        <v>2486.6198151220669</v>
      </c>
      <c r="F8" t="s">
        <v>164</v>
      </c>
    </row>
    <row r="9" spans="1:10" x14ac:dyDescent="0.2">
      <c r="A9" s="18">
        <f t="shared" si="0"/>
        <v>1.5000000000000004</v>
      </c>
      <c r="B9" s="1" t="s">
        <v>104</v>
      </c>
      <c r="C9" s="30">
        <f>('Financial Statements'!B39*365)/'Financial Statements'!B12</f>
        <v>8.0756980666171607</v>
      </c>
      <c r="D9" s="30">
        <f>('Financial Statements'!C39*365)/'Financial Statements'!C12</f>
        <v>11.27659274770989</v>
      </c>
      <c r="E9" s="30">
        <f>('Financial Statements'!D39*365)/'Financial Statements'!D12</f>
        <v>8.7418833562358831</v>
      </c>
    </row>
    <row r="10" spans="1:10" x14ac:dyDescent="0.2">
      <c r="A10" s="18">
        <f t="shared" si="0"/>
        <v>1.6000000000000005</v>
      </c>
      <c r="B10" s="1" t="s">
        <v>105</v>
      </c>
      <c r="C10" s="30">
        <f>('Financial Statements'!B51*365)/'Financial Statements'!B12</f>
        <v>104.68527730310539</v>
      </c>
      <c r="D10" s="30">
        <f>('Financial Statements'!C51*365)/'Financial Statements'!C12</f>
        <v>93.85107122231561</v>
      </c>
      <c r="E10" s="30">
        <f>('Financial Statements'!D51*365)/'Financial Statements'!D12</f>
        <v>91.048189715674184</v>
      </c>
    </row>
    <row r="11" spans="1:10" x14ac:dyDescent="0.2">
      <c r="A11" s="18">
        <f t="shared" si="0"/>
        <v>1.7000000000000006</v>
      </c>
      <c r="B11" s="1" t="s">
        <v>106</v>
      </c>
      <c r="C11" s="30">
        <f>('Financial Statements'!B38*365)/'Financial Statements'!B12</f>
        <v>46.018090236461397</v>
      </c>
      <c r="D11" s="30">
        <f>('Financial Statements'!C38*365)/'Financial Statements'!C12</f>
        <v>45.034392739258429</v>
      </c>
      <c r="E11" s="30">
        <f>('Financial Statements'!D38*365)/'Financial Statements'!D12</f>
        <v>34.700605688875257</v>
      </c>
    </row>
    <row r="12" spans="1:10" x14ac:dyDescent="0.2">
      <c r="A12" s="18">
        <f t="shared" si="0"/>
        <v>1.8000000000000007</v>
      </c>
      <c r="B12" s="1" t="s">
        <v>107</v>
      </c>
      <c r="C12" s="30">
        <f>'List of Ratios'!C11+'List of Ratios'!C9-'List of Ratios'!C10</f>
        <v>-50.59148900002684</v>
      </c>
      <c r="D12" s="30">
        <f>'List of Ratios'!D11+'List of Ratios'!D9-'List of Ratios'!D10</f>
        <v>-37.54008573534729</v>
      </c>
      <c r="E12" s="30">
        <f>'List of Ratios'!E11+'List of Ratios'!E9-'List of Ratios'!E10</f>
        <v>-47.605700670563046</v>
      </c>
    </row>
    <row r="13" spans="1:10" x14ac:dyDescent="0.2">
      <c r="A13" s="18">
        <f t="shared" si="0"/>
        <v>1.9000000000000008</v>
      </c>
      <c r="B13" s="1" t="s">
        <v>108</v>
      </c>
      <c r="C13" s="31">
        <f>C14/'Financial Statements'!B8</f>
        <v>-7.8576717859244083E-2</v>
      </c>
      <c r="D13" s="31">
        <f>D14/'Financial Statements'!C8</f>
        <v>-5.9879666609260918E-2</v>
      </c>
      <c r="E13" s="31">
        <f>E14/'Financial Statements'!D8</f>
        <v>-8.0560260823634405E-2</v>
      </c>
    </row>
    <row r="14" spans="1:10" x14ac:dyDescent="0.2">
      <c r="A14" s="18"/>
      <c r="B14" s="3" t="s">
        <v>109</v>
      </c>
      <c r="C14" s="29">
        <f>'Financial Statements'!B38+'Financial Statements'!B39-'Financial Statements'!B51</f>
        <v>-30985</v>
      </c>
      <c r="D14" s="29">
        <f>'Financial Statements'!C38+'Financial Statements'!C39-'Financial Statements'!C51</f>
        <v>-21905</v>
      </c>
      <c r="E14" s="29">
        <f>'Financial Statements'!D38+'Financial Statements'!D39-'Financial Statements'!D51</f>
        <v>-22115</v>
      </c>
    </row>
    <row r="15" spans="1:10" x14ac:dyDescent="0.2">
      <c r="A15" s="18"/>
      <c r="C15" s="30"/>
      <c r="D15" s="30"/>
      <c r="E15" s="30"/>
    </row>
    <row r="16" spans="1:10" x14ac:dyDescent="0.2">
      <c r="A16" s="18">
        <f>+A4+1</f>
        <v>2</v>
      </c>
      <c r="B16" s="17" t="s">
        <v>110</v>
      </c>
      <c r="C16" s="30"/>
      <c r="D16" s="30"/>
      <c r="E16" s="30"/>
    </row>
    <row r="17" spans="1:6" x14ac:dyDescent="0.2">
      <c r="A17" s="18">
        <f>+A16+0.1</f>
        <v>2.1</v>
      </c>
      <c r="B17" s="1" t="s">
        <v>9</v>
      </c>
      <c r="C17" s="30">
        <f>'Financial Statements'!B13/'Financial Statements'!B8</f>
        <v>0.43309630561360085</v>
      </c>
      <c r="D17" s="30">
        <f>'Financial Statements'!C13/'Financial Statements'!C8</f>
        <v>0.41779359625167778</v>
      </c>
      <c r="E17" s="30">
        <f>'Financial Statements'!D13/'Financial Statements'!D8</f>
        <v>0.38233247727810865</v>
      </c>
    </row>
    <row r="18" spans="1:6" x14ac:dyDescent="0.2">
      <c r="A18" s="18">
        <f>+A17+0.1</f>
        <v>2.2000000000000002</v>
      </c>
      <c r="B18" s="1" t="s">
        <v>111</v>
      </c>
      <c r="C18" s="30">
        <f>C19/'Financial Statements'!B8</f>
        <v>0.3310467428130896</v>
      </c>
      <c r="D18" s="30">
        <f>D19/'Financial Statements'!C8</f>
        <v>0.32866979938056462</v>
      </c>
      <c r="E18" s="30">
        <f>E19/'Financial Statements'!D8</f>
        <v>0.2817478097736007</v>
      </c>
    </row>
    <row r="19" spans="1:6" x14ac:dyDescent="0.2">
      <c r="A19" s="18"/>
      <c r="B19" s="3" t="s">
        <v>112</v>
      </c>
      <c r="C19" s="12">
        <f>C21+'Financial Statements'!B79</f>
        <v>130541</v>
      </c>
      <c r="D19" s="12">
        <f>D21+'Financial Statements'!C79</f>
        <v>120233</v>
      </c>
      <c r="E19" s="12">
        <f>E21+'Financial Statements'!D79</f>
        <v>77344</v>
      </c>
    </row>
    <row r="20" spans="1:6" x14ac:dyDescent="0.2">
      <c r="A20" s="18">
        <f>+A18+0.1</f>
        <v>2.3000000000000003</v>
      </c>
      <c r="B20" s="1" t="s">
        <v>113</v>
      </c>
      <c r="C20" s="30">
        <f>C21/'Financial Statements'!B8</f>
        <v>0.30288744395528594</v>
      </c>
      <c r="D20" s="30">
        <f>D21/'Financial Statements'!C8</f>
        <v>0.29782377527561593</v>
      </c>
      <c r="E20" s="30">
        <f>E21/'Financial Statements'!D8</f>
        <v>0.24147314354406862</v>
      </c>
    </row>
    <row r="21" spans="1:6" x14ac:dyDescent="0.2">
      <c r="A21" s="18"/>
      <c r="B21" s="3" t="s">
        <v>114</v>
      </c>
      <c r="C21" s="12">
        <f>'Financial Statements'!B18</f>
        <v>119437</v>
      </c>
      <c r="D21" s="12">
        <f>'Financial Statements'!C18</f>
        <v>108949</v>
      </c>
      <c r="E21" s="12">
        <f>'Financial Statements'!D18</f>
        <v>66288</v>
      </c>
    </row>
    <row r="22" spans="1:6" x14ac:dyDescent="0.2">
      <c r="A22" s="18">
        <f>+A20+0.1</f>
        <v>2.4000000000000004</v>
      </c>
      <c r="B22" s="1" t="s">
        <v>115</v>
      </c>
      <c r="C22" s="30">
        <f>'Financial Statements'!B22/'Financial Statements'!B8</f>
        <v>0.25309640705199732</v>
      </c>
      <c r="D22" s="30">
        <f>'Financial Statements'!C22/'Financial Statements'!C8</f>
        <v>0.25881793355694238</v>
      </c>
      <c r="E22" s="30">
        <f>'Financial Statements'!D22/'Financial Statements'!D8</f>
        <v>0.20913611278072236</v>
      </c>
    </row>
    <row r="23" spans="1:6" x14ac:dyDescent="0.2">
      <c r="A23" s="18"/>
      <c r="C23" s="30"/>
      <c r="D23" s="30"/>
      <c r="E23" s="30"/>
    </row>
    <row r="24" spans="1:6" x14ac:dyDescent="0.2">
      <c r="A24" s="18">
        <f>+A16+1</f>
        <v>3</v>
      </c>
      <c r="B24" s="7" t="s">
        <v>116</v>
      </c>
      <c r="C24" s="30"/>
      <c r="D24" s="30"/>
      <c r="E24" s="30"/>
    </row>
    <row r="25" spans="1:6" x14ac:dyDescent="0.2">
      <c r="A25" s="18">
        <f>+A24+0.1</f>
        <v>3.1</v>
      </c>
      <c r="B25" s="1" t="s">
        <v>117</v>
      </c>
      <c r="C25" s="30">
        <f>('Financial Statements'!B59)/'Financial Statements'!B68</f>
        <v>1.9529325860435744</v>
      </c>
      <c r="D25" s="30">
        <f>('Financial Statements'!C59)/'Financial Statements'!C68</f>
        <v>1.729370740212395</v>
      </c>
      <c r="E25" s="30">
        <f>('Financial Statements'!D59)/'Financial Statements'!D68</f>
        <v>1.5100782075024104</v>
      </c>
      <c r="F25" t="s">
        <v>165</v>
      </c>
    </row>
    <row r="26" spans="1:6" x14ac:dyDescent="0.2">
      <c r="A26" s="18">
        <f t="shared" ref="A26:A30" si="1">+A25+0.1</f>
        <v>3.2</v>
      </c>
      <c r="B26" s="1" t="s">
        <v>118</v>
      </c>
      <c r="C26" s="30">
        <f>'Financial Statements'!B59/'Financial Statements'!B69</f>
        <v>0.28053181386514719</v>
      </c>
      <c r="D26" s="30">
        <f>'Financial Statements'!C59/'Financial Statements'!C69</f>
        <v>0.31084153366647482</v>
      </c>
      <c r="E26" s="30">
        <f>'Financial Statements'!D59/'Financial Statements'!D69</f>
        <v>0.30463308304105124</v>
      </c>
      <c r="F26" t="s">
        <v>165</v>
      </c>
    </row>
    <row r="27" spans="1:6" x14ac:dyDescent="0.2">
      <c r="A27" s="18">
        <f t="shared" si="1"/>
        <v>3.3000000000000003</v>
      </c>
      <c r="B27" s="1" t="s">
        <v>119</v>
      </c>
      <c r="D27" s="30">
        <f>'Financial Statements'!C59/'Financial Statements'!C69</f>
        <v>0.31084153366647482</v>
      </c>
      <c r="E27" s="30">
        <f>'Financial Statements'!D59/'Financial Statements'!D69</f>
        <v>0.30463308304105124</v>
      </c>
    </row>
    <row r="28" spans="1:6" x14ac:dyDescent="0.2">
      <c r="A28" s="18">
        <f t="shared" si="1"/>
        <v>3.4000000000000004</v>
      </c>
      <c r="B28" s="1" t="s">
        <v>120</v>
      </c>
      <c r="C28" s="30">
        <f>C21/'Financial Statements'!B114</f>
        <v>41.68830715532286</v>
      </c>
      <c r="D28" s="30">
        <f>D21/'Financial Statements'!C114</f>
        <v>40.546706363974693</v>
      </c>
      <c r="E28" s="30">
        <f>E21/'Financial Statements'!D114</f>
        <v>22.081279147235175</v>
      </c>
    </row>
    <row r="29" spans="1:6" x14ac:dyDescent="0.2">
      <c r="A29" s="18">
        <f t="shared" si="1"/>
        <v>3.5000000000000004</v>
      </c>
      <c r="B29" s="1" t="s">
        <v>121</v>
      </c>
      <c r="C29" s="30">
        <f>'Financial Statements'!B20/('Financial Statements'!B114+'Financial Statements'!B105)</f>
        <v>-17.835130278526506</v>
      </c>
      <c r="D29" s="30">
        <f>'Financial Statements'!C20/('Financial Statements'!C114+'Financial Statements'!C105)</f>
        <v>-18.012040244103581</v>
      </c>
      <c r="E29" s="30">
        <f>'Financial Statements'!D20/('Financial Statements'!D114+'Financial Statements'!D105)</f>
        <v>-6.9690453931650564</v>
      </c>
      <c r="F29" t="s">
        <v>166</v>
      </c>
    </row>
    <row r="30" spans="1:6" s="26" customFormat="1" x14ac:dyDescent="0.2">
      <c r="A30" s="24">
        <f t="shared" si="1"/>
        <v>3.6000000000000005</v>
      </c>
      <c r="B30" s="25" t="s">
        <v>122</v>
      </c>
      <c r="C30" s="40">
        <f>C31/'Financial Statements'!B28</f>
        <v>7.7974648622528521E-3</v>
      </c>
      <c r="D30" s="40">
        <f>D31/'Financial Statements'!C28</f>
        <v>7.6653199460963908E-3</v>
      </c>
      <c r="E30" s="40">
        <f>E31/'Financial Statements'!D28</f>
        <v>1.073206888049176E-2</v>
      </c>
      <c r="F30" t="s">
        <v>167</v>
      </c>
    </row>
    <row r="31" spans="1:6" s="26" customFormat="1" x14ac:dyDescent="0.2">
      <c r="A31" s="24"/>
      <c r="B31" s="27" t="s">
        <v>123</v>
      </c>
      <c r="C31" s="41">
        <f>'Financial Statements'!B91+'List of Ratios'!C74+('Financial Statements'!B55-'Financial Statements'!C55)+('Financial Statements'!B59-'Financial Statements'!C59)</f>
        <v>127300</v>
      </c>
      <c r="D31" s="41">
        <f>'Financial Statements'!C91+'List of Ratios'!D74+('Financial Statements'!C55-'Financial Statements'!D55)+('Financial Statements'!C59-'Financial Statements'!D59)</f>
        <v>129275</v>
      </c>
      <c r="E31" s="41">
        <f>'Financial Statements'!D91+'List of Ratios'!E74+('Financial Statements'!D55-'Financial Statements'!E55)+('Financial Statements'!D59-'Financial Statements'!E59)</f>
        <v>188114</v>
      </c>
      <c r="F31" t="s">
        <v>168</v>
      </c>
    </row>
    <row r="32" spans="1:6" x14ac:dyDescent="0.2">
      <c r="A32" s="18"/>
      <c r="C32" s="30"/>
      <c r="D32" s="30"/>
      <c r="E32" s="30"/>
    </row>
    <row r="33" spans="1:6" x14ac:dyDescent="0.2">
      <c r="A33" s="18">
        <f>+A24+1</f>
        <v>4</v>
      </c>
      <c r="B33" s="17" t="s">
        <v>124</v>
      </c>
      <c r="C33" s="30"/>
      <c r="D33" s="30"/>
      <c r="E33" s="30"/>
    </row>
    <row r="34" spans="1:6" x14ac:dyDescent="0.2">
      <c r="A34" s="18">
        <f>+A33+0.1</f>
        <v>4.0999999999999996</v>
      </c>
      <c r="B34" s="1" t="s">
        <v>125</v>
      </c>
      <c r="C34" s="30">
        <f>'Financial Statements'!B8/'Financial Statements'!B48</f>
        <v>1.1178523337727317</v>
      </c>
      <c r="D34" s="30">
        <f>'Financial Statements'!C8/'Financial Statements'!C48</f>
        <v>1.0422077367080529</v>
      </c>
      <c r="E34" s="30">
        <f>'Financial Statements'!D8/'Financial Statements'!D48</f>
        <v>0.84756150274168851</v>
      </c>
    </row>
    <row r="35" spans="1:6" x14ac:dyDescent="0.2">
      <c r="A35" s="18">
        <f t="shared" ref="A35:A37" si="2">+A34+0.1</f>
        <v>4.1999999999999993</v>
      </c>
      <c r="B35" s="1" t="s">
        <v>126</v>
      </c>
      <c r="C35" s="30">
        <f>'Financial Statements'!B12/'Financial Statements'!B47</f>
        <v>1.0285070163331034</v>
      </c>
      <c r="D35" s="30">
        <f>'Financial Statements'!C12/'Financial Statements'!C47</f>
        <v>0.98526595301758835</v>
      </c>
      <c r="E35" s="30">
        <f>'Financial Statements'!D12/'Financial Statements'!D47</f>
        <v>0.94107950603579849</v>
      </c>
    </row>
    <row r="36" spans="1:6" x14ac:dyDescent="0.2">
      <c r="A36" s="18">
        <f t="shared" si="2"/>
        <v>4.2999999999999989</v>
      </c>
      <c r="B36" s="1" t="s">
        <v>127</v>
      </c>
      <c r="C36" s="30">
        <f>'Financial Statements'!B8/'Financial Statements'!B39</f>
        <v>79.726647796198947</v>
      </c>
      <c r="D36" s="30">
        <f>'Financial Statements'!C8/'Financial Statements'!C39</f>
        <v>55.595288753799394</v>
      </c>
      <c r="E36" s="30">
        <f>'Financial Statements'!D8/'Financial Statements'!D39</f>
        <v>67.597882295001227</v>
      </c>
    </row>
    <row r="37" spans="1:6" x14ac:dyDescent="0.2">
      <c r="A37" s="18">
        <f t="shared" si="2"/>
        <v>4.3999999999999986</v>
      </c>
      <c r="B37" s="1" t="s">
        <v>128</v>
      </c>
      <c r="C37" s="30">
        <f>'Financial Statements'!B22/'Financial Statements'!B48</f>
        <v>0.28292440929256851</v>
      </c>
      <c r="D37" s="30">
        <f>'Financial Statements'!C22/'Financial Statements'!C48</f>
        <v>0.26974205275183616</v>
      </c>
      <c r="E37" s="30">
        <f>'Financial Statements'!D22/'Financial Statements'!D48</f>
        <v>0.1772557180259843</v>
      </c>
    </row>
    <row r="38" spans="1:6" x14ac:dyDescent="0.2">
      <c r="A38" s="18"/>
      <c r="C38" s="30"/>
      <c r="D38" s="30"/>
      <c r="E38" s="30"/>
    </row>
    <row r="39" spans="1:6" x14ac:dyDescent="0.2">
      <c r="A39" s="18">
        <f>+A33+1</f>
        <v>5</v>
      </c>
      <c r="B39" s="17" t="s">
        <v>129</v>
      </c>
      <c r="C39" s="30"/>
      <c r="D39" s="30"/>
      <c r="E39" s="30"/>
    </row>
    <row r="40" spans="1:6" x14ac:dyDescent="0.2">
      <c r="A40" s="18">
        <f>+A39+0.1</f>
        <v>5.0999999999999996</v>
      </c>
      <c r="B40" s="1" t="s">
        <v>130</v>
      </c>
      <c r="C40" s="30">
        <f>Sheet2!B3/'Financial Statements'!B24</f>
        <v>27.767479674796746</v>
      </c>
      <c r="D40" s="30">
        <f>Sheet2!C3/'Financial Statements'!C24</f>
        <v>27.04409171075838</v>
      </c>
      <c r="E40" s="30">
        <f>Sheet2!D3/'Financial Statements'!D24</f>
        <v>45.256797583081571</v>
      </c>
    </row>
    <row r="41" spans="1:6" x14ac:dyDescent="0.2">
      <c r="A41" s="18">
        <f t="shared" ref="A41:A44" si="3">+A40+0.1</f>
        <v>5.1999999999999993</v>
      </c>
      <c r="B41" s="3" t="s">
        <v>131</v>
      </c>
      <c r="C41" s="30">
        <f>'Financial Statements'!B25</f>
        <v>6.11</v>
      </c>
      <c r="D41" s="30">
        <f>'Financial Statements'!C25</f>
        <v>5.61</v>
      </c>
      <c r="E41" s="30">
        <f>'Financial Statements'!D25</f>
        <v>3.28</v>
      </c>
      <c r="F41" t="s">
        <v>169</v>
      </c>
    </row>
    <row r="42" spans="1:6" x14ac:dyDescent="0.2">
      <c r="A42" s="18">
        <f t="shared" si="3"/>
        <v>5.2999999999999989</v>
      </c>
      <c r="B42" s="1" t="s">
        <v>132</v>
      </c>
      <c r="C42" s="30">
        <f>Sheet2!B3/C43</f>
        <v>55019.736948018632</v>
      </c>
      <c r="D42" s="30">
        <f t="shared" ref="D42:E42" si="4">189.69/D43</f>
        <v>50707.029404184497</v>
      </c>
      <c r="E42" s="30">
        <f t="shared" si="4"/>
        <v>50887.324777850896</v>
      </c>
    </row>
    <row r="43" spans="1:6" x14ac:dyDescent="0.2">
      <c r="A43" s="18">
        <f t="shared" si="3"/>
        <v>5.3999999999999986</v>
      </c>
      <c r="B43" s="3" t="s">
        <v>133</v>
      </c>
      <c r="C43" s="35">
        <f>'Financial Statements'!B68/'Financial Statements'!B28</f>
        <v>3.103795282797145E-3</v>
      </c>
      <c r="D43" s="35">
        <f>'Financial Statements'!C68/'Financial Statements'!C28</f>
        <v>3.7409014534845971E-3</v>
      </c>
      <c r="E43" s="35">
        <f>'Financial Statements'!D68/'Financial Statements'!D28</f>
        <v>3.7276473233382478E-3</v>
      </c>
      <c r="F43" s="32" t="s">
        <v>170</v>
      </c>
    </row>
    <row r="44" spans="1:6" x14ac:dyDescent="0.2">
      <c r="A44" s="18">
        <f t="shared" si="3"/>
        <v>5.4999999999999982</v>
      </c>
      <c r="B44" s="1" t="s">
        <v>134</v>
      </c>
      <c r="C44" s="36">
        <f>C45/C41</f>
        <v>1.4878083013397295E-4</v>
      </c>
      <c r="D44" s="36">
        <f t="shared" ref="D44:E44" si="5">D45/D41</f>
        <v>1.5290840583271576E-4</v>
      </c>
      <c r="E44" s="36">
        <f t="shared" si="5"/>
        <v>2.4491872388584764E-4</v>
      </c>
      <c r="F44" t="s">
        <v>172</v>
      </c>
    </row>
    <row r="45" spans="1:6" x14ac:dyDescent="0.2">
      <c r="A45" s="18"/>
      <c r="B45" s="3" t="s">
        <v>135</v>
      </c>
      <c r="C45" s="36">
        <f>'Financial Statements'!B102/'Financial Statements'!B28*-1</f>
        <v>9.0905087211857485E-4</v>
      </c>
      <c r="D45" s="36">
        <f>'Financial Statements'!C102/'Financial Statements'!C28*-1</f>
        <v>8.5781615672153545E-4</v>
      </c>
      <c r="E45" s="36">
        <f>'Financial Statements'!D102/'Financial Statements'!D28*-1</f>
        <v>8.0333341434558024E-4</v>
      </c>
      <c r="F45" t="s">
        <v>171</v>
      </c>
    </row>
    <row r="46" spans="1:6" x14ac:dyDescent="0.2">
      <c r="A46" s="18">
        <f>+A44+0.1</f>
        <v>5.5999999999999979</v>
      </c>
      <c r="B46" s="1" t="s">
        <v>136</v>
      </c>
      <c r="C46" s="37">
        <f>C45/Sheet2!B3</f>
        <v>5.3232468941768158E-6</v>
      </c>
      <c r="D46" s="37">
        <f>D45/Sheet2!C3</f>
        <v>5.5942099694896009E-6</v>
      </c>
      <c r="E46" s="37">
        <f>E45/Sheet2!D3</f>
        <v>5.3627063707982654E-6</v>
      </c>
      <c r="F46" t="s">
        <v>175</v>
      </c>
    </row>
    <row r="47" spans="1:6" x14ac:dyDescent="0.2">
      <c r="A47" s="18">
        <f t="shared" ref="A47:A50" si="6">+A45+0.1</f>
        <v>0.1</v>
      </c>
      <c r="B47" s="1" t="s">
        <v>137</v>
      </c>
      <c r="C47" s="30">
        <f>'Financial Statements'!B22/'Financial Statements'!B68</f>
        <v>1.9695887275023682</v>
      </c>
      <c r="D47" s="30">
        <f>'Financial Statements'!C22/'Financial Statements'!C68</f>
        <v>1.5007132667617689</v>
      </c>
      <c r="E47" s="30">
        <f>'Financial Statements'!D22/'Financial Statements'!D68</f>
        <v>0.87866358530127486</v>
      </c>
    </row>
    <row r="48" spans="1:6" x14ac:dyDescent="0.2">
      <c r="A48" s="18">
        <f t="shared" si="6"/>
        <v>5.6999999999999975</v>
      </c>
      <c r="B48" s="1" t="s">
        <v>138</v>
      </c>
      <c r="C48" s="30">
        <f>'Financial Statements'!B20/('Financial Statements'!B59+'Financial Statements'!B68)</f>
        <v>0.79597810614110709</v>
      </c>
      <c r="D48" s="30">
        <f>'Financial Statements'!C20/('Financial Statements'!C59+'Financial Statements'!C68)</f>
        <v>0.63420172361727334</v>
      </c>
      <c r="E48" s="30">
        <f>'Financial Statements'!D20/('Financial Statements'!D59+'Financial Statements'!D68)</f>
        <v>0.40907649720132189</v>
      </c>
      <c r="F48" t="s">
        <v>173</v>
      </c>
    </row>
    <row r="49" spans="1:7" x14ac:dyDescent="0.2">
      <c r="A49" s="18">
        <f t="shared" si="6"/>
        <v>0.2</v>
      </c>
      <c r="B49" s="1" t="s">
        <v>128</v>
      </c>
      <c r="C49" s="30">
        <f>'Financial Statements'!B22/'Financial Statements'!B48</f>
        <v>0.28292440929256851</v>
      </c>
      <c r="D49" s="30">
        <f>'Financial Statements'!C22/'Financial Statements'!C48</f>
        <v>0.26974205275183616</v>
      </c>
      <c r="E49" s="30">
        <f>'Financial Statements'!D22/'Financial Statements'!D48</f>
        <v>0.1772557180259843</v>
      </c>
    </row>
    <row r="50" spans="1:7" x14ac:dyDescent="0.2">
      <c r="A50" s="18">
        <f t="shared" si="6"/>
        <v>5.7999999999999972</v>
      </c>
      <c r="B50" s="1" t="s">
        <v>139</v>
      </c>
      <c r="C50" s="30">
        <f>C51/('Financial Statements'!B18+'Financial Statements'!B79)</f>
        <v>21.63752469055699</v>
      </c>
      <c r="D50" s="30">
        <f>D51/('Financial Statements'!C18+'Financial Statements'!C79)</f>
        <v>21.741657277619293</v>
      </c>
      <c r="E50" s="30">
        <f>E51/('Financial Statements'!D18+'Financial Statements'!D79)</f>
        <v>34.275101587712044</v>
      </c>
    </row>
    <row r="51" spans="1:7" x14ac:dyDescent="0.2">
      <c r="A51" s="18"/>
      <c r="B51" s="3" t="s">
        <v>140</v>
      </c>
      <c r="C51" s="12">
        <f>(Sheet2!B3*('Financial Statements'!B28/1000))+'Financial Statements'!B55+'Financial Statements'!B60-'Financial Statements'!B36</f>
        <v>2824584.11063</v>
      </c>
      <c r="D51" s="12">
        <f>(Sheet2!C3*('Financial Statements'!C28/1000))+'Financial Statements'!C55+'Financial Statements'!C60-'Financial Statements'!C36</f>
        <v>2614064.6794600002</v>
      </c>
      <c r="E51" s="12">
        <f>(Sheet2!D3*('Financial Statements'!D28/1000))+'Financial Statements'!D55+'Financial Statements'!D60-'Financial Statements'!D36</f>
        <v>2650973.4572000001</v>
      </c>
      <c r="F51" t="s">
        <v>174</v>
      </c>
    </row>
    <row r="52" spans="1:7" x14ac:dyDescent="0.2">
      <c r="C52" s="30"/>
      <c r="D52" s="30"/>
      <c r="E52" s="30"/>
      <c r="F52" s="39" t="s">
        <v>179</v>
      </c>
    </row>
    <row r="53" spans="1:7" x14ac:dyDescent="0.2">
      <c r="A53">
        <v>6</v>
      </c>
      <c r="B53" s="17" t="s">
        <v>157</v>
      </c>
      <c r="C53" s="30"/>
      <c r="D53" s="30"/>
      <c r="E53" s="30"/>
    </row>
    <row r="54" spans="1:7" x14ac:dyDescent="0.2">
      <c r="A54">
        <f>A53+0.1</f>
        <v>6.1</v>
      </c>
      <c r="B54" t="s">
        <v>155</v>
      </c>
      <c r="C54" s="31">
        <f>'Financial Statements'!B6/'Financial Statements'!C6-1</f>
        <v>6.3239764351428418E-2</v>
      </c>
      <c r="D54" s="31">
        <f>'Financial Statements'!C6/'Financial Statements'!D6-1</f>
        <v>0.34720743656765429</v>
      </c>
      <c r="E54" s="31"/>
    </row>
    <row r="55" spans="1:7" x14ac:dyDescent="0.2">
      <c r="A55">
        <f t="shared" ref="A55:A60" si="7">A54+0.1</f>
        <v>6.1999999999999993</v>
      </c>
      <c r="B55" t="s">
        <v>156</v>
      </c>
      <c r="C55" s="31">
        <f>'Financial Statements'!B7/'Financial Statements'!C7-1</f>
        <v>0.14181951041286078</v>
      </c>
      <c r="D55" s="31">
        <f>'Financial Statements'!C7/'Financial Statements'!D7-1</f>
        <v>0.27259708376729663</v>
      </c>
      <c r="E55" s="30"/>
    </row>
    <row r="56" spans="1:7" x14ac:dyDescent="0.2">
      <c r="A56">
        <f t="shared" si="7"/>
        <v>6.2999999999999989</v>
      </c>
      <c r="B56" t="s">
        <v>150</v>
      </c>
      <c r="C56" s="31">
        <f>'Financial Statements'!B8/'Financial Statements'!C8-1</f>
        <v>7.7937876041846099E-2</v>
      </c>
      <c r="D56" s="31">
        <f>'Financial Statements'!C8/'Financial Statements'!D8-1</f>
        <v>0.33259384733074704</v>
      </c>
      <c r="E56" s="30"/>
    </row>
    <row r="57" spans="1:7" x14ac:dyDescent="0.2">
      <c r="A57">
        <f t="shared" si="7"/>
        <v>6.3999999999999986</v>
      </c>
      <c r="B57" t="s">
        <v>151</v>
      </c>
      <c r="C57" s="31">
        <f>'Financial Statements'!B13/'Financial Statements'!C13-1</f>
        <v>0.1174199795859614</v>
      </c>
      <c r="D57" s="31">
        <f>'Financial Statements'!C13/'Financial Statements'!D13-1</f>
        <v>0.45619116582186825</v>
      </c>
      <c r="E57" s="30"/>
    </row>
    <row r="58" spans="1:7" x14ac:dyDescent="0.2">
      <c r="A58">
        <f t="shared" si="7"/>
        <v>6.4999999999999982</v>
      </c>
      <c r="B58" s="1" t="s">
        <v>152</v>
      </c>
      <c r="C58" s="31">
        <f>'Financial Statements'!B15/'Financial Statements'!C15-1</f>
        <v>0.19791001186456136</v>
      </c>
      <c r="D58" s="31">
        <f>'Financial Statements'!C15/'Financial Statements'!D15-1</f>
        <v>0.16862201365187723</v>
      </c>
      <c r="E58" s="30"/>
    </row>
    <row r="59" spans="1:7" x14ac:dyDescent="0.2">
      <c r="A59">
        <f t="shared" si="7"/>
        <v>6.5999999999999979</v>
      </c>
      <c r="B59" s="1" t="s">
        <v>153</v>
      </c>
      <c r="C59" s="31">
        <f>'Financial Statements'!B16/'Financial Statements'!C16-1</f>
        <v>0.14203795567287125</v>
      </c>
      <c r="D59" s="31">
        <f>'Financial Statements'!C16/'Financial Statements'!D16-1</f>
        <v>0.10328379192608961</v>
      </c>
      <c r="E59" s="30"/>
    </row>
    <row r="60" spans="1:7" x14ac:dyDescent="0.2">
      <c r="A60">
        <f t="shared" si="7"/>
        <v>6.6999999999999975</v>
      </c>
      <c r="B60" t="s">
        <v>154</v>
      </c>
      <c r="C60" s="31">
        <f>'Financial Statements'!B17/'Financial Statements'!C17-1</f>
        <v>0.16993642764372141</v>
      </c>
      <c r="D60" s="31">
        <f>'Financial Statements'!C17/'Financial Statements'!D17-1</f>
        <v>0.13496948381090301</v>
      </c>
      <c r="E60" s="30"/>
    </row>
    <row r="61" spans="1:7" x14ac:dyDescent="0.2">
      <c r="F61" t="s">
        <v>176</v>
      </c>
    </row>
    <row r="62" spans="1:7" x14ac:dyDescent="0.2">
      <c r="F62" s="38" t="s">
        <v>178</v>
      </c>
      <c r="G62" s="38"/>
    </row>
    <row r="64" spans="1:7" x14ac:dyDescent="0.2">
      <c r="A64">
        <v>8</v>
      </c>
      <c r="B64" s="7" t="s">
        <v>158</v>
      </c>
    </row>
    <row r="65" spans="1:5" x14ac:dyDescent="0.2">
      <c r="A65">
        <f>A64+0.1</f>
        <v>8.1</v>
      </c>
      <c r="B65" s="1" t="s">
        <v>146</v>
      </c>
      <c r="C65" s="23">
        <f>'Financial Statements'!B12/'Financial Statements'!B8</f>
        <v>0.56690369438639909</v>
      </c>
      <c r="D65" s="23">
        <f>'Financial Statements'!C12/'Financial Statements'!C8</f>
        <v>0.58220640374832222</v>
      </c>
      <c r="E65" s="23">
        <f>'Financial Statements'!D12/'Financial Statements'!D8</f>
        <v>0.61766752272189129</v>
      </c>
    </row>
    <row r="66" spans="1:5" x14ac:dyDescent="0.2">
      <c r="A66">
        <f t="shared" ref="A66:A71" si="8">A65+0.1</f>
        <v>8.1999999999999993</v>
      </c>
      <c r="B66" s="1" t="s">
        <v>89</v>
      </c>
      <c r="C66" s="23">
        <f>'Financial Statements'!B13/'Financial Statements'!B8</f>
        <v>0.43309630561360085</v>
      </c>
      <c r="D66" s="23">
        <f>'Financial Statements'!C13/'Financial Statements'!C8</f>
        <v>0.41779359625167778</v>
      </c>
      <c r="E66" s="23">
        <f>'Financial Statements'!D13/'Financial Statements'!D8</f>
        <v>0.38233247727810865</v>
      </c>
    </row>
    <row r="67" spans="1:5" x14ac:dyDescent="0.2">
      <c r="A67">
        <f t="shared" si="8"/>
        <v>8.2999999999999989</v>
      </c>
      <c r="B67" s="1" t="s">
        <v>11</v>
      </c>
      <c r="C67" s="23">
        <f>'Financial Statements'!B15/'Financial Statements'!B8</f>
        <v>6.657148363798665E-2</v>
      </c>
      <c r="D67" s="23">
        <f>'Financial Statements'!C15/'Financial Statements'!C8</f>
        <v>5.9904269074427925E-2</v>
      </c>
      <c r="E67" s="23">
        <f>'Financial Statements'!D15/'Financial Statements'!D8</f>
        <v>6.8309564140393061E-2</v>
      </c>
    </row>
    <row r="68" spans="1:5" x14ac:dyDescent="0.2">
      <c r="A68">
        <f t="shared" si="8"/>
        <v>8.3999999999999986</v>
      </c>
      <c r="B68" s="1" t="s">
        <v>12</v>
      </c>
      <c r="C68" s="23">
        <f>'Financial Statements'!B16/'Financial Statements'!B8</f>
        <v>6.3637378020328261E-2</v>
      </c>
      <c r="D68" s="23">
        <f>'Financial Statements'!C16/'Financial Statements'!C8</f>
        <v>6.006555190163388E-2</v>
      </c>
      <c r="E68" s="23">
        <f>'Financial Statements'!D16/'Financial Statements'!D8</f>
        <v>7.2549769593646979E-2</v>
      </c>
    </row>
    <row r="69" spans="1:5" x14ac:dyDescent="0.2">
      <c r="A69">
        <f t="shared" si="8"/>
        <v>8.4999999999999982</v>
      </c>
      <c r="B69" t="s">
        <v>13</v>
      </c>
      <c r="C69" s="23">
        <f>'Financial Statements'!B17/'Financial Statements'!B8</f>
        <v>0.13020886165831491</v>
      </c>
      <c r="D69" s="23">
        <f>'Financial Statements'!C17/'Financial Statements'!C8</f>
        <v>0.11996982097606181</v>
      </c>
      <c r="E69" s="23">
        <f>'Financial Statements'!D17/'Financial Statements'!D8</f>
        <v>0.14085933373404003</v>
      </c>
    </row>
    <row r="70" spans="1:5" x14ac:dyDescent="0.2">
      <c r="A70">
        <f t="shared" si="8"/>
        <v>8.5999999999999979</v>
      </c>
      <c r="B70" s="1" t="s">
        <v>14</v>
      </c>
      <c r="C70" s="23">
        <f>'Financial Statements'!B18/'Financial Statements'!B8</f>
        <v>0.30288744395528594</v>
      </c>
      <c r="D70" s="23">
        <f>'Financial Statements'!C18/'Financial Statements'!C8</f>
        <v>0.29782377527561593</v>
      </c>
      <c r="E70" s="23">
        <f>'Financial Statements'!D18/'Financial Statements'!D8</f>
        <v>0.24147314354406862</v>
      </c>
    </row>
    <row r="71" spans="1:5" x14ac:dyDescent="0.2">
      <c r="A71">
        <f t="shared" si="8"/>
        <v>8.6999999999999975</v>
      </c>
      <c r="B71" s="1" t="s">
        <v>93</v>
      </c>
      <c r="C71" s="23">
        <f>'Financial Statements'!B22/'Financial Statements'!B8</f>
        <v>0.25309640705199732</v>
      </c>
      <c r="D71" s="23">
        <f>'Financial Statements'!C22/'Financial Statements'!C8</f>
        <v>0.25881793355694238</v>
      </c>
      <c r="E71" s="23">
        <f>'Financial Statements'!D22/'Financial Statements'!D8</f>
        <v>0.20913611278072236</v>
      </c>
    </row>
    <row r="73" spans="1:5" x14ac:dyDescent="0.2">
      <c r="A73">
        <v>9</v>
      </c>
      <c r="B73" s="1" t="s">
        <v>94</v>
      </c>
      <c r="C73" s="23">
        <f>'Financial Statements'!B113/'Financial Statements'!B20</f>
        <v>0.1643367505436471</v>
      </c>
      <c r="D73" s="23">
        <f>'Financial Statements'!C113/'Financial Statements'!C20</f>
        <v>0.23244846942045841</v>
      </c>
      <c r="E73" s="23">
        <f>'Financial Statements'!D113/'Financial Statements'!D20</f>
        <v>0.14161362924982487</v>
      </c>
    </row>
    <row r="74" spans="1:5" x14ac:dyDescent="0.2">
      <c r="A74">
        <f>A73+0.1</f>
        <v>9.1</v>
      </c>
      <c r="B74" s="1" t="s">
        <v>159</v>
      </c>
      <c r="C74">
        <f>'Financial Statements'!B45-'Financial Statements'!C45+'Financial Statements'!B79</f>
        <v>13781</v>
      </c>
      <c r="D74">
        <f>'Financial Statements'!C45-'Financial Statements'!D45+'Financial Statements'!C79</f>
        <v>13958</v>
      </c>
    </row>
    <row r="75" spans="1:5" x14ac:dyDescent="0.2">
      <c r="A75">
        <f t="shared" ref="A75:A76" si="9">A74+0.1</f>
        <v>9.1999999999999993</v>
      </c>
      <c r="B75" s="1" t="s">
        <v>95</v>
      </c>
      <c r="C75" s="23">
        <f>C74/'Financial Statements'!B8</f>
        <v>3.4948063541011543E-2</v>
      </c>
      <c r="D75" s="23">
        <f>D74/'Financial Statements'!C8</f>
        <v>3.8155689866791319E-2</v>
      </c>
    </row>
    <row r="76" spans="1:5" x14ac:dyDescent="0.2">
      <c r="A76">
        <f t="shared" si="9"/>
        <v>9.2999999999999989</v>
      </c>
      <c r="B76" s="1" t="s">
        <v>96</v>
      </c>
      <c r="C76" s="23">
        <f>C74/'Financial Statements'!B47</f>
        <v>6.3404646882907756E-2</v>
      </c>
      <c r="D76" s="23">
        <f>D74/'Financial Statements'!C47</f>
        <v>6.4570746555887598E-2</v>
      </c>
    </row>
  </sheetData>
  <mergeCells count="1">
    <mergeCell ref="C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B6BF-1755-D34D-9DE6-7E30ACBBB1B0}">
  <dimension ref="A1:J4"/>
  <sheetViews>
    <sheetView workbookViewId="0">
      <selection activeCell="D27" sqref="D27"/>
    </sheetView>
  </sheetViews>
  <sheetFormatPr baseColWidth="10" defaultColWidth="11.5" defaultRowHeight="15" x14ac:dyDescent="0.2"/>
  <cols>
    <col min="1" max="1" width="15.83203125" bestFit="1" customWidth="1"/>
    <col min="2" max="4" width="11.1640625" bestFit="1" customWidth="1"/>
  </cols>
  <sheetData>
    <row r="1" spans="1:10" ht="26" x14ac:dyDescent="0.3">
      <c r="A1" s="6"/>
      <c r="B1" s="20" t="s">
        <v>0</v>
      </c>
      <c r="C1" s="19"/>
      <c r="D1" s="19"/>
      <c r="E1" s="19"/>
      <c r="F1" s="19"/>
      <c r="G1" s="19"/>
      <c r="H1" s="19"/>
      <c r="I1" s="19"/>
      <c r="J1" s="19"/>
    </row>
    <row r="2" spans="1:10" x14ac:dyDescent="0.2">
      <c r="B2">
        <v>2022</v>
      </c>
      <c r="C2">
        <v>2021</v>
      </c>
      <c r="D2">
        <v>2020</v>
      </c>
    </row>
    <row r="3" spans="1:10" x14ac:dyDescent="0.2">
      <c r="A3" t="s">
        <v>162</v>
      </c>
      <c r="B3" s="29">
        <v>170.77</v>
      </c>
      <c r="C3" s="29">
        <v>153.34</v>
      </c>
      <c r="D3" s="29">
        <v>149.80000000000001</v>
      </c>
    </row>
    <row r="4" spans="1:10" x14ac:dyDescent="0.2">
      <c r="A4" t="s">
        <v>163</v>
      </c>
      <c r="B4" s="29">
        <f>'Financial Statements'!B48-'Financial Statements'!B56</f>
        <v>198773</v>
      </c>
      <c r="C4" s="29">
        <f>'Financial Statements'!C48-'Financial Statements'!C56</f>
        <v>225521</v>
      </c>
      <c r="D4" s="29">
        <f>'Financial Statements'!D48-'Financial Statements'!D56</f>
        <v>218496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Statements</vt:lpstr>
      <vt:lpstr>List of Ratios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Lisa Sola</cp:lastModifiedBy>
  <dcterms:created xsi:type="dcterms:W3CDTF">2020-05-18T16:32:37Z</dcterms:created>
  <dcterms:modified xsi:type="dcterms:W3CDTF">2023-11-22T01:35:22Z</dcterms:modified>
</cp:coreProperties>
</file>