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4AAB1E8D-8AF0-B048-8DAA-EA7B97C1A3EB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0" i="3" l="1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5" i="4"/>
  <c r="K65" i="4"/>
  <c r="L65" i="4"/>
  <c r="M65" i="4"/>
  <c r="N65" i="4"/>
  <c r="J64" i="4"/>
  <c r="K64" i="4"/>
  <c r="L64" i="4"/>
  <c r="M64" i="4"/>
  <c r="N64" i="4"/>
  <c r="J63" i="4"/>
  <c r="K63" i="4"/>
  <c r="L63" i="4"/>
  <c r="M63" i="4"/>
  <c r="N63" i="4"/>
  <c r="J62" i="4"/>
  <c r="K62" i="4"/>
  <c r="L62" i="4"/>
  <c r="M62" i="4"/>
  <c r="N62" i="4"/>
  <c r="J61" i="4"/>
  <c r="K61" i="4"/>
  <c r="L61" i="4"/>
  <c r="M61" i="4"/>
  <c r="N61" i="4"/>
  <c r="J60" i="4"/>
  <c r="K60" i="4"/>
  <c r="L60" i="4"/>
  <c r="M60" i="4"/>
  <c r="N60" i="4"/>
  <c r="J59" i="4"/>
  <c r="K59" i="4"/>
  <c r="L59" i="4"/>
  <c r="M59" i="4"/>
  <c r="N59" i="4"/>
  <c r="J57" i="4"/>
  <c r="K57" i="4"/>
  <c r="L57" i="4"/>
  <c r="M57" i="4"/>
  <c r="N57" i="4"/>
  <c r="J48" i="4"/>
  <c r="K48" i="4" s="1"/>
  <c r="L48" i="4" s="1"/>
  <c r="M48" i="4" s="1"/>
  <c r="N48" i="4" s="1"/>
  <c r="J43" i="4"/>
  <c r="K43" i="4"/>
  <c r="L43" i="4"/>
  <c r="M43" i="4"/>
  <c r="N43" i="4"/>
  <c r="J34" i="4"/>
  <c r="K34" i="4"/>
  <c r="L34" i="4"/>
  <c r="M34" i="4" s="1"/>
  <c r="N34" i="4" s="1"/>
  <c r="J35" i="4"/>
  <c r="K35" i="4" s="1"/>
  <c r="L35" i="4" s="1"/>
  <c r="M35" i="4" s="1"/>
  <c r="N35" i="4" s="1"/>
  <c r="J36" i="4"/>
  <c r="K36" i="4" s="1"/>
  <c r="L36" i="4" s="1"/>
  <c r="M36" i="4" s="1"/>
  <c r="N36" i="4" s="1"/>
  <c r="J37" i="4"/>
  <c r="K37" i="4" s="1"/>
  <c r="L37" i="4" s="1"/>
  <c r="M37" i="4" s="1"/>
  <c r="N37" i="4" s="1"/>
  <c r="J38" i="4"/>
  <c r="K38" i="4"/>
  <c r="L38" i="4" s="1"/>
  <c r="M38" i="4" s="1"/>
  <c r="N38" i="4" s="1"/>
  <c r="J39" i="4"/>
  <c r="K39" i="4"/>
  <c r="L39" i="4" s="1"/>
  <c r="M39" i="4" s="1"/>
  <c r="N39" i="4" s="1"/>
  <c r="J40" i="4"/>
  <c r="K40" i="4"/>
  <c r="L40" i="4" s="1"/>
  <c r="M40" i="4" s="1"/>
  <c r="N40" i="4" s="1"/>
  <c r="J41" i="4"/>
  <c r="K41" i="4"/>
  <c r="L41" i="4"/>
  <c r="M41" i="4" s="1"/>
  <c r="N41" i="4" s="1"/>
  <c r="K33" i="4"/>
  <c r="L33" i="4"/>
  <c r="M33" i="4"/>
  <c r="N33" i="4"/>
  <c r="J33" i="4"/>
  <c r="J31" i="4"/>
  <c r="K31" i="4"/>
  <c r="L31" i="4"/>
  <c r="M31" i="4"/>
  <c r="N31" i="4"/>
  <c r="J30" i="4"/>
  <c r="K30" i="4"/>
  <c r="L30" i="4"/>
  <c r="M30" i="4"/>
  <c r="N30" i="4"/>
  <c r="J29" i="4"/>
  <c r="K29" i="4"/>
  <c r="L29" i="4"/>
  <c r="M29" i="4"/>
  <c r="N29" i="4"/>
  <c r="J28" i="4"/>
  <c r="K28" i="4"/>
  <c r="L28" i="4"/>
  <c r="M28" i="4"/>
  <c r="N28" i="4"/>
  <c r="J27" i="4"/>
  <c r="K27" i="4"/>
  <c r="L27" i="4"/>
  <c r="M27" i="4"/>
  <c r="N27" i="4"/>
  <c r="J26" i="4"/>
  <c r="K26" i="4"/>
  <c r="L26" i="4"/>
  <c r="M26" i="4"/>
  <c r="N26" i="4"/>
  <c r="J25" i="4"/>
  <c r="K25" i="4"/>
  <c r="L25" i="4"/>
  <c r="M25" i="4"/>
  <c r="N25" i="4"/>
  <c r="J42" i="4"/>
  <c r="K42" i="4"/>
  <c r="L42" i="4"/>
  <c r="M42" i="4"/>
  <c r="N42" i="4"/>
  <c r="J50" i="4"/>
  <c r="K50" i="4"/>
  <c r="L50" i="4"/>
  <c r="M50" i="4"/>
  <c r="N50" i="4"/>
  <c r="J51" i="4"/>
  <c r="K51" i="4"/>
  <c r="L51" i="4"/>
  <c r="M51" i="4"/>
  <c r="N51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J10" i="1"/>
  <c r="K10" i="1"/>
  <c r="L10" i="1"/>
  <c r="M10" i="1"/>
  <c r="N10" i="1"/>
  <c r="J11" i="4"/>
  <c r="K11" i="4"/>
  <c r="L11" i="4"/>
  <c r="M11" i="4"/>
  <c r="N11" i="4"/>
  <c r="J7" i="1"/>
  <c r="K7" i="1"/>
  <c r="L7" i="1"/>
  <c r="M7" i="1"/>
  <c r="N7" i="1"/>
  <c r="J4" i="1"/>
  <c r="K4" i="1"/>
  <c r="L4" i="1"/>
  <c r="M4" i="1"/>
  <c r="N4" i="1"/>
  <c r="J145" i="3"/>
  <c r="K145" i="3" s="1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I13" i="4"/>
  <c r="J10" i="4"/>
  <c r="B147" i="3"/>
  <c r="B149" i="3" s="1"/>
  <c r="C154" i="3"/>
  <c r="D154" i="3"/>
  <c r="E154" i="3"/>
  <c r="F154" i="3"/>
  <c r="G154" i="3"/>
  <c r="H154" i="3"/>
  <c r="I154" i="3"/>
  <c r="B154" i="3"/>
  <c r="K10" i="4"/>
  <c r="L10" i="4"/>
  <c r="M10" i="4"/>
  <c r="N10" i="4"/>
  <c r="J17" i="4"/>
  <c r="K17" i="4"/>
  <c r="L16" i="4"/>
  <c r="M16" i="4"/>
  <c r="J15" i="4"/>
  <c r="K15" i="4"/>
  <c r="L15" i="4"/>
  <c r="M15" i="4"/>
  <c r="N15" i="4"/>
  <c r="J14" i="4"/>
  <c r="J16" i="4" s="1"/>
  <c r="J19" i="4" s="1"/>
  <c r="K14" i="4"/>
  <c r="K16" i="4" s="1"/>
  <c r="L14" i="4"/>
  <c r="M14" i="4"/>
  <c r="N14" i="4"/>
  <c r="N13" i="4"/>
  <c r="J12" i="4"/>
  <c r="K12" i="4"/>
  <c r="L12" i="4"/>
  <c r="M12" i="4"/>
  <c r="N12" i="4"/>
  <c r="P3" i="4"/>
  <c r="Q3" i="4"/>
  <c r="R3" i="4"/>
  <c r="O4" i="4"/>
  <c r="P4" i="4"/>
  <c r="Q4" i="4"/>
  <c r="R4" i="4"/>
  <c r="J90" i="3"/>
  <c r="J125" i="3"/>
  <c r="J24" i="3"/>
  <c r="J23" i="3" s="1"/>
  <c r="C59" i="4"/>
  <c r="D59" i="4"/>
  <c r="E59" i="4"/>
  <c r="F59" i="4"/>
  <c r="G59" i="4"/>
  <c r="H59" i="4"/>
  <c r="I59" i="4"/>
  <c r="C57" i="4"/>
  <c r="D57" i="4"/>
  <c r="E57" i="4"/>
  <c r="F57" i="4"/>
  <c r="G57" i="4"/>
  <c r="H57" i="4"/>
  <c r="I57" i="4"/>
  <c r="D51" i="4"/>
  <c r="E51" i="4"/>
  <c r="F51" i="4"/>
  <c r="G51" i="4"/>
  <c r="H51" i="4"/>
  <c r="I5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3" i="4"/>
  <c r="D43" i="4"/>
  <c r="E43" i="4"/>
  <c r="F43" i="4"/>
  <c r="G43" i="4"/>
  <c r="H43" i="4"/>
  <c r="C42" i="4"/>
  <c r="C39" i="4" s="1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D39" i="4"/>
  <c r="F39" i="4"/>
  <c r="C38" i="4"/>
  <c r="D38" i="4"/>
  <c r="E38" i="4"/>
  <c r="F38" i="4"/>
  <c r="G38" i="4"/>
  <c r="H38" i="4"/>
  <c r="I38" i="4"/>
  <c r="C37" i="4"/>
  <c r="D37" i="4"/>
  <c r="E37" i="4"/>
  <c r="F37" i="4"/>
  <c r="G37" i="4"/>
  <c r="H37" i="4"/>
  <c r="I37" i="4"/>
  <c r="C36" i="4"/>
  <c r="D36" i="4"/>
  <c r="E36" i="4"/>
  <c r="F36" i="4"/>
  <c r="G36" i="4"/>
  <c r="H36" i="4"/>
  <c r="I36" i="4"/>
  <c r="C35" i="4"/>
  <c r="D35" i="4"/>
  <c r="E35" i="4"/>
  <c r="F35" i="4"/>
  <c r="G35" i="4"/>
  <c r="H35" i="4"/>
  <c r="I35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1" i="4"/>
  <c r="D31" i="4"/>
  <c r="E31" i="4"/>
  <c r="F31" i="4"/>
  <c r="G31" i="4"/>
  <c r="H31" i="4"/>
  <c r="I31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C22" i="4"/>
  <c r="D22" i="4"/>
  <c r="E22" i="4"/>
  <c r="F22" i="4"/>
  <c r="G22" i="4"/>
  <c r="H22" i="4"/>
  <c r="I22" i="4"/>
  <c r="J22" i="4"/>
  <c r="K22" i="4"/>
  <c r="L22" i="4"/>
  <c r="M22" i="4"/>
  <c r="N22" i="4"/>
  <c r="C21" i="4"/>
  <c r="D21" i="4"/>
  <c r="E21" i="4"/>
  <c r="F21" i="4"/>
  <c r="G21" i="4"/>
  <c r="H21" i="4"/>
  <c r="I21" i="4"/>
  <c r="J21" i="4"/>
  <c r="K21" i="4"/>
  <c r="L21" i="4"/>
  <c r="M21" i="4"/>
  <c r="N21" i="4"/>
  <c r="C17" i="4"/>
  <c r="D17" i="4"/>
  <c r="E17" i="4"/>
  <c r="F17" i="4"/>
  <c r="G17" i="4"/>
  <c r="H17" i="4"/>
  <c r="I17" i="4"/>
  <c r="I19" i="4" s="1"/>
  <c r="C16" i="4"/>
  <c r="D16" i="4"/>
  <c r="E16" i="4"/>
  <c r="E19" i="4" s="1"/>
  <c r="F16" i="4"/>
  <c r="G16" i="4"/>
  <c r="H16" i="4"/>
  <c r="I16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3" i="4"/>
  <c r="D13" i="4"/>
  <c r="E13" i="4"/>
  <c r="F13" i="4"/>
  <c r="G13" i="4"/>
  <c r="H13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G64" i="4" s="1"/>
  <c r="H62" i="4"/>
  <c r="I62" i="4"/>
  <c r="C63" i="4"/>
  <c r="D63" i="4"/>
  <c r="E63" i="4"/>
  <c r="F63" i="4"/>
  <c r="G63" i="4"/>
  <c r="H63" i="4"/>
  <c r="I63" i="4"/>
  <c r="C64" i="4"/>
  <c r="D64" i="4"/>
  <c r="F64" i="4"/>
  <c r="C65" i="4"/>
  <c r="D65" i="4"/>
  <c r="E65" i="4"/>
  <c r="F65" i="4"/>
  <c r="G65" i="4"/>
  <c r="H65" i="4"/>
  <c r="I65" i="4"/>
  <c r="C67" i="4"/>
  <c r="B68" i="4"/>
  <c r="B67" i="4"/>
  <c r="B65" i="4"/>
  <c r="B64" i="4"/>
  <c r="B63" i="4"/>
  <c r="B62" i="4"/>
  <c r="B61" i="4"/>
  <c r="I60" i="4"/>
  <c r="H60" i="4"/>
  <c r="G60" i="4"/>
  <c r="F60" i="4"/>
  <c r="E60" i="4"/>
  <c r="D60" i="4"/>
  <c r="C60" i="4"/>
  <c r="B59" i="4"/>
  <c r="B57" i="4"/>
  <c r="C51" i="4"/>
  <c r="B50" i="4"/>
  <c r="B48" i="4"/>
  <c r="B43" i="4"/>
  <c r="B42" i="4"/>
  <c r="B39" i="4" s="1"/>
  <c r="B41" i="4"/>
  <c r="B40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3" i="4"/>
  <c r="B22" i="4"/>
  <c r="B21" i="4"/>
  <c r="H19" i="4"/>
  <c r="G19" i="4"/>
  <c r="F19" i="4"/>
  <c r="D19" i="4"/>
  <c r="C19" i="4"/>
  <c r="B19" i="4"/>
  <c r="B17" i="4"/>
  <c r="B16" i="4"/>
  <c r="B15" i="4"/>
  <c r="B14" i="4"/>
  <c r="B13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J197" i="3" s="1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C58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G58" i="4" s="1"/>
  <c r="F14" i="3"/>
  <c r="F52" i="4" s="1"/>
  <c r="F58" i="4" s="1"/>
  <c r="E14" i="3"/>
  <c r="E52" i="4" s="1"/>
  <c r="E58" i="4" s="1"/>
  <c r="D14" i="3"/>
  <c r="D52" i="4" s="1"/>
  <c r="D58" i="4" s="1"/>
  <c r="B14" i="3"/>
  <c r="B52" i="4" s="1"/>
  <c r="B58" i="4" s="1"/>
  <c r="G11" i="3"/>
  <c r="G46" i="4" s="1"/>
  <c r="G49" i="4" s="1"/>
  <c r="D11" i="3"/>
  <c r="G8" i="3"/>
  <c r="G47" i="4" s="1"/>
  <c r="F8" i="3"/>
  <c r="F47" i="4" s="1"/>
  <c r="E8" i="3"/>
  <c r="E47" i="4" s="1"/>
  <c r="D8" i="3"/>
  <c r="D6" i="4" s="1"/>
  <c r="H3" i="3"/>
  <c r="H3" i="4" s="1"/>
  <c r="H24" i="4" s="1"/>
  <c r="G3" i="3"/>
  <c r="G3" i="4" s="1"/>
  <c r="F3" i="3"/>
  <c r="F4" i="3" s="1"/>
  <c r="F4" i="4" s="1"/>
  <c r="E3" i="3"/>
  <c r="E3" i="4" s="1"/>
  <c r="E24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82" i="3" l="1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L17" i="4"/>
  <c r="K19" i="4"/>
  <c r="L19" i="4"/>
  <c r="I43" i="4"/>
  <c r="N16" i="4"/>
  <c r="L13" i="4"/>
  <c r="K13" i="4"/>
  <c r="J13" i="4"/>
  <c r="M13" i="4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F66" i="4" s="1"/>
  <c r="G7" i="4"/>
  <c r="D46" i="4"/>
  <c r="D49" i="4" s="1"/>
  <c r="D54" i="4" s="1"/>
  <c r="D7" i="4"/>
  <c r="L63" i="3"/>
  <c r="G53" i="4"/>
  <c r="G54" i="4"/>
  <c r="G55" i="4" s="1"/>
  <c r="G66" i="4" s="1"/>
  <c r="H18" i="4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I39" i="4"/>
  <c r="H39" i="4"/>
  <c r="E39" i="4"/>
  <c r="I64" i="4"/>
  <c r="H64" i="4"/>
  <c r="E64" i="4"/>
  <c r="F13" i="3"/>
  <c r="F9" i="4" s="1"/>
  <c r="G12" i="3"/>
  <c r="G8" i="4" s="1"/>
  <c r="I71" i="3"/>
  <c r="I66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5" i="3"/>
  <c r="I39" i="3"/>
  <c r="C41" i="3"/>
  <c r="I50" i="3"/>
  <c r="J50" i="3" s="1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J81" i="3" s="1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J143" i="3" s="1"/>
  <c r="H152" i="3"/>
  <c r="H151" i="3"/>
  <c r="C155" i="3"/>
  <c r="C147" i="3"/>
  <c r="D148" i="3" s="1"/>
  <c r="C156" i="3"/>
  <c r="B169" i="3"/>
  <c r="K200" i="3"/>
  <c r="K211" i="3"/>
  <c r="L199" i="3"/>
  <c r="I112" i="3"/>
  <c r="J112" i="3" s="1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I128" i="3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110" i="3" l="1"/>
  <c r="F12" i="3"/>
  <c r="F8" i="4" s="1"/>
  <c r="D18" i="4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J47" i="4" s="1"/>
  <c r="I6" i="4"/>
  <c r="B6" i="4"/>
  <c r="B47" i="4"/>
  <c r="B19" i="3"/>
  <c r="N94" i="1"/>
  <c r="N17" i="4" s="1"/>
  <c r="N19" i="4" s="1"/>
  <c r="M17" i="4"/>
  <c r="M19" i="4" s="1"/>
  <c r="I16" i="3"/>
  <c r="E18" i="4"/>
  <c r="F24" i="4"/>
  <c r="F18" i="4"/>
  <c r="G18" i="4"/>
  <c r="D24" i="4"/>
  <c r="C4" i="3"/>
  <c r="C4" i="4" s="1"/>
  <c r="C18" i="4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J99" i="3" s="1"/>
  <c r="K99" i="3" s="1"/>
  <c r="L99" i="3" s="1"/>
  <c r="M99" i="3" s="1"/>
  <c r="N99" i="3" s="1"/>
  <c r="I98" i="3"/>
  <c r="K41" i="3"/>
  <c r="K72" i="3"/>
  <c r="I183" i="3"/>
  <c r="I184" i="3"/>
  <c r="J184" i="3" s="1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J68" i="3" s="1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J37" i="3" s="1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3"/>
  <c r="B5" i="4" s="1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30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J130" i="3" l="1"/>
  <c r="J128" i="3" s="1"/>
  <c r="K114" i="3"/>
  <c r="J97" i="3"/>
  <c r="I49" i="4"/>
  <c r="J46" i="4"/>
  <c r="K47" i="4"/>
  <c r="H54" i="4"/>
  <c r="H55" i="4" s="1"/>
  <c r="H66" i="4" s="1"/>
  <c r="H53" i="4"/>
  <c r="I24" i="4"/>
  <c r="I18" i="4"/>
  <c r="C54" i="4"/>
  <c r="C55" i="4" s="1"/>
  <c r="C66" i="4" s="1"/>
  <c r="C68" i="4" s="1"/>
  <c r="D67" i="4" s="1"/>
  <c r="D68" i="4" s="1"/>
  <c r="E67" i="4" s="1"/>
  <c r="E68" i="4" s="1"/>
  <c r="F67" i="4" s="1"/>
  <c r="F68" i="4" s="1"/>
  <c r="G67" i="4" s="1"/>
  <c r="G68" i="4" s="1"/>
  <c r="H67" i="4" s="1"/>
  <c r="C53" i="4"/>
  <c r="I53" i="4"/>
  <c r="I54" i="4"/>
  <c r="I55" i="4" s="1"/>
  <c r="I66" i="4" s="1"/>
  <c r="B53" i="4"/>
  <c r="B54" i="4"/>
  <c r="B55" i="4" s="1"/>
  <c r="B66" i="4" s="1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10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J48" i="3"/>
  <c r="J3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66" i="3"/>
  <c r="J53" i="3"/>
  <c r="G7" i="3"/>
  <c r="G6" i="3"/>
  <c r="D6" i="3"/>
  <c r="D7" i="3"/>
  <c r="J138" i="3"/>
  <c r="J115" i="3"/>
  <c r="J141" i="3"/>
  <c r="J131" i="3" s="1"/>
  <c r="D101" i="1"/>
  <c r="E99" i="1"/>
  <c r="E100" i="1" s="1"/>
  <c r="K130" i="3" l="1"/>
  <c r="L130" i="3" s="1"/>
  <c r="M130" i="3" s="1"/>
  <c r="N130" i="3" s="1"/>
  <c r="J135" i="3"/>
  <c r="K46" i="4"/>
  <c r="J49" i="4"/>
  <c r="J54" i="4" s="1"/>
  <c r="J55" i="4" s="1"/>
  <c r="H68" i="4"/>
  <c r="I67" i="4" s="1"/>
  <c r="I68" i="4" s="1"/>
  <c r="J67" i="4" s="1"/>
  <c r="L47" i="4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J38" i="3"/>
  <c r="J42" i="3" s="1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J36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28" i="3" l="1"/>
  <c r="L46" i="4"/>
  <c r="K49" i="4"/>
  <c r="M47" i="4"/>
  <c r="N72" i="3"/>
  <c r="L192" i="3"/>
  <c r="L193" i="3" s="1"/>
  <c r="L195" i="3"/>
  <c r="L185" i="3" s="1"/>
  <c r="L182" i="3"/>
  <c r="L165" i="3"/>
  <c r="L73" i="3"/>
  <c r="L67" i="3"/>
  <c r="J40" i="3"/>
  <c r="J39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K42" i="3" s="1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N79" i="3" l="1"/>
  <c r="N141" i="3"/>
  <c r="N131" i="3" s="1"/>
  <c r="N135" i="3" s="1"/>
  <c r="K135" i="3"/>
  <c r="L136" i="3" s="1"/>
  <c r="K129" i="3"/>
  <c r="K54" i="4"/>
  <c r="K55" i="4" s="1"/>
  <c r="M46" i="4"/>
  <c r="L49" i="4"/>
  <c r="N47" i="4"/>
  <c r="N77" i="3"/>
  <c r="M101" i="3"/>
  <c r="M102" i="3"/>
  <c r="M70" i="3"/>
  <c r="M71" i="3"/>
  <c r="L106" i="3"/>
  <c r="L105" i="3"/>
  <c r="K191" i="3"/>
  <c r="K190" i="3"/>
  <c r="K43" i="3"/>
  <c r="K44" i="3"/>
  <c r="N129" i="3"/>
  <c r="M206" i="3"/>
  <c r="M205" i="3"/>
  <c r="M208" i="3"/>
  <c r="N110" i="3"/>
  <c r="N100" i="3" s="1"/>
  <c r="M98" i="3"/>
  <c r="M104" i="3"/>
  <c r="L38" i="3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N133" i="3"/>
  <c r="N132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K39" i="3"/>
  <c r="N108" i="3"/>
  <c r="N98" i="3"/>
  <c r="N139" i="3"/>
  <c r="K74" i="3"/>
  <c r="K75" i="3"/>
  <c r="N69" i="3"/>
  <c r="N73" i="3" s="1"/>
  <c r="H99" i="1"/>
  <c r="H100" i="1" s="1"/>
  <c r="G101" i="1"/>
  <c r="K136" i="3" l="1"/>
  <c r="K137" i="3"/>
  <c r="L54" i="4"/>
  <c r="L55" i="4" s="1"/>
  <c r="N46" i="4"/>
  <c r="N49" i="4" s="1"/>
  <c r="N54" i="4" s="1"/>
  <c r="N55" i="4" s="1"/>
  <c r="M49" i="4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L39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M42" i="3" s="1"/>
  <c r="N186" i="3"/>
  <c r="N187" i="3"/>
  <c r="N36" i="3"/>
  <c r="N42" i="3"/>
  <c r="M36" i="3"/>
  <c r="N189" i="3"/>
  <c r="N183" i="3"/>
  <c r="I99" i="1"/>
  <c r="I100" i="1" s="1"/>
  <c r="I101" i="1" s="1"/>
  <c r="H101" i="1"/>
  <c r="M54" i="4" l="1"/>
  <c r="M55" i="4" s="1"/>
  <c r="N39" i="3"/>
  <c r="L43" i="3"/>
  <c r="L44" i="3"/>
  <c r="M43" i="3"/>
  <c r="M44" i="3"/>
  <c r="N209" i="3"/>
  <c r="N210" i="3"/>
  <c r="M191" i="3"/>
  <c r="M190" i="3"/>
  <c r="N106" i="3"/>
  <c r="N105" i="3"/>
  <c r="N44" i="3"/>
  <c r="N43" i="3"/>
  <c r="N190" i="3"/>
  <c r="N191" i="3"/>
  <c r="M40" i="3"/>
  <c r="M39" i="3"/>
  <c r="H1" i="1"/>
  <c r="G1" i="1" s="1"/>
  <c r="F1" i="1" s="1"/>
  <c r="E1" i="1" s="1"/>
  <c r="D1" i="1" s="1"/>
  <c r="C1" i="1" s="1"/>
  <c r="B1" i="1" s="1"/>
  <c r="J160" i="3" l="1"/>
  <c r="J157" i="3"/>
  <c r="J14" i="3" s="1"/>
  <c r="J52" i="4" s="1"/>
  <c r="J3" i="3"/>
  <c r="J58" i="4" l="1"/>
  <c r="J66" i="4" s="1"/>
  <c r="J68" i="4" s="1"/>
  <c r="K67" i="4" s="1"/>
  <c r="J53" i="4"/>
  <c r="J15" i="3"/>
  <c r="J16" i="3"/>
  <c r="J3" i="4"/>
  <c r="J4" i="3"/>
  <c r="J4" i="4" s="1"/>
  <c r="J150" i="3"/>
  <c r="J151" i="3" s="1"/>
  <c r="J17" i="3"/>
  <c r="J18" i="4" l="1"/>
  <c r="J24" i="4"/>
  <c r="J8" i="3"/>
  <c r="J152" i="3"/>
  <c r="J18" i="3"/>
  <c r="J19" i="3"/>
  <c r="J9" i="3" l="1"/>
  <c r="J10" i="3"/>
  <c r="J6" i="4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58" i="4" l="1"/>
  <c r="L66" i="4" s="1"/>
  <c r="L53" i="4"/>
  <c r="K18" i="4"/>
  <c r="K24" i="4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2" i="4"/>
  <c r="L16" i="3"/>
  <c r="L3" i="4"/>
  <c r="K16" i="3"/>
  <c r="K15" i="3"/>
  <c r="L152" i="3"/>
  <c r="L151" i="3"/>
  <c r="L8" i="3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M66" i="4" s="1"/>
  <c r="M53" i="4"/>
  <c r="L18" i="4"/>
  <c r="L24" i="4"/>
  <c r="K58" i="4"/>
  <c r="K66" i="4" s="1"/>
  <c r="K68" i="4" s="1"/>
  <c r="L67" i="4" s="1"/>
  <c r="L68" i="4" s="1"/>
  <c r="M67" i="4" s="1"/>
  <c r="M68" i="4" s="1"/>
  <c r="N67" i="4" s="1"/>
  <c r="K53" i="4"/>
  <c r="M18" i="4"/>
  <c r="M24" i="4"/>
  <c r="L9" i="3"/>
  <c r="L10" i="3"/>
  <c r="L6" i="4"/>
  <c r="N17" i="3"/>
  <c r="N14" i="3"/>
  <c r="N52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N58" i="4" l="1"/>
  <c r="N66" i="4" s="1"/>
  <c r="N68" i="4" s="1"/>
  <c r="N53" i="4"/>
  <c r="N18" i="4"/>
  <c r="N24" i="4"/>
  <c r="M9" i="3"/>
  <c r="M10" i="3"/>
  <c r="M6" i="4"/>
  <c r="N15" i="3"/>
  <c r="N16" i="3"/>
  <c r="N19" i="3"/>
  <c r="N18" i="3"/>
  <c r="N152" i="3"/>
  <c r="N151" i="3"/>
  <c r="N8" i="3"/>
  <c r="N6" i="4" l="1"/>
  <c r="N9" i="3"/>
  <c r="N10" i="3"/>
  <c r="J147" i="3"/>
  <c r="J5" i="3" s="1"/>
  <c r="J154" i="3" l="1"/>
  <c r="J156" i="3" s="1"/>
  <c r="J155" i="3"/>
  <c r="J148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L5" i="3" l="1"/>
  <c r="L7" i="3" s="1"/>
  <c r="K155" i="3"/>
  <c r="K156" i="3"/>
  <c r="L148" i="3"/>
  <c r="K148" i="3"/>
  <c r="K5" i="3"/>
  <c r="M148" i="3"/>
  <c r="L155" i="3"/>
  <c r="L156" i="3"/>
  <c r="N156" i="3"/>
  <c r="N5" i="3"/>
  <c r="M5" i="3"/>
  <c r="N148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K12" i="3" l="1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<sst xmlns="http://schemas.openxmlformats.org/spreadsheetml/2006/main" count="522" uniqueCount="220">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</sst>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210" zoomScaleNormal="21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="130" zoomScaleNormal="130" workbookViewId="0">
      <pane ySplit="1" topLeftCell="A143" activePane="bottomLeft" state="frozen"/>
      <selection pane="bottomLeft" activeCell="H183" sqref="H18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 t="shared" ref="J10:N10" si="6">+J4-J7-J8-J9</f>
        <v>6651</v>
      </c>
      <c r="K10" s="5">
        <f t="shared" si="6"/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  <c r="J85" s="47">
        <f t="shared" si="23"/>
        <v>-1524</v>
      </c>
      <c r="K85" s="47">
        <f t="shared" ref="K85:N85" si="46">J85</f>
        <v>-1524</v>
      </c>
      <c r="L85" s="47">
        <f t="shared" si="46"/>
        <v>-1524</v>
      </c>
      <c r="M85" s="47">
        <f t="shared" si="46"/>
        <v>-1524</v>
      </c>
      <c r="N85" s="47">
        <f t="shared" si="46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7">J86</f>
        <v>0</v>
      </c>
      <c r="L86" s="47">
        <f t="shared" si="47"/>
        <v>0</v>
      </c>
      <c r="M86" s="47">
        <f t="shared" si="47"/>
        <v>0</v>
      </c>
      <c r="N86" s="47">
        <f t="shared" si="47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8">J87</f>
        <v>0</v>
      </c>
      <c r="L87" s="47">
        <f t="shared" si="48"/>
        <v>0</v>
      </c>
      <c r="M87" s="47">
        <f t="shared" si="48"/>
        <v>0</v>
      </c>
      <c r="N87" s="47">
        <f t="shared" si="48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49">J88</f>
        <v>0</v>
      </c>
      <c r="L88" s="47">
        <f t="shared" si="49"/>
        <v>0</v>
      </c>
      <c r="M88" s="47">
        <f t="shared" si="49"/>
        <v>0</v>
      </c>
      <c r="N88" s="47">
        <f t="shared" si="49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0">J89</f>
        <v>15</v>
      </c>
      <c r="L89" s="47">
        <f t="shared" si="50"/>
        <v>15</v>
      </c>
      <c r="M89" s="47">
        <f t="shared" si="50"/>
        <v>15</v>
      </c>
      <c r="N89" s="47">
        <f t="shared" si="50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1">J90</f>
        <v>0</v>
      </c>
      <c r="L90" s="47">
        <f t="shared" si="51"/>
        <v>0</v>
      </c>
      <c r="M90" s="47">
        <f t="shared" si="51"/>
        <v>0</v>
      </c>
      <c r="N90" s="47">
        <f t="shared" si="51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2">J91</f>
        <v>1151</v>
      </c>
      <c r="L91" s="47">
        <f t="shared" si="52"/>
        <v>1151</v>
      </c>
      <c r="M91" s="47">
        <f t="shared" si="52"/>
        <v>1151</v>
      </c>
      <c r="N91" s="47">
        <f t="shared" si="52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3">J92</f>
        <v>0</v>
      </c>
      <c r="L92" s="47">
        <f t="shared" si="53"/>
        <v>0</v>
      </c>
      <c r="M92" s="47">
        <f t="shared" si="53"/>
        <v>0</v>
      </c>
      <c r="N92" s="47">
        <f t="shared" si="53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4">J93</f>
        <v>-4014</v>
      </c>
      <c r="L93" s="47">
        <f t="shared" si="54"/>
        <v>-4014</v>
      </c>
      <c r="M93" s="47">
        <f t="shared" si="54"/>
        <v>-4014</v>
      </c>
      <c r="N93" s="47">
        <f t="shared" si="54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5">J94</f>
        <v>-1837</v>
      </c>
      <c r="L94" s="47">
        <f t="shared" si="55"/>
        <v>-1837</v>
      </c>
      <c r="M94" s="47">
        <f t="shared" si="55"/>
        <v>-1837</v>
      </c>
      <c r="N94" s="47">
        <f t="shared" si="55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6">J95</f>
        <v>-151</v>
      </c>
      <c r="L95" s="47">
        <f t="shared" si="56"/>
        <v>-151</v>
      </c>
      <c r="M95" s="47">
        <f t="shared" si="56"/>
        <v>-151</v>
      </c>
      <c r="N95" s="47">
        <f t="shared" si="56"/>
        <v>-151</v>
      </c>
    </row>
    <row r="96" spans="1:14" x14ac:dyDescent="0.2">
      <c r="A96" s="27" t="s">
        <v>88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>+SUM(E87:E95)</f>
        <v>-4835</v>
      </c>
      <c r="F96" s="26">
        <f>+SUM(F87:F95)</f>
        <v>-5293</v>
      </c>
      <c r="G96" s="26">
        <f>+SUM(G87:G95)</f>
        <v>2491</v>
      </c>
      <c r="H96" s="26">
        <f>+SUM(H87:H95)</f>
        <v>-1459</v>
      </c>
      <c r="I96" s="26">
        <f>+SUM(I87:I95)</f>
        <v>-4836</v>
      </c>
      <c r="J96" s="47">
        <f t="shared" si="23"/>
        <v>-4836</v>
      </c>
      <c r="K96" s="47">
        <f t="shared" ref="K96:N96" si="57">J96</f>
        <v>-4836</v>
      </c>
      <c r="L96" s="47">
        <f t="shared" si="57"/>
        <v>-4836</v>
      </c>
      <c r="M96" s="47">
        <f t="shared" si="57"/>
        <v>-4836</v>
      </c>
      <c r="N96" s="47">
        <f t="shared" si="57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58">J97</f>
        <v>-143</v>
      </c>
      <c r="L97" s="47">
        <f t="shared" si="58"/>
        <v>-143</v>
      </c>
      <c r="M97" s="47">
        <f t="shared" si="58"/>
        <v>-143</v>
      </c>
      <c r="N97" s="47">
        <f t="shared" si="58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59">J98</f>
        <v>-1315</v>
      </c>
      <c r="L98" s="47">
        <f t="shared" si="59"/>
        <v>-1315</v>
      </c>
      <c r="M98" s="47">
        <f t="shared" si="59"/>
        <v>-1315</v>
      </c>
      <c r="N98" s="47">
        <f t="shared" si="59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0">C100</f>
        <v>3138</v>
      </c>
      <c r="E99" s="3">
        <f t="shared" si="60"/>
        <v>3808</v>
      </c>
      <c r="F99" s="3">
        <f t="shared" si="60"/>
        <v>4249</v>
      </c>
      <c r="G99" s="3">
        <f t="shared" si="60"/>
        <v>4466</v>
      </c>
      <c r="H99" s="3">
        <f t="shared" si="60"/>
        <v>8348</v>
      </c>
      <c r="I99" s="3">
        <f t="shared" si="60"/>
        <v>9889</v>
      </c>
      <c r="J99" s="47">
        <f t="shared" si="23"/>
        <v>9889</v>
      </c>
      <c r="K99" s="47">
        <f t="shared" ref="K99:N99" si="61">J99</f>
        <v>9889</v>
      </c>
      <c r="L99" s="47">
        <f t="shared" si="61"/>
        <v>9889</v>
      </c>
      <c r="M99" s="47">
        <f t="shared" si="61"/>
        <v>9889</v>
      </c>
      <c r="N99" s="47">
        <f t="shared" si="61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2">D98+D99</f>
        <v>3808</v>
      </c>
      <c r="E100" s="7">
        <f t="shared" si="62"/>
        <v>4249</v>
      </c>
      <c r="F100" s="7">
        <f t="shared" si="62"/>
        <v>4466</v>
      </c>
      <c r="G100" s="7">
        <f t="shared" si="62"/>
        <v>8348</v>
      </c>
      <c r="H100" s="7">
        <f t="shared" si="62"/>
        <v>9889</v>
      </c>
      <c r="I100" s="7">
        <f t="shared" si="62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3">+B100-B25</f>
        <v>0</v>
      </c>
      <c r="C101" s="13">
        <f t="shared" si="63"/>
        <v>0</v>
      </c>
      <c r="D101" s="13">
        <f t="shared" si="63"/>
        <v>0</v>
      </c>
      <c r="E101" s="13">
        <f t="shared" si="63"/>
        <v>0</v>
      </c>
      <c r="F101" s="13">
        <f t="shared" si="63"/>
        <v>0</v>
      </c>
      <c r="G101" s="13">
        <f t="shared" si="63"/>
        <v>0</v>
      </c>
      <c r="H101" s="13">
        <f t="shared" si="63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B111:H111" si="64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5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6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7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68">+D111+D115+D119+D123+D127</f>
        <v>32233</v>
      </c>
      <c r="E128" s="5">
        <f t="shared" si="68"/>
        <v>34485</v>
      </c>
      <c r="F128" s="5">
        <f t="shared" si="68"/>
        <v>37218</v>
      </c>
      <c r="G128" s="5">
        <f t="shared" si="68"/>
        <v>35568</v>
      </c>
      <c r="H128" s="5">
        <f t="shared" ref="B128:I128" si="69">+H111+H115+H119+H123+H127</f>
        <v>42293</v>
      </c>
      <c r="I128" s="5">
        <f t="shared" si="69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0">+D128+D129+D134</f>
        <v>34350</v>
      </c>
      <c r="E135" s="7">
        <f t="shared" si="70"/>
        <v>36397</v>
      </c>
      <c r="F135" s="7">
        <f t="shared" si="70"/>
        <v>39117</v>
      </c>
      <c r="G135" s="7">
        <f t="shared" si="70"/>
        <v>37403</v>
      </c>
      <c r="H135" s="7">
        <f t="shared" ref="B135:H135" si="71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+B135-B2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2">C138+C140+C142</f>
        <v>2539</v>
      </c>
      <c r="D143" s="5">
        <f t="shared" si="72"/>
        <v>2705</v>
      </c>
      <c r="E143" s="5">
        <f t="shared" si="72"/>
        <v>2749</v>
      </c>
      <c r="F143" s="5">
        <f t="shared" si="72"/>
        <v>3039</v>
      </c>
      <c r="G143" s="5">
        <f t="shared" si="72"/>
        <v>1921</v>
      </c>
      <c r="H143" s="5">
        <f t="shared" ref="B143:I143" si="73">+SUM(H138:H142)</f>
        <v>8641</v>
      </c>
      <c r="I143" s="5">
        <f t="shared" si="73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4">C138+C140+C142+C144+C145+C139+C141</f>
        <v>4642</v>
      </c>
      <c r="D146" s="7">
        <f t="shared" si="74"/>
        <v>4945</v>
      </c>
      <c r="E146" s="7">
        <f t="shared" si="74"/>
        <v>4379</v>
      </c>
      <c r="F146" s="7">
        <f t="shared" si="74"/>
        <v>4850</v>
      </c>
      <c r="G146" s="7">
        <f t="shared" si="74"/>
        <v>2976</v>
      </c>
      <c r="H146" s="7">
        <f t="shared" ref="H146" si="75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>+B146-B10-B8</f>
        <v>0</v>
      </c>
      <c r="C147" s="13">
        <f>+C146-C10-C8</f>
        <v>0</v>
      </c>
      <c r="D147" s="13">
        <f>+D146-D10-D8</f>
        <v>0</v>
      </c>
      <c r="E147" s="13">
        <f>+E146-E10-E8</f>
        <v>0</v>
      </c>
      <c r="F147" s="13">
        <f>+F146-F10-F8</f>
        <v>0</v>
      </c>
      <c r="G147" s="13">
        <f>+G146-G10-G8</f>
        <v>0</v>
      </c>
      <c r="H147" s="13">
        <f t="shared" ref="B147:H147" si="76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77">+SUM(B149:B153)</f>
        <v>1370</v>
      </c>
      <c r="C154" s="5">
        <f t="shared" si="77"/>
        <v>1487</v>
      </c>
      <c r="D154" s="5">
        <f t="shared" si="77"/>
        <v>2626</v>
      </c>
      <c r="E154" s="5">
        <f t="shared" si="77"/>
        <v>2889</v>
      </c>
      <c r="F154" s="5">
        <f t="shared" si="77"/>
        <v>2971</v>
      </c>
      <c r="G154" s="5">
        <f t="shared" si="77"/>
        <v>2870</v>
      </c>
      <c r="H154" s="5">
        <f t="shared" ref="B154:I154" si="78">+SUM(H149:H153)</f>
        <v>2971</v>
      </c>
      <c r="I154" s="5">
        <f t="shared" si="78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79">+SUM(B154:B156)</f>
        <v>3011</v>
      </c>
      <c r="C157" s="7">
        <f t="shared" si="79"/>
        <v>3520</v>
      </c>
      <c r="D157" s="7">
        <f t="shared" si="79"/>
        <v>3989</v>
      </c>
      <c r="E157" s="7">
        <f t="shared" si="79"/>
        <v>4454</v>
      </c>
      <c r="F157" s="7">
        <f t="shared" si="79"/>
        <v>4744</v>
      </c>
      <c r="G157" s="7">
        <f t="shared" si="79"/>
        <v>4866</v>
      </c>
      <c r="H157" s="7">
        <f t="shared" ref="B157:H157" si="80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>+B157-B31</f>
        <v>0</v>
      </c>
      <c r="C158" s="13">
        <f>+C157-C31</f>
        <v>0</v>
      </c>
      <c r="D158" s="13">
        <f>+D157-D31</f>
        <v>0</v>
      </c>
      <c r="E158" s="13">
        <f>+E157-E31</f>
        <v>0</v>
      </c>
      <c r="F158" s="13">
        <f>+F157-F31</f>
        <v>0</v>
      </c>
      <c r="G158" s="13">
        <f>+G157-G31</f>
        <v>0</v>
      </c>
      <c r="H158" s="13">
        <f t="shared" ref="B158:H158" si="81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2">+SUM(C160:C164)</f>
        <v>840</v>
      </c>
      <c r="D165" s="5">
        <f t="shared" si="82"/>
        <v>784</v>
      </c>
      <c r="E165" s="5">
        <f t="shared" si="82"/>
        <v>847</v>
      </c>
      <c r="F165" s="5">
        <f t="shared" si="82"/>
        <v>724</v>
      </c>
      <c r="G165" s="5">
        <f t="shared" si="82"/>
        <v>756</v>
      </c>
      <c r="H165" s="5">
        <f t="shared" ref="B165:I165" si="83">+SUM(H160:H164)</f>
        <v>677</v>
      </c>
      <c r="I165" s="5">
        <f t="shared" si="83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B167:H167" si="84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85">+SUM(D165:D167)</f>
        <v>1105</v>
      </c>
      <c r="E168" s="7">
        <f t="shared" si="85"/>
        <v>1028</v>
      </c>
      <c r="F168" s="7">
        <f t="shared" si="85"/>
        <v>1119</v>
      </c>
      <c r="G168" s="7">
        <f t="shared" si="85"/>
        <v>1086</v>
      </c>
      <c r="H168" s="7">
        <f t="shared" ref="B168:H168" si="86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>+B168+B82</f>
        <v>0</v>
      </c>
      <c r="C169" s="13">
        <f>+C168+C82</f>
        <v>0</v>
      </c>
      <c r="D169" s="13">
        <f>+D168+D82</f>
        <v>0</v>
      </c>
      <c r="E169" s="13">
        <f>+E168+E82</f>
        <v>0</v>
      </c>
      <c r="F169" s="13">
        <f>+F168+F82</f>
        <v>0</v>
      </c>
      <c r="G169" s="13">
        <f>+G168+G82</f>
        <v>0</v>
      </c>
      <c r="H169" s="13">
        <f t="shared" ref="B169:H169" si="87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88">+SUM(C171:C175)</f>
        <v>538</v>
      </c>
      <c r="D176" s="5">
        <f t="shared" si="88"/>
        <v>587</v>
      </c>
      <c r="E176" s="5">
        <f t="shared" si="88"/>
        <v>604</v>
      </c>
      <c r="F176" s="5">
        <f t="shared" si="88"/>
        <v>558</v>
      </c>
      <c r="G176" s="5">
        <f t="shared" si="88"/>
        <v>584</v>
      </c>
      <c r="H176" s="5">
        <f t="shared" ref="B176:I176" si="89">+SUM(H171:H175)</f>
        <v>577</v>
      </c>
      <c r="I176" s="5">
        <f t="shared" si="89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0">+SUM(B176:B178)</f>
        <v>606</v>
      </c>
      <c r="C179" s="7">
        <f t="shared" si="90"/>
        <v>649</v>
      </c>
      <c r="D179" s="7">
        <f t="shared" si="90"/>
        <v>706</v>
      </c>
      <c r="E179" s="7">
        <f t="shared" si="90"/>
        <v>747</v>
      </c>
      <c r="F179" s="7">
        <f t="shared" si="90"/>
        <v>705</v>
      </c>
      <c r="G179" s="7">
        <f t="shared" si="90"/>
        <v>721</v>
      </c>
      <c r="H179" s="7">
        <f t="shared" ref="B179:H179" si="91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>+B179-B66</f>
        <v>0</v>
      </c>
      <c r="C180" s="13">
        <f>+C179-C66</f>
        <v>0</v>
      </c>
      <c r="D180" s="13">
        <f>+D179-D66</f>
        <v>0</v>
      </c>
      <c r="E180" s="13">
        <f>+E179-E66</f>
        <v>0</v>
      </c>
      <c r="F180" s="13">
        <f>+F179-F66</f>
        <v>0</v>
      </c>
      <c r="G180" s="13">
        <f>+G179-G66</f>
        <v>0</v>
      </c>
      <c r="H180" s="13">
        <f t="shared" ref="B180:H180" si="92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E139" zoomScale="130" zoomScaleNormal="130" workbookViewId="0">
      <selection activeCell="H170" sqref="H170:I170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5731.2612858599869</v>
      </c>
      <c r="K5" s="58">
        <f t="shared" si="5"/>
        <v>6319.6629373606302</v>
      </c>
      <c r="L5" s="58">
        <f t="shared" si="5"/>
        <v>7024.7657685136819</v>
      </c>
      <c r="M5" s="58">
        <f t="shared" si="5"/>
        <v>7868.3128143696267</v>
      </c>
      <c r="N5" s="58">
        <f t="shared" si="5"/>
        <v>8876.5921202070094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-3.9185031708300566E-2</v>
      </c>
      <c r="K6" s="46">
        <f t="shared" si="7"/>
        <v>0.10266529864069041</v>
      </c>
      <c r="L6" s="46">
        <f t="shared" si="7"/>
        <v>0.11157285414458107</v>
      </c>
      <c r="M6" s="46">
        <f t="shared" si="7"/>
        <v>0.12008187513338608</v>
      </c>
      <c r="N6" s="46">
        <f t="shared" si="7"/>
        <v>0.12814428323134242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0.1120483161331073</v>
      </c>
      <c r="K7" s="46">
        <f t="shared" si="8"/>
        <v>0.11237330096706455</v>
      </c>
      <c r="L7" s="46">
        <f t="shared" si="8"/>
        <v>0.11302518398145105</v>
      </c>
      <c r="M7" s="46">
        <f t="shared" si="8"/>
        <v>0.11397450391242263</v>
      </c>
      <c r="N7" s="46">
        <f t="shared" si="8"/>
        <v>0.11518985826539221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 t="shared" si="9"/>
        <v>838.87846929671321</v>
      </c>
      <c r="K8" s="58">
        <f t="shared" si="9"/>
        <v>915.83945997551689</v>
      </c>
      <c r="L8" s="58">
        <f t="shared" si="9"/>
        <v>1003.7121664608547</v>
      </c>
      <c r="M8" s="58">
        <f t="shared" si="9"/>
        <v>1104.2187412375197</v>
      </c>
      <c r="N8" s="58">
        <f t="shared" si="9"/>
        <v>1219.3910730812543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0.14757656538538066</v>
      </c>
      <c r="K9" s="46">
        <f t="shared" si="11"/>
        <v>9.1742717801930329E-2</v>
      </c>
      <c r="L9" s="46">
        <f t="shared" si="11"/>
        <v>9.5947718268971416E-2</v>
      </c>
      <c r="M9" s="46">
        <f t="shared" si="11"/>
        <v>0.10013485751702778</v>
      </c>
      <c r="N9" s="46">
        <f t="shared" si="11"/>
        <v>0.10430209843627414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1.6400389938060755E-2</v>
      </c>
      <c r="K10" s="46">
        <f t="shared" si="12"/>
        <v>1.6285030434918236E-2</v>
      </c>
      <c r="L10" s="46">
        <f t="shared" si="12"/>
        <v>1.6149257643171478E-2</v>
      </c>
      <c r="M10" s="46">
        <f t="shared" si="12"/>
        <v>1.5994888130719143E-2</v>
      </c>
      <c r="N10" s="46">
        <f t="shared" si="12"/>
        <v>1.5823807490102242E-2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4892.382816563274</v>
      </c>
      <c r="K11" s="58">
        <f t="shared" si="14"/>
        <v>5403.8234773851136</v>
      </c>
      <c r="L11" s="58">
        <f t="shared" si="14"/>
        <v>6021.053602052827</v>
      </c>
      <c r="M11" s="58">
        <f t="shared" si="14"/>
        <v>6764.094073132107</v>
      </c>
      <c r="N11" s="58">
        <f t="shared" si="14"/>
        <v>7657.2010471257554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-6.5268854305832291E-2</v>
      </c>
      <c r="K12" s="46">
        <f t="shared" ref="J12:N12" si="16">+IFERROR(K11/J11-1,"nm")</f>
        <v>0.10453815247047826</v>
      </c>
      <c r="L12" s="46">
        <f t="shared" si="16"/>
        <v>0.1142210006027784</v>
      </c>
      <c r="M12" s="46">
        <f t="shared" si="16"/>
        <v>0.12340705135492347</v>
      </c>
      <c r="N12" s="46">
        <f t="shared" si="16"/>
        <v>0.13203645075564352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9.5647926195046556E-2</v>
      </c>
      <c r="K13" s="46">
        <f t="shared" si="17"/>
        <v>9.6088270532146317E-2</v>
      </c>
      <c r="L13" s="46">
        <f t="shared" si="17"/>
        <v>9.6875926338279572E-2</v>
      </c>
      <c r="M13" s="46">
        <f t="shared" si="17"/>
        <v>9.7979615781703486E-2</v>
      </c>
      <c r="N13" s="46">
        <f t="shared" si="17"/>
        <v>9.9366050775289982E-2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5273.3685982141042</v>
      </c>
      <c r="K17" s="58">
        <f t="shared" si="22"/>
        <v>5662.1035886543386</v>
      </c>
      <c r="L17" s="58">
        <f t="shared" si="22"/>
        <v>6109.6191162071264</v>
      </c>
      <c r="M17" s="58">
        <f t="shared" si="22"/>
        <v>6625.5463984760972</v>
      </c>
      <c r="N17" s="58">
        <f t="shared" si="22"/>
        <v>7221.291767050433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0.10068223715593905</v>
      </c>
      <c r="K18" s="46">
        <f t="shared" si="24"/>
        <v>7.3716635429559085E-2</v>
      </c>
      <c r="L18" s="46">
        <f t="shared" si="24"/>
        <v>7.9036972839831909E-2</v>
      </c>
      <c r="M18" s="46">
        <f t="shared" si="24"/>
        <v>8.4445081183597726E-2</v>
      </c>
      <c r="N18" s="46">
        <f t="shared" si="24"/>
        <v>8.9916413340846768E-2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0.1030963416790783</v>
      </c>
      <c r="K19" s="46">
        <f t="shared" si="25"/>
        <v>0.10068088709495072</v>
      </c>
      <c r="L19" s="46">
        <f t="shared" si="25"/>
        <v>9.8300903890779445E-2</v>
      </c>
      <c r="M19" s="46">
        <f t="shared" si="25"/>
        <v>9.5972717624540738E-2</v>
      </c>
      <c r="N19" s="46">
        <f t="shared" si="25"/>
        <v>9.3709338434735293E-2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J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:H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I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 t="shared" si="51"/>
        <v>5238</v>
      </c>
      <c r="J35" s="47">
        <f>+J21*J37</f>
        <v>5457.2008674331173</v>
      </c>
      <c r="K35" s="47">
        <f t="shared" ref="K35:N35" si="52">+K21*K37</f>
        <v>5690.6876356780904</v>
      </c>
      <c r="L35" s="47">
        <f t="shared" si="52"/>
        <v>5940.1957417821604</v>
      </c>
      <c r="M35" s="47">
        <f t="shared" si="52"/>
        <v>6207.7623021618183</v>
      </c>
      <c r="N35" s="47">
        <f t="shared" si="52"/>
        <v>6495.784498448108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 t="shared" ref="J36:N36" si="54">+IFERROR(J35/I35-1,"nm")</f>
        <v>4.1848199204489678E-2</v>
      </c>
      <c r="K36" s="46">
        <f t="shared" si="54"/>
        <v>4.2785078635890095E-2</v>
      </c>
      <c r="L36" s="46">
        <f t="shared" si="54"/>
        <v>4.3844983607914889E-2</v>
      </c>
      <c r="M36" s="46">
        <f t="shared" si="54"/>
        <v>4.504339116262579E-2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56">+J37</f>
        <v>0.28540293140086087</v>
      </c>
      <c r="L37" s="48">
        <f t="shared" si="56"/>
        <v>0.28540293140086087</v>
      </c>
      <c r="M37" s="48">
        <f t="shared" si="56"/>
        <v>0.28540293140086087</v>
      </c>
      <c r="N37" s="48">
        <f t="shared" si="56"/>
        <v>0.28540293140086087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129.18917670135673</v>
      </c>
      <c r="K38" s="47">
        <f t="shared" ref="K38:N38" si="57">+K41*K48</f>
        <v>134.71654578543018</v>
      </c>
      <c r="L38" s="47">
        <f t="shared" si="57"/>
        <v>140.62319052710731</v>
      </c>
      <c r="M38" s="47">
        <f t="shared" si="57"/>
        <v>146.95733590455623</v>
      </c>
      <c r="N38" s="47">
        <f t="shared" si="57"/>
        <v>153.77573077654938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 t="shared" ref="J39:N39" si="59">+IFERROR(J38/I38-1,"nm")</f>
        <v>4.1848199204489678E-2</v>
      </c>
      <c r="K39" s="46">
        <f t="shared" si="59"/>
        <v>4.2785078635890095E-2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6.7563886013185855E-3</v>
      </c>
      <c r="K40" s="46">
        <f t="shared" si="61"/>
        <v>6.7563886013185855E-3</v>
      </c>
      <c r="L40" s="46">
        <f t="shared" si="61"/>
        <v>6.7563886013185864E-3</v>
      </c>
      <c r="M40" s="46">
        <f t="shared" si="61"/>
        <v>6.7563886013185855E-3</v>
      </c>
      <c r="N40" s="46">
        <f t="shared" si="61"/>
        <v>6.7563886013185873E-3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5328.0116907317606</v>
      </c>
      <c r="K42" s="9">
        <f t="shared" ref="K42:N42" si="64">+K35-K38</f>
        <v>5555.9710898926605</v>
      </c>
      <c r="L42" s="9">
        <f t="shared" si="64"/>
        <v>5799.5725512550534</v>
      </c>
      <c r="M42" s="9">
        <f t="shared" si="64"/>
        <v>6060.8049662572621</v>
      </c>
      <c r="N42" s="9">
        <f t="shared" si="64"/>
        <v>6342.0087676715584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4.1848199204489678E-2</v>
      </c>
      <c r="K43" s="46">
        <f t="shared" si="66"/>
        <v>4.2785078635890095E-2</v>
      </c>
      <c r="L43" s="46">
        <f t="shared" si="66"/>
        <v>4.3844983607914889E-2</v>
      </c>
      <c r="M43" s="46">
        <f t="shared" si="66"/>
        <v>4.504339116262579E-2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0.27864654279954232</v>
      </c>
      <c r="K44" s="46">
        <f t="shared" si="68"/>
        <v>0.27864654279954232</v>
      </c>
      <c r="L44" s="46">
        <f t="shared" si="68"/>
        <v>0.27864654279954226</v>
      </c>
      <c r="M44" s="46">
        <f t="shared" si="68"/>
        <v>0.27864654279954226</v>
      </c>
      <c r="N44" s="46">
        <f t="shared" si="68"/>
        <v>0.27864654279954226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665.74099929166903</v>
      </c>
      <c r="K48" s="47">
        <f t="shared" ref="K48:N48" si="74">+K21*K50</f>
        <v>694.22478029749914</v>
      </c>
      <c r="L48" s="47">
        <f t="shared" si="74"/>
        <v>724.66305440985138</v>
      </c>
      <c r="M48" s="47">
        <f t="shared" si="74"/>
        <v>757.30433583073739</v>
      </c>
      <c r="N48" s="47">
        <f t="shared" si="74"/>
        <v>792.44106424366976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:N49" si="76">+K50+K51</f>
        <v>3.4817196098730456E-2</v>
      </c>
      <c r="L49" s="46">
        <f t="shared" si="76"/>
        <v>3.4817196098730456E-2</v>
      </c>
      <c r="M49" s="46">
        <f t="shared" si="76"/>
        <v>3.4817196098730456E-2</v>
      </c>
      <c r="N49" s="46">
        <f t="shared" si="76"/>
        <v>3.4817196098730456E-2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78">+J50</f>
        <v>3.4817196098730456E-2</v>
      </c>
      <c r="L50" s="48">
        <f t="shared" si="78"/>
        <v>3.4817196098730456E-2</v>
      </c>
      <c r="M50" s="48">
        <f t="shared" si="78"/>
        <v>3.4817196098730456E-2</v>
      </c>
      <c r="N50" s="48">
        <f t="shared" si="78"/>
        <v>3.4817196098730456E-2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4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4" x14ac:dyDescent="0.2">
      <c r="A66" s="58" t="s">
        <v>130</v>
      </c>
      <c r="B66" s="58">
        <f>+B73+B69</f>
        <v>0</v>
      </c>
      <c r="C66" s="58">
        <f t="shared" ref="C66:I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 t="shared" si="97"/>
        <v>3427</v>
      </c>
      <c r="J66" s="58">
        <f>+J52*J68</f>
        <v>4010.9548681785395</v>
      </c>
      <c r="K66" s="58">
        <f t="shared" ref="K66:N66" si="98">+K52*K68</f>
        <v>4696.4839402195685</v>
      </c>
      <c r="L66" s="58">
        <f t="shared" si="98"/>
        <v>5501.6195414296008</v>
      </c>
      <c r="M66" s="58">
        <f t="shared" si="98"/>
        <v>6447.6580848565573</v>
      </c>
      <c r="N66" s="58">
        <f t="shared" si="98"/>
        <v>7559.7615322400607</v>
      </c>
    </row>
    <row r="67" spans="1:14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0.17039826909207467</v>
      </c>
      <c r="K67" s="59">
        <f t="shared" si="100"/>
        <v>0.17091418242567813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</row>
    <row r="68" spans="1:14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f>+I68</f>
        <v>0.27462136389133746</v>
      </c>
      <c r="K68" s="59">
        <f t="shared" ref="K68:N68" si="102">+J68</f>
        <v>0.27462136389133746</v>
      </c>
      <c r="L68" s="59">
        <f t="shared" si="102"/>
        <v>0.27462136389133746</v>
      </c>
      <c r="M68" s="59">
        <f t="shared" si="102"/>
        <v>0.27462136389133746</v>
      </c>
      <c r="N68" s="59">
        <f t="shared" si="102"/>
        <v>0.27462136389133746</v>
      </c>
    </row>
    <row r="69" spans="1:14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156.83336805833798</v>
      </c>
      <c r="K69" s="58">
        <f t="shared" ref="K69:N69" si="103">+K72*K79</f>
        <v>183.6384149370943</v>
      </c>
      <c r="L69" s="58">
        <f t="shared" si="103"/>
        <v>215.12022718166517</v>
      </c>
      <c r="M69" s="58">
        <f t="shared" si="103"/>
        <v>252.11152126372298</v>
      </c>
      <c r="N69" s="58">
        <f t="shared" si="103"/>
        <v>295.59616145905107</v>
      </c>
    </row>
    <row r="70" spans="1:14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0.17039826909207445</v>
      </c>
      <c r="K70" s="59">
        <f t="shared" si="105"/>
        <v>0.17091418242567813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4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8.2021358701377112E-3</v>
      </c>
      <c r="K71" s="59">
        <f t="shared" si="107"/>
        <v>9.2099488315368003E-3</v>
      </c>
      <c r="L71" s="59">
        <f t="shared" si="107"/>
        <v>1.0335676821122153E-2</v>
      </c>
      <c r="M71" s="59">
        <f t="shared" si="107"/>
        <v>1.1590870221229259E-2</v>
      </c>
      <c r="N71" s="59">
        <f t="shared" si="107"/>
        <v>1.2987501511389509E-2</v>
      </c>
    </row>
    <row r="72" spans="1:14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4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3854.1215001202017</v>
      </c>
      <c r="K73" s="58">
        <f t="shared" ref="K73:N73" si="110">+K66-K69</f>
        <v>4512.8455252824742</v>
      </c>
      <c r="L73" s="58">
        <f t="shared" si="110"/>
        <v>5286.4993142479352</v>
      </c>
      <c r="M73" s="58">
        <f t="shared" si="110"/>
        <v>6195.546563592834</v>
      </c>
      <c r="N73" s="58">
        <f t="shared" si="110"/>
        <v>7264.1653707810092</v>
      </c>
    </row>
    <row r="74" spans="1:14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0.17039826909207467</v>
      </c>
      <c r="K74" s="59">
        <f t="shared" ref="K74:N74" si="112">+IFERROR(K73/J73-1,"nm")</f>
        <v>0.17091418242567813</v>
      </c>
      <c r="L74" s="59">
        <f t="shared" si="112"/>
        <v>0.17143369624136096</v>
      </c>
      <c r="M74" s="59">
        <f t="shared" si="112"/>
        <v>0.17195637326479463</v>
      </c>
      <c r="N74" s="59">
        <f t="shared" si="112"/>
        <v>0.17248176512266844</v>
      </c>
    </row>
    <row r="75" spans="1:14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0.20156442851017525</v>
      </c>
      <c r="K75" s="59">
        <f t="shared" si="114"/>
        <v>0.22633105598694542</v>
      </c>
      <c r="L75" s="59">
        <f t="shared" si="114"/>
        <v>0.2539954012832481</v>
      </c>
      <c r="M75" s="59">
        <f t="shared" si="114"/>
        <v>0.28484131073513391</v>
      </c>
      <c r="N75" s="59">
        <f t="shared" si="114"/>
        <v>0.3191630035597437</v>
      </c>
    </row>
    <row r="76" spans="1:14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4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4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4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1076.7664075647085</v>
      </c>
      <c r="K79" s="58">
        <f t="shared" ref="K79:N79" si="120">+K52*K81</f>
        <v>1260.8010577770654</v>
      </c>
      <c r="L79" s="58">
        <f t="shared" si="120"/>
        <v>1476.9448433368057</v>
      </c>
      <c r="M79" s="58">
        <f t="shared" si="120"/>
        <v>1730.9149221091429</v>
      </c>
      <c r="N79" s="58">
        <f t="shared" si="120"/>
        <v>2029.4661831516942</v>
      </c>
    </row>
    <row r="80" spans="1:14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7.37238560782114E-2</v>
      </c>
      <c r="K80" s="59">
        <f t="shared" ref="K80:N80" si="122">+K81+K82</f>
        <v>7.37238560782114E-2</v>
      </c>
      <c r="L80" s="59">
        <f t="shared" si="122"/>
        <v>7.37238560782114E-2</v>
      </c>
      <c r="M80" s="59">
        <f t="shared" si="122"/>
        <v>7.37238560782114E-2</v>
      </c>
      <c r="N80" s="59">
        <f t="shared" si="122"/>
        <v>7.37238560782114E-2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f>+I81</f>
        <v>7.37238560782114E-2</v>
      </c>
      <c r="K81" s="59">
        <f t="shared" ref="K81:N81" si="124">+J81</f>
        <v>7.37238560782114E-2</v>
      </c>
      <c r="L81" s="59">
        <f t="shared" si="124"/>
        <v>7.37238560782114E-2</v>
      </c>
      <c r="M81" s="59">
        <f t="shared" si="124"/>
        <v>7.37238560782114E-2</v>
      </c>
      <c r="N81" s="59">
        <f t="shared" si="124"/>
        <v>7.37238560782114E-2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7">
        <f>Historicals!B122</f>
        <v>126</v>
      </c>
      <c r="C93" s="67">
        <f>Historicals!C122</f>
        <v>131</v>
      </c>
      <c r="D93" s="67">
        <f>Historicals!D122</f>
        <v>129</v>
      </c>
      <c r="E93" s="67">
        <f>Historicals!E122</f>
        <v>130</v>
      </c>
      <c r="F93" s="67">
        <f>Historicals!F122</f>
        <v>138</v>
      </c>
      <c r="G93" s="67">
        <f>Historicals!G122</f>
        <v>148</v>
      </c>
      <c r="H93" s="67">
        <f>Historicals!H122</f>
        <v>195</v>
      </c>
      <c r="I93" s="67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4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2436.7006492646083</v>
      </c>
      <c r="K97" s="58">
        <f t="shared" ref="K97:N97" si="144">+K83*K99</f>
        <v>2478.5115542599706</v>
      </c>
      <c r="L97" s="58">
        <f t="shared" si="144"/>
        <v>2531.0922342652711</v>
      </c>
      <c r="M97" s="58">
        <f t="shared" si="144"/>
        <v>2594.1809367563269</v>
      </c>
      <c r="N97" s="58">
        <f t="shared" si="144"/>
        <v>2667.58961388035</v>
      </c>
    </row>
    <row r="98" spans="1:14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1.2760037100834731E-2</v>
      </c>
      <c r="K98" s="59">
        <f t="shared" si="146"/>
        <v>1.7158818834796419E-2</v>
      </c>
      <c r="L98" s="59">
        <f t="shared" si="146"/>
        <v>2.1214619683707747E-2</v>
      </c>
      <c r="M98" s="59">
        <f t="shared" si="146"/>
        <v>2.4925485384126755E-2</v>
      </c>
      <c r="N98" s="59">
        <f t="shared" si="146"/>
        <v>2.8297439119959966E-2</v>
      </c>
    </row>
    <row r="99" spans="1:14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f>+I99</f>
        <v>0.31880217304889358</v>
      </c>
      <c r="K99" s="59">
        <f t="shared" ref="K99:N99" si="148">+J99</f>
        <v>0.31880217304889358</v>
      </c>
      <c r="L99" s="59">
        <f t="shared" si="148"/>
        <v>0.31880217304889358</v>
      </c>
      <c r="M99" s="59">
        <f t="shared" si="148"/>
        <v>0.31880217304889358</v>
      </c>
      <c r="N99" s="59">
        <f t="shared" si="148"/>
        <v>0.31880217304889358</v>
      </c>
    </row>
    <row r="100" spans="1:14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41.52316152113422</v>
      </c>
      <c r="K100" s="58">
        <f t="shared" ref="K100:N100" si="149">+K103*K110</f>
        <v>42.235649927123362</v>
      </c>
      <c r="L100" s="58">
        <f t="shared" si="149"/>
        <v>43.131663177421494</v>
      </c>
      <c r="M100" s="58">
        <f t="shared" si="149"/>
        <v>44.206740817543398</v>
      </c>
      <c r="N100" s="58">
        <f t="shared" si="149"/>
        <v>45.457678374519688</v>
      </c>
    </row>
    <row r="101" spans="1:14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1.2760037100834731E-2</v>
      </c>
      <c r="K101" s="59">
        <f t="shared" si="151"/>
        <v>1.7158818834796641E-2</v>
      </c>
      <c r="L101" s="59">
        <f t="shared" si="151"/>
        <v>2.1214619683707525E-2</v>
      </c>
      <c r="M101" s="59">
        <f t="shared" si="151"/>
        <v>2.4925485384126977E-2</v>
      </c>
      <c r="N101" s="59">
        <f t="shared" si="151"/>
        <v>2.8297439119960188E-2</v>
      </c>
    </row>
    <row r="102" spans="1:14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2.1715953484294902E-3</v>
      </c>
      <c r="K102" s="59">
        <f t="shared" si="153"/>
        <v>2.1182287748930735E-3</v>
      </c>
      <c r="L102" s="59">
        <f t="shared" si="153"/>
        <v>2.0723059714085248E-3</v>
      </c>
      <c r="M102" s="59">
        <f t="shared" si="153"/>
        <v>2.0324124544219852E-3</v>
      </c>
      <c r="N102" s="59">
        <f t="shared" si="153"/>
        <v>1.9972575546286929E-3</v>
      </c>
    </row>
    <row r="103" spans="1:14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4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2395.1774877434741</v>
      </c>
      <c r="K104" s="58">
        <f t="shared" ref="K104:N104" si="156">+K97-K100</f>
        <v>2436.2759043328474</v>
      </c>
      <c r="L104" s="58">
        <f t="shared" si="156"/>
        <v>2487.9605710878495</v>
      </c>
      <c r="M104" s="58">
        <f t="shared" si="156"/>
        <v>2549.9741959387834</v>
      </c>
      <c r="N104" s="58">
        <f t="shared" si="156"/>
        <v>2622.1319355058304</v>
      </c>
    </row>
    <row r="105" spans="1:14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1.2760037100834731E-2</v>
      </c>
      <c r="K105" s="59">
        <f t="shared" ref="K105:N105" si="158">+IFERROR(K104/J104-1,"nm")</f>
        <v>1.7158818834796419E-2</v>
      </c>
      <c r="L105" s="59">
        <f t="shared" si="158"/>
        <v>2.1214619683707525E-2</v>
      </c>
      <c r="M105" s="59">
        <f t="shared" si="158"/>
        <v>2.4925485384126755E-2</v>
      </c>
      <c r="N105" s="59">
        <f t="shared" si="158"/>
        <v>2.8297439119960188E-2</v>
      </c>
    </row>
    <row r="106" spans="1:14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0.12526397558623767</v>
      </c>
      <c r="K106" s="59">
        <f t="shared" si="160"/>
        <v>0.12218563542980777</v>
      </c>
      <c r="L106" s="59">
        <f t="shared" si="160"/>
        <v>0.11953667371661368</v>
      </c>
      <c r="M106" s="59">
        <f t="shared" si="160"/>
        <v>0.11723549889531694</v>
      </c>
      <c r="N106" s="59">
        <f t="shared" si="160"/>
        <v>0.1152076613828502</v>
      </c>
    </row>
    <row r="107" spans="1:14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4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4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4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306.86629124155291</v>
      </c>
      <c r="K110" s="58">
        <f t="shared" ref="K110:N110" si="166">+K83*K112</f>
        <v>312.13175433947265</v>
      </c>
      <c r="L110" s="58">
        <f t="shared" si="166"/>
        <v>318.75351079899298</v>
      </c>
      <c r="M110" s="58">
        <f t="shared" si="166"/>
        <v>326.69859677355242</v>
      </c>
      <c r="N110" s="58">
        <f t="shared" si="166"/>
        <v>335.94333042632843</v>
      </c>
    </row>
    <row r="111" spans="1:14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4.0148403339075128E-2</v>
      </c>
      <c r="K111" s="59">
        <f t="shared" ref="K111:N111" si="168">+K112+K113</f>
        <v>4.0148403339075128E-2</v>
      </c>
      <c r="L111" s="59">
        <f t="shared" si="168"/>
        <v>4.0148403339075128E-2</v>
      </c>
      <c r="M111" s="59">
        <f t="shared" si="168"/>
        <v>4.0148403339075128E-2</v>
      </c>
      <c r="N111" s="59">
        <f t="shared" si="168"/>
        <v>4.0148403339075128E-2</v>
      </c>
    </row>
    <row r="112" spans="1:14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f>+I112</f>
        <v>4.0148403339075128E-2</v>
      </c>
      <c r="K112" s="59">
        <f t="shared" ref="K112:N112" si="170">+J112</f>
        <v>4.0148403339075128E-2</v>
      </c>
      <c r="L112" s="59">
        <f t="shared" si="170"/>
        <v>4.0148403339075128E-2</v>
      </c>
      <c r="M112" s="59">
        <f t="shared" si="170"/>
        <v>4.0148403339075128E-2</v>
      </c>
      <c r="N112" s="59">
        <f t="shared" si="170"/>
        <v>4.0148403339075128E-2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I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 t="shared" si="189"/>
        <v>330</v>
      </c>
      <c r="J128" s="58">
        <f>+J114*J130</f>
        <v>393.22478589420655</v>
      </c>
      <c r="K128" s="58">
        <f>+K114*K130</f>
        <v>468.98168060453395</v>
      </c>
      <c r="L128" s="58">
        <f t="shared" ref="K128:N128" si="190">+L114*L130</f>
        <v>559.8603117783374</v>
      </c>
      <c r="M128" s="58">
        <f t="shared" si="190"/>
        <v>669.01375741078073</v>
      </c>
      <c r="N128" s="58">
        <f t="shared" si="190"/>
        <v>800.2889691359353</v>
      </c>
    </row>
    <row r="129" spans="1:14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0.19159026028547443</v>
      </c>
      <c r="K129" s="59">
        <f t="shared" si="192"/>
        <v>0.19265544143676916</v>
      </c>
      <c r="L129" s="59">
        <f t="shared" si="192"/>
        <v>0.19377863770000081</v>
      </c>
      <c r="M129" s="59">
        <f t="shared" si="192"/>
        <v>0.19496550002933577</v>
      </c>
      <c r="N129" s="59">
        <f t="shared" si="192"/>
        <v>0.19622199135816931</v>
      </c>
    </row>
    <row r="130" spans="1:14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f>+I130</f>
        <v>5.5415617128463476E-2</v>
      </c>
      <c r="K130" s="59">
        <f t="shared" ref="K130:N130" si="194">+J130</f>
        <v>5.5415617128463476E-2</v>
      </c>
      <c r="L130" s="59">
        <f t="shared" si="194"/>
        <v>5.5415617128463476E-2</v>
      </c>
      <c r="M130" s="59">
        <f t="shared" si="194"/>
        <v>5.5415617128463476E-2</v>
      </c>
      <c r="N130" s="59">
        <f t="shared" si="194"/>
        <v>5.5415617128463476E-2</v>
      </c>
    </row>
    <row r="131" spans="1:14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66.729054575986567</v>
      </c>
      <c r="K131" s="58">
        <f t="shared" ref="K131:N131" si="195">+K134*K141</f>
        <v>79.584770041981514</v>
      </c>
      <c r="L131" s="58">
        <f t="shared" si="195"/>
        <v>95.006598362384537</v>
      </c>
      <c r="M131" s="58">
        <f t="shared" si="195"/>
        <v>113.5296073181931</v>
      </c>
      <c r="N131" s="58">
        <f t="shared" si="195"/>
        <v>135.80661294427995</v>
      </c>
    </row>
    <row r="132" spans="1:14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0.19159026028547443</v>
      </c>
      <c r="K132" s="59">
        <f t="shared" si="197"/>
        <v>0.19265544143676916</v>
      </c>
      <c r="L132" s="59">
        <f t="shared" si="197"/>
        <v>0.19377863770000081</v>
      </c>
      <c r="M132" s="59">
        <f t="shared" si="197"/>
        <v>0.19496550002933577</v>
      </c>
      <c r="N132" s="59">
        <f t="shared" si="197"/>
        <v>0.19622199135816931</v>
      </c>
    </row>
    <row r="133" spans="1:14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3.4898234916085403E-3</v>
      </c>
      <c r="K133" s="59">
        <f t="shared" si="199"/>
        <v>3.9913852453330829E-3</v>
      </c>
      <c r="L133" s="59">
        <f t="shared" si="199"/>
        <v>4.5646916118144212E-3</v>
      </c>
      <c r="M133" s="59">
        <f t="shared" si="199"/>
        <v>5.2195430740183514E-3</v>
      </c>
      <c r="N133" s="59">
        <f t="shared" si="199"/>
        <v>5.9668859776951582E-3</v>
      </c>
    </row>
    <row r="134" spans="1:14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4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326.49573131822001</v>
      </c>
      <c r="K135" s="58">
        <f t="shared" ref="K135:N135" si="202">+K128-K131</f>
        <v>389.39691056255242</v>
      </c>
      <c r="L135" s="58">
        <f t="shared" si="202"/>
        <v>464.85371341595288</v>
      </c>
      <c r="M135" s="58">
        <f t="shared" si="202"/>
        <v>555.48415009258758</v>
      </c>
      <c r="N135" s="58">
        <f t="shared" si="202"/>
        <v>664.4823561916553</v>
      </c>
    </row>
    <row r="136" spans="1:14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0.19159026028547443</v>
      </c>
      <c r="K136" s="59">
        <f t="shared" ref="K136:N136" si="204">+IFERROR(K135/J135-1,"nm")</f>
        <v>0.19265544143676894</v>
      </c>
      <c r="L136" s="59">
        <f t="shared" si="204"/>
        <v>0.19377863770000081</v>
      </c>
      <c r="M136" s="59">
        <f t="shared" si="204"/>
        <v>0.19496550002933555</v>
      </c>
      <c r="N136" s="59">
        <f t="shared" si="204"/>
        <v>0.19622199135816931</v>
      </c>
    </row>
    <row r="137" spans="1:14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1.7075207798227503E-2</v>
      </c>
      <c r="K137" s="59">
        <f t="shared" si="206"/>
        <v>1.9529277807522585E-2</v>
      </c>
      <c r="L137" s="59">
        <f t="shared" si="206"/>
        <v>2.2334383957806275E-2</v>
      </c>
      <c r="M137" s="59">
        <f t="shared" si="206"/>
        <v>2.5538478612161217E-2</v>
      </c>
      <c r="N137" s="59">
        <f t="shared" si="206"/>
        <v>2.9195120676579873E-2</v>
      </c>
    </row>
    <row r="138" spans="1:14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4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4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4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326.49573131822001</v>
      </c>
      <c r="K141" s="58">
        <f t="shared" ref="K141:N141" si="212">+K114*K143</f>
        <v>389.39691056255242</v>
      </c>
      <c r="L141" s="58">
        <f t="shared" si="212"/>
        <v>464.85371341595288</v>
      </c>
      <c r="M141" s="58">
        <f t="shared" si="212"/>
        <v>555.4841500925877</v>
      </c>
      <c r="N141" s="58">
        <f t="shared" si="212"/>
        <v>664.48235619165541</v>
      </c>
    </row>
    <row r="142" spans="1:14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4.6011754827875735E-2</v>
      </c>
      <c r="K142" s="59">
        <f t="shared" ref="K142:N142" si="214">+K143+K144</f>
        <v>4.6011754827875735E-2</v>
      </c>
      <c r="L142" s="59">
        <f t="shared" si="214"/>
        <v>4.6011754827875735E-2</v>
      </c>
      <c r="M142" s="59">
        <f t="shared" si="214"/>
        <v>4.6011754827875735E-2</v>
      </c>
      <c r="N142" s="59">
        <f t="shared" si="214"/>
        <v>4.6011754827875735E-2</v>
      </c>
    </row>
    <row r="143" spans="1:14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f>+I143</f>
        <v>4.6011754827875735E-2</v>
      </c>
      <c r="K143" s="59">
        <f t="shared" ref="K143:N143" si="216">+J143</f>
        <v>4.6011754827875735E-2</v>
      </c>
      <c r="L143" s="59">
        <f t="shared" si="216"/>
        <v>4.6011754827875735E-2</v>
      </c>
      <c r="M143" s="59">
        <f t="shared" si="216"/>
        <v>4.6011754827875735E-2</v>
      </c>
      <c r="N143" s="59">
        <f t="shared" si="216"/>
        <v>4.6011754827875735E-2</v>
      </c>
    </row>
    <row r="144" spans="1:14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6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f>+IFERROR(J147/I147-1,"nm")</f>
        <v>0.29999999999999982</v>
      </c>
      <c r="K148" s="59">
        <f t="shared" ref="J148:N148" si="222">+IFERROR(K147/J147-1,"nm")</f>
        <v>0.10000000000000009</v>
      </c>
      <c r="L148" s="59">
        <f t="shared" si="222"/>
        <v>0.10000000000000009</v>
      </c>
      <c r="M148" s="59">
        <f t="shared" si="222"/>
        <v>0.10000000000000009</v>
      </c>
      <c r="N148" s="59">
        <f t="shared" si="222"/>
        <v>0.10000000000000009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B149:H149" si="223">+IFERROR(C147/C$145,"nm")</f>
        <v>-32.410958904109592</v>
      </c>
      <c r="D149" s="59">
        <f t="shared" si="223"/>
        <v>-33.479452054794521</v>
      </c>
      <c r="E149" s="59">
        <f t="shared" si="223"/>
        <v>-27.738636363636363</v>
      </c>
      <c r="F149" s="59">
        <f t="shared" si="223"/>
        <v>-73.023809523809518</v>
      </c>
      <c r="G149" s="59">
        <f t="shared" si="223"/>
        <v>-108.46666666666667</v>
      </c>
      <c r="H149" s="59">
        <f t="shared" si="223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4">J149</f>
        <v>-39.627450980392155</v>
      </c>
      <c r="L149" s="59">
        <f t="shared" si="224"/>
        <v>-39.627450980392155</v>
      </c>
      <c r="M149" s="59">
        <f t="shared" si="224"/>
        <v>-39.627450980392155</v>
      </c>
      <c r="N149" s="59">
        <f t="shared" si="224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5">+K153*K160</f>
        <v>314.60000000000002</v>
      </c>
      <c r="L150" s="58">
        <f t="shared" si="225"/>
        <v>346.06000000000006</v>
      </c>
      <c r="M150" s="58">
        <f t="shared" si="225"/>
        <v>380.66600000000011</v>
      </c>
      <c r="N150" s="58">
        <f t="shared" si="225"/>
        <v>418.7326000000001</v>
      </c>
    </row>
    <row r="151" spans="1:15" x14ac:dyDescent="0.2">
      <c r="A151" s="58" t="s">
        <v>129</v>
      </c>
      <c r="B151" s="59" t="str">
        <f t="shared" ref="B151:H151" si="226">+IFERROR(B150/A150-1,"nm")</f>
        <v>nm</v>
      </c>
      <c r="C151" s="59">
        <f t="shared" si="226"/>
        <v>9.5238095238095344E-2</v>
      </c>
      <c r="D151" s="59">
        <f t="shared" si="226"/>
        <v>1.304347826086949E-2</v>
      </c>
      <c r="E151" s="59">
        <f t="shared" si="226"/>
        <v>-6.8669527896995763E-2</v>
      </c>
      <c r="F151" s="59">
        <f t="shared" si="226"/>
        <v>-0.10138248847926268</v>
      </c>
      <c r="G151" s="59">
        <f t="shared" si="226"/>
        <v>9.7435897435897534E-2</v>
      </c>
      <c r="H151" s="59">
        <f t="shared" si="226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J151:N151" si="227">+IFERROR(K150/J150-1,"nm")</f>
        <v>0.10000000000000009</v>
      </c>
      <c r="L151" s="59">
        <f t="shared" si="227"/>
        <v>0.10000000000000009</v>
      </c>
      <c r="M151" s="59">
        <f t="shared" si="227"/>
        <v>0.10000000000000009</v>
      </c>
      <c r="N151" s="59">
        <f t="shared" si="227"/>
        <v>9.9999999999999867E-2</v>
      </c>
    </row>
    <row r="152" spans="1:15" x14ac:dyDescent="0.2">
      <c r="A152" s="58" t="s">
        <v>133</v>
      </c>
      <c r="B152" s="59">
        <f t="shared" ref="B152:H152" si="228">+IFERROR(B150/B$21,"nm")</f>
        <v>1.5283842794759825E-2</v>
      </c>
      <c r="C152" s="59">
        <f t="shared" si="228"/>
        <v>1.5578434028718504E-2</v>
      </c>
      <c r="D152" s="59">
        <f t="shared" si="228"/>
        <v>1.5312828601472135E-2</v>
      </c>
      <c r="E152" s="59">
        <f t="shared" si="228"/>
        <v>1.460787613598115E-2</v>
      </c>
      <c r="F152" s="59">
        <f t="shared" si="228"/>
        <v>1.2262608476921143E-2</v>
      </c>
      <c r="G152" s="59">
        <f t="shared" si="228"/>
        <v>1.4774924054128693E-2</v>
      </c>
      <c r="H152" s="59">
        <f t="shared" si="228"/>
        <v>1.2922754525874615E-2</v>
      </c>
      <c r="I152" s="59">
        <f>+IFERROR(I150/I$52,"nm")</f>
        <v>1.7629617757833161E-2</v>
      </c>
      <c r="J152" s="59">
        <f t="shared" ref="J152:N152" si="229">+IFERROR(J150/J$21,"nm")</f>
        <v>1.4957345416358105E-2</v>
      </c>
      <c r="K152" s="59">
        <f t="shared" si="229"/>
        <v>1.577801629029528E-2</v>
      </c>
      <c r="L152" s="59">
        <f t="shared" si="229"/>
        <v>1.6626815467692024E-2</v>
      </c>
      <c r="M152" s="59">
        <f t="shared" si="229"/>
        <v>1.750118432318289E-2</v>
      </c>
      <c r="N152" s="59">
        <f t="shared" si="229"/>
        <v>1.839770262416424E-2</v>
      </c>
    </row>
    <row r="153" spans="1:15" x14ac:dyDescent="0.2">
      <c r="A153" s="58" t="s">
        <v>140</v>
      </c>
      <c r="B153" s="59">
        <f t="shared" ref="B153:H153" si="230">+IFERROR(B150/B160,"nm")</f>
        <v>0.43388429752066116</v>
      </c>
      <c r="C153" s="59">
        <f t="shared" si="230"/>
        <v>0.45009784735812131</v>
      </c>
      <c r="D153" s="59">
        <f t="shared" si="230"/>
        <v>0.43714821763602252</v>
      </c>
      <c r="E153" s="59">
        <f t="shared" si="230"/>
        <v>0.36348408710217756</v>
      </c>
      <c r="F153" s="59">
        <f t="shared" si="230"/>
        <v>0.2932330827067669</v>
      </c>
      <c r="G153" s="59">
        <f t="shared" si="230"/>
        <v>0.25783132530120484</v>
      </c>
      <c r="H153" s="59">
        <f t="shared" si="230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1">+J153</f>
        <v>0.27883396704689478</v>
      </c>
      <c r="L153" s="59">
        <f t="shared" si="231"/>
        <v>0.27883396704689478</v>
      </c>
      <c r="M153" s="59">
        <f t="shared" si="231"/>
        <v>0.27883396704689478</v>
      </c>
      <c r="N153" s="59">
        <f t="shared" si="231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J154:N154" si="232">+M147-M150</f>
        <v>-7374.5386000000017</v>
      </c>
      <c r="N154" s="58">
        <f t="shared" si="232"/>
        <v>-8111.9924600000031</v>
      </c>
    </row>
    <row r="155" spans="1:15" x14ac:dyDescent="0.2">
      <c r="A155" s="58" t="s">
        <v>129</v>
      </c>
      <c r="B155" s="59" t="str">
        <f t="shared" ref="B155:H155" si="233">+IFERROR(B154/A154-1,"nm")</f>
        <v>nm</v>
      </c>
      <c r="C155" s="59">
        <f t="shared" si="233"/>
        <v>0.145125716806352</v>
      </c>
      <c r="D155" s="59">
        <f t="shared" si="233"/>
        <v>3.1201848998459125E-2</v>
      </c>
      <c r="E155" s="59">
        <f t="shared" si="233"/>
        <v>-7.097497198356395E-3</v>
      </c>
      <c r="F155" s="59">
        <f t="shared" si="233"/>
        <v>0.22723852520692245</v>
      </c>
      <c r="G155" s="59">
        <f t="shared" si="233"/>
        <v>6.3151440833844275E-2</v>
      </c>
      <c r="H155" s="59">
        <f t="shared" si="233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4">+IFERROR(K154/J154-1,"nm")</f>
        <v>0.10000000000000031</v>
      </c>
      <c r="L155" s="59">
        <f t="shared" si="234"/>
        <v>0.10000000000000009</v>
      </c>
      <c r="M155" s="59">
        <f t="shared" si="234"/>
        <v>0.10000000000000009</v>
      </c>
      <c r="N155" s="59">
        <f t="shared" si="234"/>
        <v>0.10000000000000009</v>
      </c>
    </row>
    <row r="156" spans="1:15" x14ac:dyDescent="0.2">
      <c r="A156" s="58" t="s">
        <v>131</v>
      </c>
      <c r="B156" s="59">
        <f t="shared" ref="B156:G156" si="235">+IFERROR(B154/B$145,"nm")</f>
        <v>-19.713043478260868</v>
      </c>
      <c r="C156" s="59">
        <f t="shared" si="235"/>
        <v>-35.561643835616437</v>
      </c>
      <c r="D156" s="59">
        <f t="shared" si="235"/>
        <v>-36.671232876712331</v>
      </c>
      <c r="E156" s="59">
        <f t="shared" si="235"/>
        <v>-30.204545454545453</v>
      </c>
      <c r="F156" s="59">
        <f t="shared" si="235"/>
        <v>-77.666666666666671</v>
      </c>
      <c r="G156" s="59">
        <f t="shared" si="235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6">+IFERROR(J154/J$21,"nm")</f>
        <v>-0.28976457347508289</v>
      </c>
      <c r="K156" s="59">
        <f t="shared" si="236"/>
        <v>-0.30566320649653855</v>
      </c>
      <c r="L156" s="59">
        <f t="shared" si="236"/>
        <v>-0.32210676146956096</v>
      </c>
      <c r="M156" s="59">
        <f t="shared" si="236"/>
        <v>-0.33904567084275211</v>
      </c>
      <c r="N156" s="59">
        <f t="shared" si="236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7">+IFERROR(B157/A157-1,"nm")</f>
        <v>nm</v>
      </c>
      <c r="C158" s="59">
        <f t="shared" si="237"/>
        <v>0.14666666666666672</v>
      </c>
      <c r="D158" s="59">
        <f t="shared" si="237"/>
        <v>7.7519379844961156E-2</v>
      </c>
      <c r="E158" s="59">
        <f t="shared" si="237"/>
        <v>2.877697841726623E-2</v>
      </c>
      <c r="F158" s="59">
        <f t="shared" si="237"/>
        <v>-2.7972027972028024E-2</v>
      </c>
      <c r="G158" s="59">
        <f t="shared" si="237"/>
        <v>0.57553956834532372</v>
      </c>
      <c r="H158" s="59">
        <f t="shared" si="237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8">+IFERROR(K157/J157-1,"nm")</f>
        <v>0.10000000000000009</v>
      </c>
      <c r="L158" s="59">
        <f t="shared" si="238"/>
        <v>0.10000000000000009</v>
      </c>
      <c r="M158" s="59">
        <f t="shared" si="238"/>
        <v>0.10000000000000031</v>
      </c>
      <c r="N158" s="59">
        <f t="shared" si="238"/>
        <v>0.10000000000000009</v>
      </c>
    </row>
    <row r="159" spans="1:15" x14ac:dyDescent="0.2">
      <c r="A159" s="58" t="s">
        <v>133</v>
      </c>
      <c r="B159" s="59">
        <f t="shared" ref="B159:H159" si="239">+IFERROR(B157/B$145,"nm")</f>
        <v>1.9565217391304348</v>
      </c>
      <c r="C159" s="59">
        <f t="shared" si="239"/>
        <v>3.5342465753424657</v>
      </c>
      <c r="D159" s="59">
        <f t="shared" si="239"/>
        <v>3.8082191780821919</v>
      </c>
      <c r="E159" s="59">
        <f t="shared" si="239"/>
        <v>3.25</v>
      </c>
      <c r="F159" s="59">
        <f t="shared" si="239"/>
        <v>6.6190476190476186</v>
      </c>
      <c r="G159" s="59">
        <f t="shared" si="239"/>
        <v>14.6</v>
      </c>
      <c r="H159" s="59">
        <f t="shared" si="239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40">+J159</f>
        <v>2.1764705882352939</v>
      </c>
      <c r="L159" s="59">
        <f t="shared" si="240"/>
        <v>2.1764705882352939</v>
      </c>
      <c r="M159" s="59">
        <f t="shared" si="240"/>
        <v>2.1764705882352939</v>
      </c>
      <c r="N159" s="59">
        <f t="shared" si="240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1">+IFERROR(B160/A160-1,"nm")</f>
        <v>nm</v>
      </c>
      <c r="C161" s="59">
        <f t="shared" si="241"/>
        <v>5.5785123966942241E-2</v>
      </c>
      <c r="D161" s="59">
        <f t="shared" si="241"/>
        <v>4.3052837573385627E-2</v>
      </c>
      <c r="E161" s="59">
        <f t="shared" si="241"/>
        <v>0.12007504690431525</v>
      </c>
      <c r="F161" s="59">
        <f t="shared" si="241"/>
        <v>0.11390284757118918</v>
      </c>
      <c r="G161" s="59">
        <f t="shared" si="241"/>
        <v>0.24812030075187974</v>
      </c>
      <c r="H161" s="59">
        <f t="shared" si="241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2">+K162+K163</f>
        <v>7.7352941176470589</v>
      </c>
      <c r="L161" s="59">
        <f t="shared" si="242"/>
        <v>7.7352941176470589</v>
      </c>
      <c r="M161" s="59">
        <f t="shared" si="242"/>
        <v>7.7352941176470589</v>
      </c>
      <c r="N161" s="59">
        <f t="shared" si="242"/>
        <v>7.7352941176470589</v>
      </c>
    </row>
    <row r="162" spans="1:15" x14ac:dyDescent="0.2">
      <c r="A162" s="58" t="s">
        <v>133</v>
      </c>
      <c r="B162" s="59">
        <f t="shared" ref="B162:H162" si="243">+IFERROR(B160/B$145,"nm")</f>
        <v>4.2086956521739127</v>
      </c>
      <c r="C162" s="59">
        <f t="shared" si="243"/>
        <v>7</v>
      </c>
      <c r="D162" s="59">
        <f t="shared" si="243"/>
        <v>7.3013698630136989</v>
      </c>
      <c r="E162" s="59">
        <f t="shared" si="243"/>
        <v>6.7840909090909092</v>
      </c>
      <c r="F162" s="59">
        <f t="shared" si="243"/>
        <v>15.833333333333334</v>
      </c>
      <c r="G162" s="59">
        <f t="shared" si="243"/>
        <v>27.666666666666668</v>
      </c>
      <c r="H162" s="59">
        <f t="shared" si="243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4">+J162</f>
        <v>7.7352941176470589</v>
      </c>
      <c r="L162" s="59">
        <f t="shared" si="244"/>
        <v>7.7352941176470589</v>
      </c>
      <c r="M162" s="59">
        <f t="shared" si="244"/>
        <v>7.7352941176470589</v>
      </c>
      <c r="N162" s="59">
        <f t="shared" si="244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5">+SUM(K166+K170+K174+K178)</f>
        <v>2886.0150000000003</v>
      </c>
      <c r="L164" s="58">
        <f t="shared" si="245"/>
        <v>3174.6165000000005</v>
      </c>
      <c r="M164" s="58">
        <f t="shared" si="245"/>
        <v>3492.0781500000012</v>
      </c>
      <c r="N164" s="58">
        <f t="shared" si="245"/>
        <v>3841.2859650000009</v>
      </c>
    </row>
    <row r="165" spans="1:15" x14ac:dyDescent="0.2">
      <c r="A165" s="58" t="s">
        <v>129</v>
      </c>
      <c r="B165" s="59" t="str">
        <f t="shared" ref="B165:H165" si="246">+IFERROR(B164/A164-1,"nm")</f>
        <v>nm</v>
      </c>
      <c r="C165" s="59">
        <f t="shared" si="246"/>
        <v>-1.3622603430877955E-2</v>
      </c>
      <c r="D165" s="59">
        <f t="shared" si="246"/>
        <v>4.4501278772378416E-2</v>
      </c>
      <c r="E165" s="59">
        <f t="shared" si="246"/>
        <v>-7.6395690499510338E-2</v>
      </c>
      <c r="F165" s="59">
        <f t="shared" si="246"/>
        <v>1.0604453870625585E-2</v>
      </c>
      <c r="G165" s="59">
        <f t="shared" si="246"/>
        <v>-3.147953830010497E-2</v>
      </c>
      <c r="H165" s="59">
        <f t="shared" si="246"/>
        <v>0.19447453954496208</v>
      </c>
      <c r="I165" s="59">
        <f>+IFERROR(I164/H164-1,"nm")</f>
        <v>6.3945578231292544E-2</v>
      </c>
      <c r="J165" s="59">
        <f t="shared" ref="J165:N165" si="247">+IFERROR(J164/I164-1,"nm")</f>
        <v>0.11835038363171368</v>
      </c>
      <c r="K165" s="59">
        <f t="shared" si="247"/>
        <v>0.10000000000000009</v>
      </c>
      <c r="L165" s="59">
        <f t="shared" si="247"/>
        <v>0.10000000000000009</v>
      </c>
      <c r="M165" s="59">
        <f t="shared" si="247"/>
        <v>0.10000000000000009</v>
      </c>
      <c r="N165" s="59">
        <f t="shared" si="247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8">+J166*(1+K167)</f>
        <v>2533.7400000000002</v>
      </c>
      <c r="L166" s="58">
        <f t="shared" si="248"/>
        <v>2787.1140000000005</v>
      </c>
      <c r="M166" s="58">
        <f t="shared" si="248"/>
        <v>3065.8254000000006</v>
      </c>
      <c r="N166" s="58">
        <f t="shared" si="248"/>
        <v>3372.407940000001</v>
      </c>
    </row>
    <row r="167" spans="1:15" x14ac:dyDescent="0.2">
      <c r="A167" s="58" t="s">
        <v>129</v>
      </c>
      <c r="B167" s="59" t="str">
        <f t="shared" ref="B167:H167" si="249">+IFERROR(B166/A166-1,"nm")</f>
        <v>nm</v>
      </c>
      <c r="C167" s="59" t="str">
        <f t="shared" si="249"/>
        <v>nm</v>
      </c>
      <c r="D167" s="59" t="str">
        <f t="shared" si="249"/>
        <v>nm</v>
      </c>
      <c r="E167" s="59" t="str">
        <f t="shared" si="249"/>
        <v>nm</v>
      </c>
      <c r="F167" s="59" t="str">
        <f t="shared" si="249"/>
        <v>nm</v>
      </c>
      <c r="G167" s="59" t="str">
        <f t="shared" si="249"/>
        <v>nm</v>
      </c>
      <c r="H167" s="59" t="str">
        <f t="shared" si="249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50">+K168+K169</f>
        <v>0.1</v>
      </c>
      <c r="L167" s="59">
        <f t="shared" si="250"/>
        <v>0.1</v>
      </c>
      <c r="M167" s="59">
        <f t="shared" si="250"/>
        <v>0.1</v>
      </c>
      <c r="N167" s="59">
        <f t="shared" si="250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1">+J168</f>
        <v>0.1</v>
      </c>
      <c r="L168" s="59">
        <f t="shared" si="251"/>
        <v>0.1</v>
      </c>
      <c r="M168" s="59">
        <f t="shared" si="251"/>
        <v>0.1</v>
      </c>
      <c r="N168" s="59">
        <f t="shared" si="251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2">+IFERROR(B167-B168,"nm")</f>
        <v>nm</v>
      </c>
      <c r="C169" s="59" t="str">
        <f t="shared" si="252"/>
        <v>nm</v>
      </c>
      <c r="D169" s="59" t="str">
        <f t="shared" si="252"/>
        <v>nm</v>
      </c>
      <c r="E169" s="59" t="str">
        <f t="shared" si="252"/>
        <v>nm</v>
      </c>
      <c r="F169" s="59" t="str">
        <f t="shared" si="252"/>
        <v>nm</v>
      </c>
      <c r="G169" s="59" t="str">
        <f t="shared" si="252"/>
        <v>nm</v>
      </c>
      <c r="H169" s="59" t="str">
        <f t="shared" si="252"/>
        <v>nm</v>
      </c>
      <c r="I169" s="59">
        <f>+IFERROR(I167-I168,"nm")</f>
        <v>-5.6193353474320307E-3</v>
      </c>
      <c r="J169" s="59">
        <v>0</v>
      </c>
      <c r="K169" s="59">
        <f t="shared" si="251"/>
        <v>0</v>
      </c>
      <c r="L169" s="59">
        <f t="shared" si="251"/>
        <v>0</v>
      </c>
      <c r="M169" s="59">
        <f t="shared" si="251"/>
        <v>0</v>
      </c>
      <c r="N169" s="59">
        <f t="shared" si="251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3">+J170*(1+K171)</f>
        <v>124.63000000000002</v>
      </c>
      <c r="L170" s="58">
        <f t="shared" si="253"/>
        <v>137.09300000000005</v>
      </c>
      <c r="M170" s="58">
        <f t="shared" si="253"/>
        <v>150.80230000000006</v>
      </c>
      <c r="N170" s="58">
        <f t="shared" si="253"/>
        <v>165.88253000000009</v>
      </c>
    </row>
    <row r="171" spans="1:15" x14ac:dyDescent="0.2">
      <c r="A171" s="58" t="s">
        <v>129</v>
      </c>
      <c r="B171" s="59" t="str">
        <f t="shared" ref="B171:H171" si="254">+IFERROR(B170/A170-1,"nm")</f>
        <v>nm</v>
      </c>
      <c r="C171" s="59" t="str">
        <f t="shared" si="254"/>
        <v>nm</v>
      </c>
      <c r="D171" s="59" t="str">
        <f t="shared" si="254"/>
        <v>nm</v>
      </c>
      <c r="E171" s="59" t="str">
        <f t="shared" si="254"/>
        <v>nm</v>
      </c>
      <c r="F171" s="59" t="str">
        <f t="shared" si="254"/>
        <v>nm</v>
      </c>
      <c r="G171" s="59" t="str">
        <f t="shared" si="254"/>
        <v>nm</v>
      </c>
      <c r="H171" s="59" t="str">
        <f t="shared" si="254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5">+K172+K173</f>
        <v>0.1</v>
      </c>
      <c r="L171" s="59">
        <f t="shared" si="255"/>
        <v>0.1</v>
      </c>
      <c r="M171" s="59">
        <f t="shared" si="255"/>
        <v>0.1</v>
      </c>
      <c r="N171" s="59">
        <f t="shared" si="255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6">+J172</f>
        <v>0.1</v>
      </c>
      <c r="L172" s="59">
        <f t="shared" si="256"/>
        <v>0.1</v>
      </c>
      <c r="M172" s="59">
        <f t="shared" si="256"/>
        <v>0.1</v>
      </c>
      <c r="N172" s="59">
        <f t="shared" si="256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7">+IFERROR(B171-B172,"nm")</f>
        <v>nm</v>
      </c>
      <c r="C173" s="59" t="str">
        <f t="shared" si="257"/>
        <v>nm</v>
      </c>
      <c r="D173" s="59" t="str">
        <f t="shared" si="257"/>
        <v>nm</v>
      </c>
      <c r="E173" s="59" t="str">
        <f t="shared" si="257"/>
        <v>nm</v>
      </c>
      <c r="F173" s="59" t="str">
        <f t="shared" si="257"/>
        <v>nm</v>
      </c>
      <c r="G173" s="59" t="str">
        <f t="shared" si="257"/>
        <v>nm</v>
      </c>
      <c r="H173" s="59" t="str">
        <f t="shared" si="257"/>
        <v>nm</v>
      </c>
      <c r="I173" s="59">
        <f>+IFERROR(I171-I172,"nm")</f>
        <v>2.0384615384615418E-2</v>
      </c>
      <c r="J173" s="59">
        <v>0</v>
      </c>
      <c r="K173" s="59">
        <f t="shared" si="256"/>
        <v>0</v>
      </c>
      <c r="L173" s="59">
        <f t="shared" si="256"/>
        <v>0</v>
      </c>
      <c r="M173" s="59">
        <f t="shared" si="256"/>
        <v>0</v>
      </c>
      <c r="N173" s="59">
        <f t="shared" si="256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8">+J174*(1+K175)</f>
        <v>31.460000000000004</v>
      </c>
      <c r="L174" s="58">
        <f t="shared" si="258"/>
        <v>34.606000000000009</v>
      </c>
      <c r="M174" s="58">
        <f t="shared" si="258"/>
        <v>38.066600000000015</v>
      </c>
      <c r="N174" s="58">
        <f t="shared" si="258"/>
        <v>41.873260000000023</v>
      </c>
    </row>
    <row r="175" spans="1:15" x14ac:dyDescent="0.2">
      <c r="A175" s="58" t="s">
        <v>129</v>
      </c>
      <c r="B175" s="59" t="str">
        <f t="shared" ref="B175:H175" si="259">+IFERROR(B174/A174-1,"nm")</f>
        <v>nm</v>
      </c>
      <c r="C175" s="59" t="str">
        <f t="shared" si="259"/>
        <v>nm</v>
      </c>
      <c r="D175" s="59" t="str">
        <f t="shared" si="259"/>
        <v>nm</v>
      </c>
      <c r="E175" s="59" t="str">
        <f t="shared" si="259"/>
        <v>nm</v>
      </c>
      <c r="F175" s="59" t="str">
        <f t="shared" si="259"/>
        <v>nm</v>
      </c>
      <c r="G175" s="59" t="str">
        <f t="shared" si="259"/>
        <v>nm</v>
      </c>
      <c r="H175" s="59" t="str">
        <f t="shared" si="259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60">+K176+K177</f>
        <v>0.1</v>
      </c>
      <c r="L175" s="59">
        <f t="shared" si="260"/>
        <v>0.1</v>
      </c>
      <c r="M175" s="59">
        <f t="shared" si="260"/>
        <v>0.1</v>
      </c>
      <c r="N175" s="59">
        <f t="shared" si="260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1">+J176</f>
        <v>0.1</v>
      </c>
      <c r="L176" s="59">
        <f t="shared" si="261"/>
        <v>0.1</v>
      </c>
      <c r="M176" s="59">
        <f t="shared" si="261"/>
        <v>0.1</v>
      </c>
      <c r="N176" s="59">
        <f t="shared" si="261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2">+IFERROR(B175-B176,"nm")</f>
        <v>nm</v>
      </c>
      <c r="C177" s="59" t="str">
        <f t="shared" si="262"/>
        <v>nm</v>
      </c>
      <c r="D177" s="59" t="str">
        <f t="shared" si="262"/>
        <v>nm</v>
      </c>
      <c r="E177" s="59" t="str">
        <f t="shared" si="262"/>
        <v>nm</v>
      </c>
      <c r="F177" s="59" t="str">
        <f t="shared" si="262"/>
        <v>nm</v>
      </c>
      <c r="G177" s="59" t="str">
        <f t="shared" si="262"/>
        <v>nm</v>
      </c>
      <c r="H177" s="59" t="str">
        <f t="shared" si="262"/>
        <v>nm</v>
      </c>
      <c r="I177" s="59">
        <f>+IFERROR(I175-I176,"nm")</f>
        <v>5.6551724137931053E-2</v>
      </c>
      <c r="J177" s="59">
        <v>0</v>
      </c>
      <c r="K177" s="59">
        <f t="shared" si="261"/>
        <v>0</v>
      </c>
      <c r="L177" s="59">
        <f t="shared" si="261"/>
        <v>0</v>
      </c>
      <c r="M177" s="59">
        <f t="shared" si="261"/>
        <v>0</v>
      </c>
      <c r="N177" s="59">
        <f t="shared" si="261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3">+J178*(1+K179)</f>
        <v>196.185</v>
      </c>
      <c r="L178" s="58">
        <f t="shared" si="263"/>
        <v>215.80350000000001</v>
      </c>
      <c r="M178" s="58">
        <f t="shared" si="263"/>
        <v>237.38385000000002</v>
      </c>
      <c r="N178" s="58">
        <f t="shared" si="263"/>
        <v>261.12223500000005</v>
      </c>
    </row>
    <row r="179" spans="1:15" x14ac:dyDescent="0.2">
      <c r="A179" s="58" t="s">
        <v>129</v>
      </c>
      <c r="B179" s="59" t="str">
        <f t="shared" ref="B179:H179" si="264">+IFERROR(B178/A178-1,"nm")</f>
        <v>nm</v>
      </c>
      <c r="C179" s="59" t="str">
        <f t="shared" si="264"/>
        <v>nm</v>
      </c>
      <c r="D179" s="59" t="str">
        <f t="shared" si="264"/>
        <v>nm</v>
      </c>
      <c r="E179" s="59" t="str">
        <f t="shared" si="264"/>
        <v>nm</v>
      </c>
      <c r="F179" s="59" t="str">
        <f t="shared" si="264"/>
        <v>nm</v>
      </c>
      <c r="G179" s="59" t="str">
        <f t="shared" si="264"/>
        <v>nm</v>
      </c>
      <c r="H179" s="59" t="str">
        <f t="shared" si="264"/>
        <v>nm</v>
      </c>
      <c r="I179" s="59">
        <f>+IFERROR(I178/H178-1,"nm")</f>
        <v>0.43023255813953498</v>
      </c>
      <c r="J179" s="59">
        <v>0.45</v>
      </c>
      <c r="K179" s="59">
        <f t="shared" ref="J179:N179" si="265">+K180+K181</f>
        <v>0.1</v>
      </c>
      <c r="L179" s="59">
        <f t="shared" si="265"/>
        <v>0.1</v>
      </c>
      <c r="M179" s="59">
        <f t="shared" si="265"/>
        <v>0.1</v>
      </c>
      <c r="N179" s="59">
        <f t="shared" si="265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6">+J180</f>
        <v>0.1</v>
      </c>
      <c r="L180" s="59">
        <f t="shared" si="266"/>
        <v>0.1</v>
      </c>
      <c r="M180" s="59">
        <f t="shared" si="266"/>
        <v>0.1</v>
      </c>
      <c r="N180" s="59">
        <f t="shared" si="266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7">+IFERROR(B179-B180,"nm")</f>
        <v>nm</v>
      </c>
      <c r="C181" s="59" t="str">
        <f t="shared" si="267"/>
        <v>nm</v>
      </c>
      <c r="D181" s="59" t="str">
        <f t="shared" si="267"/>
        <v>nm</v>
      </c>
      <c r="E181" s="59" t="str">
        <f t="shared" si="267"/>
        <v>nm</v>
      </c>
      <c r="F181" s="59" t="str">
        <f t="shared" si="267"/>
        <v>nm</v>
      </c>
      <c r="G181" s="59" t="str">
        <f t="shared" si="267"/>
        <v>nm</v>
      </c>
      <c r="H181" s="59" t="str">
        <f t="shared" si="267"/>
        <v>nm</v>
      </c>
      <c r="I181" s="59">
        <f>+IFERROR(I179-I180,"nm")</f>
        <v>1.0232558139534997E-2</v>
      </c>
      <c r="J181" s="59">
        <v>0</v>
      </c>
      <c r="K181" s="59">
        <f t="shared" si="266"/>
        <v>0</v>
      </c>
      <c r="L181" s="59">
        <f t="shared" si="266"/>
        <v>0</v>
      </c>
      <c r="M181" s="59">
        <f t="shared" si="266"/>
        <v>0</v>
      </c>
      <c r="N181" s="59">
        <f t="shared" si="266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8">+C189+C185</f>
        <v>514</v>
      </c>
      <c r="D182" s="58">
        <f t="shared" si="268"/>
        <v>505</v>
      </c>
      <c r="E182" s="58">
        <f t="shared" si="268"/>
        <v>343</v>
      </c>
      <c r="F182" s="58">
        <f t="shared" si="268"/>
        <v>334</v>
      </c>
      <c r="G182" s="58">
        <f t="shared" si="268"/>
        <v>322</v>
      </c>
      <c r="H182" s="58">
        <f t="shared" si="268"/>
        <v>569</v>
      </c>
      <c r="I182" s="58">
        <f t="shared" si="268"/>
        <v>691</v>
      </c>
      <c r="J182" s="58">
        <f>+J164*J184</f>
        <v>772.78011508951408</v>
      </c>
      <c r="K182" s="58">
        <f>+K164*K184</f>
        <v>850.05812659846561</v>
      </c>
      <c r="L182" s="58">
        <f>+L164*L184</f>
        <v>935.06393925831219</v>
      </c>
      <c r="M182" s="58">
        <f>+M164*M184</f>
        <v>1028.5703331841435</v>
      </c>
      <c r="N182" s="58">
        <f>+N164*N184</f>
        <v>1131.4273665025578</v>
      </c>
    </row>
    <row r="183" spans="1:15" x14ac:dyDescent="0.2">
      <c r="A183" s="58" t="s">
        <v>129</v>
      </c>
      <c r="B183" s="59" t="str">
        <f t="shared" ref="B183:H183" si="269">+IFERROR(B182/A182-1,"nm")</f>
        <v>nm</v>
      </c>
      <c r="C183" s="59">
        <f t="shared" si="269"/>
        <v>-3.9252336448598157E-2</v>
      </c>
      <c r="D183" s="59">
        <f t="shared" si="269"/>
        <v>-1.7509727626459193E-2</v>
      </c>
      <c r="E183" s="59">
        <f t="shared" si="269"/>
        <v>-0.32079207920792074</v>
      </c>
      <c r="F183" s="59">
        <f t="shared" si="269"/>
        <v>-2.6239067055393583E-2</v>
      </c>
      <c r="G183" s="59">
        <f t="shared" si="269"/>
        <v>-3.59281437125748E-2</v>
      </c>
      <c r="H183" s="59">
        <f t="shared" si="269"/>
        <v>0.76708074534161486</v>
      </c>
      <c r="I183" s="59">
        <f>+IFERROR(I182/H182-1,"nm")</f>
        <v>0.21441124780316345</v>
      </c>
      <c r="J183" s="59">
        <f t="shared" ref="J183:N183" si="270">+IFERROR(J182/I182-1,"nm")</f>
        <v>0.11835038363171368</v>
      </c>
      <c r="K183" s="59">
        <f t="shared" si="270"/>
        <v>0.10000000000000009</v>
      </c>
      <c r="L183" s="59">
        <f t="shared" si="270"/>
        <v>0.10000000000000009</v>
      </c>
      <c r="M183" s="59">
        <f t="shared" si="270"/>
        <v>0.10000000000000009</v>
      </c>
      <c r="N183" s="59">
        <f t="shared" si="270"/>
        <v>0.10000000000000009</v>
      </c>
    </row>
    <row r="184" spans="1:15" x14ac:dyDescent="0.2">
      <c r="A184" s="58" t="s">
        <v>131</v>
      </c>
      <c r="B184" s="59">
        <f t="shared" ref="B184:H184" si="271">+IFERROR(B182/B$164,"nm")</f>
        <v>0.26992936427850656</v>
      </c>
      <c r="C184" s="59">
        <f t="shared" si="271"/>
        <v>0.26291560102301792</v>
      </c>
      <c r="D184" s="59">
        <f t="shared" si="271"/>
        <v>0.24730656219392752</v>
      </c>
      <c r="E184" s="59">
        <f t="shared" si="271"/>
        <v>0.18186638388123011</v>
      </c>
      <c r="F184" s="59">
        <f t="shared" si="271"/>
        <v>0.17523609653725078</v>
      </c>
      <c r="G184" s="59">
        <f t="shared" si="271"/>
        <v>0.17443120260021669</v>
      </c>
      <c r="H184" s="59">
        <f t="shared" si="271"/>
        <v>0.25804988662131517</v>
      </c>
      <c r="I184" s="59">
        <f>+IFERROR(I182/I$164,"nm")</f>
        <v>0.29454390451832907</v>
      </c>
      <c r="J184" s="59">
        <f>+I184</f>
        <v>0.29454390451832907</v>
      </c>
      <c r="K184" s="59">
        <f t="shared" ref="K184:N184" si="272">+J184</f>
        <v>0.29454390451832907</v>
      </c>
      <c r="L184" s="59">
        <f t="shared" si="272"/>
        <v>0.29454390451832907</v>
      </c>
      <c r="M184" s="59">
        <f t="shared" si="272"/>
        <v>0.29454390451832907</v>
      </c>
      <c r="N184" s="59">
        <f t="shared" si="272"/>
        <v>0.29454390451832907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24.603708439897698</v>
      </c>
      <c r="K185" s="58">
        <f t="shared" ref="K185:N185" si="273">+K188*K195</f>
        <v>27.064079283887473</v>
      </c>
      <c r="L185" s="58">
        <f t="shared" si="273"/>
        <v>29.770487212276219</v>
      </c>
      <c r="M185" s="58">
        <f t="shared" si="273"/>
        <v>32.747535933503848</v>
      </c>
      <c r="N185" s="58">
        <f t="shared" si="273"/>
        <v>36.02228952685423</v>
      </c>
    </row>
    <row r="186" spans="1:15" x14ac:dyDescent="0.2">
      <c r="A186" s="58" t="s">
        <v>129</v>
      </c>
      <c r="B186" s="59" t="str">
        <f t="shared" ref="B186:H186" si="274">+IFERROR(B185/A185-1,"nm")</f>
        <v>nm</v>
      </c>
      <c r="C186" s="59">
        <f t="shared" si="274"/>
        <v>0.5</v>
      </c>
      <c r="D186" s="59">
        <f t="shared" si="274"/>
        <v>3.7037037037036979E-2</v>
      </c>
      <c r="E186" s="59">
        <f t="shared" si="274"/>
        <v>0.1785714285714286</v>
      </c>
      <c r="F186" s="59">
        <f t="shared" si="274"/>
        <v>-6.0606060606060552E-2</v>
      </c>
      <c r="G186" s="59">
        <f t="shared" si="274"/>
        <v>-0.19354838709677424</v>
      </c>
      <c r="H186" s="59">
        <f t="shared" si="274"/>
        <v>4.0000000000000036E-2</v>
      </c>
      <c r="I186" s="59">
        <f>+IFERROR(I185/H185-1,"nm")</f>
        <v>-0.15384615384615385</v>
      </c>
      <c r="J186" s="59">
        <f>+IFERROR(J185/I185-1,"nm")</f>
        <v>0.11835038363171346</v>
      </c>
      <c r="K186" s="59">
        <f t="shared" ref="K186:N186" si="275">+IFERROR(K185/J185-1,"nm")</f>
        <v>0.10000000000000031</v>
      </c>
      <c r="L186" s="59">
        <f t="shared" si="275"/>
        <v>9.9999999999999867E-2</v>
      </c>
      <c r="M186" s="59">
        <f t="shared" si="275"/>
        <v>0.10000000000000031</v>
      </c>
      <c r="N186" s="59">
        <f t="shared" si="275"/>
        <v>9.9999999999999867E-2</v>
      </c>
    </row>
    <row r="187" spans="1:15" x14ac:dyDescent="0.2">
      <c r="A187" s="58" t="s">
        <v>133</v>
      </c>
      <c r="B187" s="59">
        <f t="shared" ref="B187:H187" si="276">+IFERROR(B185/B$21,"nm")</f>
        <v>1.3100436681222707E-3</v>
      </c>
      <c r="C187" s="59">
        <f t="shared" si="276"/>
        <v>1.8287726903278244E-3</v>
      </c>
      <c r="D187" s="59">
        <f t="shared" si="276"/>
        <v>1.840168243953733E-3</v>
      </c>
      <c r="E187" s="59">
        <f t="shared" si="276"/>
        <v>2.2214742510939076E-3</v>
      </c>
      <c r="F187" s="59">
        <f t="shared" si="276"/>
        <v>1.949440321972079E-3</v>
      </c>
      <c r="G187" s="59">
        <f t="shared" si="276"/>
        <v>1.7260425296879314E-3</v>
      </c>
      <c r="H187" s="59">
        <f t="shared" si="276"/>
        <v>1.5134757552826125E-3</v>
      </c>
      <c r="I187" s="59">
        <f>+IFERROR(I185/I$21,"nm")</f>
        <v>1.1987141066855556E-3</v>
      </c>
      <c r="J187" s="59">
        <f t="shared" ref="J187:N187" si="277">+IFERROR(J185/J$21,"nm")</f>
        <v>1.2867348449612415E-3</v>
      </c>
      <c r="K187" s="59">
        <f t="shared" si="277"/>
        <v>1.3573346593230117E-3</v>
      </c>
      <c r="L187" s="59">
        <f t="shared" si="277"/>
        <v>1.4303542659128525E-3</v>
      </c>
      <c r="M187" s="59">
        <f t="shared" si="277"/>
        <v>1.5055735539877628E-3</v>
      </c>
      <c r="N187" s="59">
        <f t="shared" si="277"/>
        <v>1.5826982913597124E-3</v>
      </c>
    </row>
    <row r="188" spans="1:15" x14ac:dyDescent="0.2">
      <c r="A188" s="58" t="s">
        <v>140</v>
      </c>
      <c r="B188" s="59">
        <f t="shared" ref="B188:H188" si="278">+IFERROR(B185/B195,"nm")</f>
        <v>0.14754098360655737</v>
      </c>
      <c r="C188" s="59">
        <f t="shared" si="278"/>
        <v>0.216</v>
      </c>
      <c r="D188" s="59">
        <f t="shared" si="278"/>
        <v>0.224</v>
      </c>
      <c r="E188" s="59">
        <f t="shared" si="278"/>
        <v>0.28695652173913044</v>
      </c>
      <c r="F188" s="59">
        <f t="shared" si="278"/>
        <v>0.31</v>
      </c>
      <c r="G188" s="59">
        <f t="shared" si="278"/>
        <v>0.3125</v>
      </c>
      <c r="H188" s="59">
        <f t="shared" si="278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9">+J188</f>
        <v>0.44897959183673469</v>
      </c>
      <c r="L188" s="59">
        <f t="shared" si="279"/>
        <v>0.44897959183673469</v>
      </c>
      <c r="M188" s="59">
        <f t="shared" si="279"/>
        <v>0.44897959183673469</v>
      </c>
      <c r="N188" s="59">
        <f t="shared" si="279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748.17640664961641</v>
      </c>
      <c r="K189" s="58">
        <f t="shared" ref="K189:N189" si="280">+K182-K185</f>
        <v>822.9940473145781</v>
      </c>
      <c r="L189" s="58">
        <f t="shared" si="280"/>
        <v>905.29345204603601</v>
      </c>
      <c r="M189" s="58">
        <f t="shared" si="280"/>
        <v>995.82279725063961</v>
      </c>
      <c r="N189" s="58">
        <f t="shared" si="280"/>
        <v>1095.4050769757037</v>
      </c>
    </row>
    <row r="190" spans="1:15" x14ac:dyDescent="0.2">
      <c r="A190" s="58" t="s">
        <v>129</v>
      </c>
      <c r="B190" s="59" t="str">
        <f t="shared" ref="B190:H190" si="281">+IFERROR(B189/A189-1,"nm")</f>
        <v>nm</v>
      </c>
      <c r="C190" s="59">
        <f t="shared" si="281"/>
        <v>-5.8027079303675011E-2</v>
      </c>
      <c r="D190" s="59">
        <f t="shared" si="281"/>
        <v>-2.0533880903490731E-2</v>
      </c>
      <c r="E190" s="59">
        <f t="shared" si="281"/>
        <v>-0.35010482180293501</v>
      </c>
      <c r="F190" s="59">
        <f t="shared" si="281"/>
        <v>-2.2580645161290325E-2</v>
      </c>
      <c r="G190" s="59">
        <f t="shared" si="281"/>
        <v>-1.980198019801982E-2</v>
      </c>
      <c r="H190" s="59">
        <f t="shared" si="281"/>
        <v>0.82828282828282829</v>
      </c>
      <c r="I190" s="59">
        <f>+IFERROR(I189/H189-1,"nm")</f>
        <v>0.2320441988950277</v>
      </c>
      <c r="J190" s="59">
        <f>+IFERROR(J189/I189-1,"nm")</f>
        <v>0.11835038363171368</v>
      </c>
      <c r="K190" s="59">
        <f t="shared" ref="K190:N190" si="282">+IFERROR(K189/J189-1,"nm")</f>
        <v>0.10000000000000009</v>
      </c>
      <c r="L190" s="59">
        <f t="shared" si="282"/>
        <v>0.10000000000000009</v>
      </c>
      <c r="M190" s="59">
        <f t="shared" si="282"/>
        <v>0.10000000000000009</v>
      </c>
      <c r="N190" s="59">
        <f t="shared" si="282"/>
        <v>0.10000000000000009</v>
      </c>
    </row>
    <row r="191" spans="1:15" x14ac:dyDescent="0.2">
      <c r="A191" s="58" t="s">
        <v>131</v>
      </c>
      <c r="B191" s="59">
        <f t="shared" ref="B191:H191" si="283">+IFERROR(B189/B$21,"nm")</f>
        <v>3.7627365356622998E-2</v>
      </c>
      <c r="C191" s="59">
        <f t="shared" si="283"/>
        <v>3.2985640747764833E-2</v>
      </c>
      <c r="D191" s="59">
        <f t="shared" si="283"/>
        <v>3.1348580441640378E-2</v>
      </c>
      <c r="E191" s="59">
        <f t="shared" si="283"/>
        <v>2.0868394479973074E-2</v>
      </c>
      <c r="F191" s="59">
        <f t="shared" si="283"/>
        <v>1.9054207017985159E-2</v>
      </c>
      <c r="G191" s="59">
        <f t="shared" si="283"/>
        <v>2.0505385252692625E-2</v>
      </c>
      <c r="H191" s="59">
        <f t="shared" si="283"/>
        <v>3.1608359043017641E-2</v>
      </c>
      <c r="I191" s="59">
        <f>+IFERROR(I189/I$21,"nm")</f>
        <v>3.6451806244210759E-2</v>
      </c>
      <c r="J191" s="59">
        <f t="shared" ref="J191:N191" si="284">+IFERROR(J189/J$21,"nm")</f>
        <v>3.9128436876321393E-2</v>
      </c>
      <c r="K191" s="59">
        <f t="shared" si="284"/>
        <v>4.1275313049413398E-2</v>
      </c>
      <c r="L191" s="59">
        <f t="shared" si="284"/>
        <v>4.349577290434993E-2</v>
      </c>
      <c r="M191" s="59">
        <f t="shared" si="284"/>
        <v>4.5783123073536963E-2</v>
      </c>
      <c r="N191" s="59">
        <f t="shared" si="284"/>
        <v>4.8128416223620345E-2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4" x14ac:dyDescent="0.2">
      <c r="A193" s="58" t="s">
        <v>129</v>
      </c>
      <c r="B193" s="59" t="str">
        <f t="shared" ref="B193:H193" si="285">+IFERROR(B192/A192-1,"nm")</f>
        <v>nm</v>
      </c>
      <c r="C193" s="59">
        <f t="shared" si="285"/>
        <v>-0.43478260869565222</v>
      </c>
      <c r="D193" s="59">
        <f t="shared" si="285"/>
        <v>-0.23076923076923073</v>
      </c>
      <c r="E193" s="59">
        <f t="shared" si="285"/>
        <v>-0.26666666666666672</v>
      </c>
      <c r="F193" s="59">
        <f t="shared" si="285"/>
        <v>-0.18181818181818177</v>
      </c>
      <c r="G193" s="59">
        <f t="shared" si="285"/>
        <v>-0.33333333333333337</v>
      </c>
      <c r="H193" s="59">
        <f t="shared" si="285"/>
        <v>-0.41666666666666663</v>
      </c>
      <c r="I193" s="59">
        <f>+IFERROR(I192/H192-1,"nm")</f>
        <v>0.28571428571428581</v>
      </c>
      <c r="J193" s="59">
        <f t="shared" ref="J193:N193" si="286">+IFERROR(J192/I192-1,"nm")</f>
        <v>0.11835038363171346</v>
      </c>
      <c r="K193" s="59">
        <f t="shared" si="286"/>
        <v>0.10000000000000009</v>
      </c>
      <c r="L193" s="59">
        <f t="shared" si="286"/>
        <v>0.10000000000000009</v>
      </c>
      <c r="M193" s="59">
        <f t="shared" si="286"/>
        <v>0.10000000000000009</v>
      </c>
      <c r="N193" s="59">
        <f t="shared" si="286"/>
        <v>9.9999999999999867E-2</v>
      </c>
    </row>
    <row r="194" spans="1:14" x14ac:dyDescent="0.2">
      <c r="A194" s="58" t="s">
        <v>133</v>
      </c>
      <c r="B194" s="59">
        <f t="shared" ref="B194:H194" si="287">+IFERROR(B192/B$164,"nm")</f>
        <v>3.481331987891019E-2</v>
      </c>
      <c r="C194" s="59">
        <f t="shared" si="287"/>
        <v>1.9948849104859334E-2</v>
      </c>
      <c r="D194" s="59">
        <f t="shared" si="287"/>
        <v>1.4691478942213516E-2</v>
      </c>
      <c r="E194" s="59">
        <f t="shared" si="287"/>
        <v>1.166489925768823E-2</v>
      </c>
      <c r="F194" s="59">
        <f t="shared" si="287"/>
        <v>9.4438614900314802E-3</v>
      </c>
      <c r="G194" s="59">
        <f t="shared" si="287"/>
        <v>6.5005417118093175E-3</v>
      </c>
      <c r="H194" s="59">
        <f t="shared" si="287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8">+J194</f>
        <v>3.8363171355498722E-3</v>
      </c>
      <c r="L194" s="59">
        <f t="shared" si="288"/>
        <v>3.8363171355498722E-3</v>
      </c>
      <c r="M194" s="59">
        <f t="shared" si="288"/>
        <v>3.8363171355498722E-3</v>
      </c>
      <c r="N194" s="59">
        <f t="shared" si="288"/>
        <v>3.8363171355498722E-3</v>
      </c>
    </row>
    <row r="195" spans="1:14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54.799168797953968</v>
      </c>
      <c r="K195" s="58">
        <f>+K164*K197</f>
        <v>60.279085677749372</v>
      </c>
      <c r="L195" s="58">
        <f>+L164*L197</f>
        <v>66.306994245524308</v>
      </c>
      <c r="M195" s="58">
        <f>+M164*M197</f>
        <v>72.937693670076754</v>
      </c>
      <c r="N195" s="58">
        <f>+N164*N197</f>
        <v>80.231463037084424</v>
      </c>
    </row>
    <row r="196" spans="1:14" x14ac:dyDescent="0.2">
      <c r="A196" s="58" t="s">
        <v>129</v>
      </c>
      <c r="B196" s="59" t="str">
        <f t="shared" ref="B196:H196" si="289">+IFERROR(B195/A195-1,"nm")</f>
        <v>nm</v>
      </c>
      <c r="C196" s="59">
        <f t="shared" si="289"/>
        <v>2.4590163934426146E-2</v>
      </c>
      <c r="D196" s="59">
        <f t="shared" si="289"/>
        <v>0</v>
      </c>
      <c r="E196" s="59">
        <f t="shared" si="289"/>
        <v>-7.999999999999996E-2</v>
      </c>
      <c r="F196" s="59">
        <f t="shared" si="289"/>
        <v>-0.13043478260869568</v>
      </c>
      <c r="G196" s="59">
        <f t="shared" si="289"/>
        <v>-0.19999999999999996</v>
      </c>
      <c r="H196" s="59">
        <f t="shared" si="289"/>
        <v>-0.21250000000000002</v>
      </c>
      <c r="I196" s="59">
        <f>+IFERROR(I195/H195-1,"nm")</f>
        <v>-0.22222222222222221</v>
      </c>
      <c r="J196" s="59">
        <f>+J197+J198</f>
        <v>2.0886615515771527E-2</v>
      </c>
      <c r="K196" s="59">
        <f t="shared" ref="K196:N196" si="290">+K197+K198</f>
        <v>2.0886615515771527E-2</v>
      </c>
      <c r="L196" s="59">
        <f t="shared" si="290"/>
        <v>2.0886615515771527E-2</v>
      </c>
      <c r="M196" s="59">
        <f t="shared" si="290"/>
        <v>2.0886615515771527E-2</v>
      </c>
      <c r="N196" s="59">
        <f t="shared" si="290"/>
        <v>2.0886615515771527E-2</v>
      </c>
    </row>
    <row r="197" spans="1:14" x14ac:dyDescent="0.2">
      <c r="A197" s="58" t="s">
        <v>133</v>
      </c>
      <c r="B197" s="59">
        <f t="shared" ref="B197:H197" si="291">+IFERROR(B195/B$164,"nm")</f>
        <v>6.1553985872855703E-2</v>
      </c>
      <c r="C197" s="59">
        <f t="shared" si="291"/>
        <v>6.3938618925831206E-2</v>
      </c>
      <c r="D197" s="59">
        <f t="shared" si="291"/>
        <v>6.1214495592556317E-2</v>
      </c>
      <c r="E197" s="59">
        <f t="shared" si="291"/>
        <v>6.097560975609756E-2</v>
      </c>
      <c r="F197" s="59">
        <f t="shared" si="291"/>
        <v>5.2465897166841552E-2</v>
      </c>
      <c r="G197" s="59">
        <f t="shared" si="291"/>
        <v>4.3336944745395449E-2</v>
      </c>
      <c r="H197" s="59">
        <f t="shared" si="291"/>
        <v>2.8571428571428571E-2</v>
      </c>
      <c r="I197" s="59">
        <f>+IFERROR(I195/I$164,"nm")</f>
        <v>2.0886615515771527E-2</v>
      </c>
      <c r="J197" s="59">
        <f>+I197</f>
        <v>2.0886615515771527E-2</v>
      </c>
      <c r="K197" s="59">
        <f t="shared" ref="K197:N197" si="292">+J197</f>
        <v>2.0886615515771527E-2</v>
      </c>
      <c r="L197" s="59">
        <f t="shared" si="292"/>
        <v>2.0886615515771527E-2</v>
      </c>
      <c r="M197" s="59">
        <f t="shared" si="292"/>
        <v>2.0886615515771527E-2</v>
      </c>
      <c r="N197" s="59">
        <f t="shared" si="292"/>
        <v>2.0886615515771527E-2</v>
      </c>
    </row>
    <row r="198" spans="1:14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4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4" x14ac:dyDescent="0.2">
      <c r="A200" s="58" t="s">
        <v>129</v>
      </c>
      <c r="B200" s="59" t="str">
        <f t="shared" ref="B200:H200" si="293">+IFERROR(B199/A199-1,"nm")</f>
        <v>nm</v>
      </c>
      <c r="C200" s="59">
        <f t="shared" si="293"/>
        <v>8.720184662734054E-3</v>
      </c>
      <c r="D200" s="59">
        <f t="shared" si="293"/>
        <v>-0.99364352911263665</v>
      </c>
      <c r="E200" s="59">
        <f t="shared" si="293"/>
        <v>-0.65333333333333332</v>
      </c>
      <c r="F200" s="59">
        <f t="shared" si="293"/>
        <v>-1.2692307692307692</v>
      </c>
      <c r="G200" s="59">
        <f t="shared" si="293"/>
        <v>0.5714285714285714</v>
      </c>
      <c r="H200" s="59">
        <f t="shared" si="293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4">+IFERROR(K199/J199-1,"nm")</f>
        <v>0</v>
      </c>
      <c r="L200" s="59">
        <f t="shared" si="294"/>
        <v>0</v>
      </c>
      <c r="M200" s="59">
        <f t="shared" si="294"/>
        <v>0</v>
      </c>
      <c r="N200" s="59">
        <f t="shared" si="294"/>
        <v>0</v>
      </c>
    </row>
    <row r="201" spans="1:14" x14ac:dyDescent="0.2">
      <c r="A201" s="58" t="s">
        <v>130</v>
      </c>
      <c r="B201" s="58">
        <f>B208+B204</f>
        <v>1556</v>
      </c>
      <c r="C201" s="58">
        <f t="shared" ref="C201:I201" si="295">C208+C204</f>
        <v>1700</v>
      </c>
      <c r="D201" s="58">
        <f t="shared" si="295"/>
        <v>-633</v>
      </c>
      <c r="E201" s="58">
        <f t="shared" si="295"/>
        <v>-1346</v>
      </c>
      <c r="F201" s="58">
        <f t="shared" si="295"/>
        <v>-1694</v>
      </c>
      <c r="G201" s="58">
        <f t="shared" si="295"/>
        <v>-1855</v>
      </c>
      <c r="H201" s="58">
        <f t="shared" si="295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</row>
    <row r="202" spans="1:14" x14ac:dyDescent="0.2">
      <c r="A202" s="58" t="s">
        <v>129</v>
      </c>
      <c r="B202" s="59" t="str">
        <f t="shared" ref="B202:H202" si="296">+IFERROR(B201/A201-1,"nm")</f>
        <v>nm</v>
      </c>
      <c r="C202" s="59">
        <f t="shared" si="296"/>
        <v>9.2544987146529589E-2</v>
      </c>
      <c r="D202" s="59">
        <f t="shared" si="296"/>
        <v>-1.3723529411764706</v>
      </c>
      <c r="E202" s="59">
        <f t="shared" si="296"/>
        <v>1.126382306477093</v>
      </c>
      <c r="F202" s="59">
        <f t="shared" si="296"/>
        <v>0.25854383358098065</v>
      </c>
      <c r="G202" s="59">
        <f t="shared" si="296"/>
        <v>9.5041322314049603E-2</v>
      </c>
      <c r="H202" s="59">
        <f t="shared" si="296"/>
        <v>0.14285714285714279</v>
      </c>
      <c r="I202" s="59">
        <f>+IFERROR(I201/H201-1,"nm")</f>
        <v>-1.650943396226412E-2</v>
      </c>
      <c r="J202" s="59">
        <f t="shared" ref="J202:N202" si="297">+IFERROR(J201/I201-1,"nm")</f>
        <v>0</v>
      </c>
      <c r="K202" s="59">
        <f t="shared" si="297"/>
        <v>0</v>
      </c>
      <c r="L202" s="59">
        <f t="shared" si="297"/>
        <v>0</v>
      </c>
      <c r="M202" s="59">
        <f t="shared" si="297"/>
        <v>0</v>
      </c>
      <c r="N202" s="59">
        <f t="shared" si="297"/>
        <v>0</v>
      </c>
    </row>
    <row r="203" spans="1:14" x14ac:dyDescent="0.2">
      <c r="A203" s="58" t="s">
        <v>131</v>
      </c>
      <c r="B203" s="59">
        <f t="shared" ref="B203:G203" si="298">+IFERROR(B201/B$199,"nm")</f>
        <v>0.13302556210994271</v>
      </c>
      <c r="C203" s="59">
        <f t="shared" si="298"/>
        <v>0.14408000678023561</v>
      </c>
      <c r="D203" s="59">
        <f t="shared" si="298"/>
        <v>-8.44</v>
      </c>
      <c r="E203" s="59">
        <f t="shared" si="298"/>
        <v>-51.769230769230766</v>
      </c>
      <c r="F203" s="59">
        <f t="shared" si="298"/>
        <v>242</v>
      </c>
      <c r="G203" s="59">
        <f t="shared" si="298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9">+J203</f>
        <v>28.958333333333332</v>
      </c>
      <c r="L203" s="59">
        <f t="shared" si="299"/>
        <v>28.958333333333332</v>
      </c>
      <c r="M203" s="59">
        <f t="shared" si="299"/>
        <v>28.958333333333332</v>
      </c>
      <c r="N203" s="59">
        <f t="shared" si="299"/>
        <v>28.958333333333332</v>
      </c>
    </row>
    <row r="204" spans="1:14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300">+K207*K214</f>
        <v>134</v>
      </c>
      <c r="L204" s="58">
        <f t="shared" si="300"/>
        <v>134</v>
      </c>
      <c r="M204" s="58">
        <f t="shared" si="300"/>
        <v>134</v>
      </c>
      <c r="N204" s="58">
        <f t="shared" si="300"/>
        <v>134</v>
      </c>
    </row>
    <row r="205" spans="1:14" x14ac:dyDescent="0.2">
      <c r="A205" s="58" t="s">
        <v>129</v>
      </c>
      <c r="B205" s="59" t="str">
        <f t="shared" ref="B205:H205" si="301">+IFERROR(B204/A204-1,"nm")</f>
        <v>nm</v>
      </c>
      <c r="C205" s="59">
        <f t="shared" si="301"/>
        <v>-0.6018957345971564</v>
      </c>
      <c r="D205" s="59">
        <f t="shared" si="301"/>
        <v>8.3333333333333259E-2</v>
      </c>
      <c r="E205" s="59">
        <f t="shared" si="301"/>
        <v>0.20879120879120872</v>
      </c>
      <c r="F205" s="59">
        <f t="shared" si="301"/>
        <v>5.4545454545454453E-2</v>
      </c>
      <c r="G205" s="59">
        <f t="shared" si="301"/>
        <v>-3.4482758620689613E-2</v>
      </c>
      <c r="H205" s="59">
        <f t="shared" si="301"/>
        <v>0.2589285714285714</v>
      </c>
      <c r="I205" s="59">
        <f>+IFERROR(I204/H204-1,"nm")</f>
        <v>-4.9645390070921946E-2</v>
      </c>
      <c r="J205" s="59">
        <f t="shared" ref="J205:N205" si="302">+IFERROR(J204/I204-1,"nm")</f>
        <v>0</v>
      </c>
      <c r="K205" s="59">
        <f t="shared" si="302"/>
        <v>0</v>
      </c>
      <c r="L205" s="59">
        <f t="shared" si="302"/>
        <v>0</v>
      </c>
      <c r="M205" s="59">
        <f t="shared" si="302"/>
        <v>0</v>
      </c>
      <c r="N205" s="59">
        <f t="shared" si="302"/>
        <v>0</v>
      </c>
    </row>
    <row r="206" spans="1:14" x14ac:dyDescent="0.2">
      <c r="A206" s="58" t="s">
        <v>133</v>
      </c>
      <c r="B206" s="59">
        <f t="shared" ref="B206:H206" si="303">+IFERROR(B204/B$21,"nm")</f>
        <v>1.5356622998544395E-2</v>
      </c>
      <c r="C206" s="59">
        <f t="shared" si="303"/>
        <v>5.6895150365754536E-3</v>
      </c>
      <c r="D206" s="59">
        <f t="shared" si="303"/>
        <v>5.9805467928496321E-3</v>
      </c>
      <c r="E206" s="59">
        <f t="shared" si="303"/>
        <v>7.4049141703130261E-3</v>
      </c>
      <c r="F206" s="59">
        <f t="shared" si="303"/>
        <v>7.2946799144761668E-3</v>
      </c>
      <c r="G206" s="59">
        <f t="shared" si="303"/>
        <v>7.732670533001933E-3</v>
      </c>
      <c r="H206" s="59">
        <f t="shared" si="303"/>
        <v>8.2076954421095531E-3</v>
      </c>
      <c r="I206" s="59">
        <f>+IFERROR(I204/I$52,"nm")</f>
        <v>1.0738039907043834E-2</v>
      </c>
      <c r="J206" s="59">
        <f t="shared" ref="J206:N206" si="304">+IFERROR(J204/J$21,"nm")</f>
        <v>7.007987013258693E-3</v>
      </c>
      <c r="K206" s="59">
        <f t="shared" si="304"/>
        <v>6.7204519481867996E-3</v>
      </c>
      <c r="L206" s="59">
        <f t="shared" si="304"/>
        <v>6.4381704694871722E-3</v>
      </c>
      <c r="M206" s="59">
        <f t="shared" si="304"/>
        <v>6.1606728715107376E-3</v>
      </c>
      <c r="N206" s="59">
        <f t="shared" si="304"/>
        <v>5.8875094789323963E-3</v>
      </c>
    </row>
    <row r="207" spans="1:14" x14ac:dyDescent="0.2">
      <c r="A207" s="58" t="s">
        <v>140</v>
      </c>
      <c r="B207" s="59">
        <f t="shared" ref="B207:H207" si="305">+IFERROR(B204/B214,"nm")</f>
        <v>0.13890717577353523</v>
      </c>
      <c r="C207" s="59">
        <f t="shared" si="305"/>
        <v>4.40251572327044E-2</v>
      </c>
      <c r="D207" s="59">
        <f t="shared" si="305"/>
        <v>7.3505654281098551E-2</v>
      </c>
      <c r="E207" s="59">
        <f t="shared" si="305"/>
        <v>7.586206896551724E-2</v>
      </c>
      <c r="F207" s="59">
        <f t="shared" si="305"/>
        <v>6.9336521219366412E-2</v>
      </c>
      <c r="G207" s="59">
        <f t="shared" si="305"/>
        <v>5.845511482254697E-2</v>
      </c>
      <c r="H207" s="59">
        <f t="shared" si="305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6">+J207</f>
        <v>7.374793615850303E-2</v>
      </c>
      <c r="L207" s="59">
        <f t="shared" si="306"/>
        <v>7.374793615850303E-2</v>
      </c>
      <c r="M207" s="59">
        <f t="shared" si="306"/>
        <v>7.374793615850303E-2</v>
      </c>
      <c r="N207" s="59">
        <f t="shared" si="306"/>
        <v>7.374793615850303E-2</v>
      </c>
    </row>
    <row r="208" spans="1:14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7">+K201+K204</f>
        <v>-1951</v>
      </c>
      <c r="L208" s="58">
        <f t="shared" si="307"/>
        <v>-1951</v>
      </c>
      <c r="M208" s="58">
        <f t="shared" si="307"/>
        <v>-1951</v>
      </c>
      <c r="N208" s="58">
        <f t="shared" si="307"/>
        <v>-1951</v>
      </c>
    </row>
    <row r="209" spans="1:14" x14ac:dyDescent="0.2">
      <c r="A209" s="58" t="s">
        <v>129</v>
      </c>
      <c r="B209" s="59" t="str">
        <f t="shared" ref="B209:H209" si="308">+IFERROR(B208/A208-1,"nm")</f>
        <v>nm</v>
      </c>
      <c r="C209" s="59">
        <f t="shared" si="308"/>
        <v>0.20148698884758365</v>
      </c>
      <c r="D209" s="59">
        <f t="shared" si="308"/>
        <v>-1.448019801980198</v>
      </c>
      <c r="E209" s="59">
        <f t="shared" si="308"/>
        <v>1.0110497237569063</v>
      </c>
      <c r="F209" s="59">
        <f t="shared" si="308"/>
        <v>0.24313186813186816</v>
      </c>
      <c r="G209" s="59">
        <f t="shared" si="308"/>
        <v>8.6740331491712785E-2</v>
      </c>
      <c r="H209" s="59">
        <f t="shared" si="308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9">+IFERROR(K208/J208-1,"nm")</f>
        <v>0</v>
      </c>
      <c r="L209" s="59">
        <f t="shared" si="309"/>
        <v>0</v>
      </c>
      <c r="M209" s="59">
        <f t="shared" si="309"/>
        <v>0</v>
      </c>
      <c r="N209" s="59">
        <f t="shared" si="309"/>
        <v>0</v>
      </c>
    </row>
    <row r="210" spans="1:14" x14ac:dyDescent="0.2">
      <c r="A210" s="58" t="s">
        <v>131</v>
      </c>
      <c r="B210" s="59">
        <f t="shared" ref="B210:N210" si="310">+IFERROR(B208/B$21,"nm")</f>
        <v>9.788937409024745E-2</v>
      </c>
      <c r="C210" s="59">
        <f t="shared" si="310"/>
        <v>0.1094554321322135</v>
      </c>
      <c r="D210" s="59">
        <f t="shared" si="310"/>
        <v>-4.7581493165089382E-2</v>
      </c>
      <c r="E210" s="59">
        <f t="shared" si="310"/>
        <v>-9.8014136654325137E-2</v>
      </c>
      <c r="F210" s="59">
        <f t="shared" si="310"/>
        <v>-0.1138221607344988</v>
      </c>
      <c r="G210" s="59">
        <f t="shared" si="310"/>
        <v>-0.13580502623584645</v>
      </c>
      <c r="H210" s="59">
        <f t="shared" si="310"/>
        <v>-0.13161418010361489</v>
      </c>
      <c r="I210" s="59">
        <f t="shared" si="310"/>
        <v>-0.12090666376069308</v>
      </c>
      <c r="J210" s="59">
        <f t="shared" si="310"/>
        <v>-0.1020341989766247</v>
      </c>
      <c r="K210" s="59">
        <f t="shared" si="310"/>
        <v>-9.7847774260540643E-2</v>
      </c>
      <c r="L210" s="59">
        <f t="shared" si="310"/>
        <v>-9.3737840193802047E-2</v>
      </c>
      <c r="M210" s="59">
        <f t="shared" si="310"/>
        <v>-8.9697558002369018E-2</v>
      </c>
      <c r="N210" s="59">
        <f t="shared" si="310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1">+IFERROR(B211/A211-1,"nm")</f>
        <v>nm</v>
      </c>
      <c r="C212" s="59">
        <f t="shared" si="311"/>
        <v>-0.13725490196078427</v>
      </c>
      <c r="D212" s="59">
        <f t="shared" si="311"/>
        <v>0.10227272727272729</v>
      </c>
      <c r="E212" s="59">
        <f t="shared" si="311"/>
        <v>-0.45360824742268047</v>
      </c>
      <c r="F212" s="59">
        <f t="shared" si="311"/>
        <v>1.3710691823899372</v>
      </c>
      <c r="G212" s="59">
        <f t="shared" si="311"/>
        <v>-0.156498673740053</v>
      </c>
      <c r="H212" s="59">
        <f t="shared" si="311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2">+IFERROR(K211/J211-1,"nm")</f>
        <v>0</v>
      </c>
      <c r="L212" s="59">
        <f t="shared" si="312"/>
        <v>0</v>
      </c>
      <c r="M212" s="59">
        <f t="shared" si="312"/>
        <v>0</v>
      </c>
      <c r="N212" s="59">
        <f t="shared" si="312"/>
        <v>0</v>
      </c>
    </row>
    <row r="213" spans="1:14" x14ac:dyDescent="0.2">
      <c r="A213" s="58" t="s">
        <v>133</v>
      </c>
      <c r="B213" s="59">
        <f t="shared" ref="B213:H213" si="313">+IFERROR(B211/B$21,"nm")</f>
        <v>2.2270742358078601E-2</v>
      </c>
      <c r="C213" s="59">
        <f t="shared" si="313"/>
        <v>1.7881332972094283E-2</v>
      </c>
      <c r="D213" s="59">
        <f t="shared" si="313"/>
        <v>1.9124605678233438E-2</v>
      </c>
      <c r="E213" s="59">
        <f t="shared" si="313"/>
        <v>1.0703466846179737E-2</v>
      </c>
      <c r="F213" s="59">
        <f t="shared" si="313"/>
        <v>2.370770972204754E-2</v>
      </c>
      <c r="G213" s="59">
        <f t="shared" si="313"/>
        <v>2.1955260977630488E-2</v>
      </c>
      <c r="H213" s="59">
        <f t="shared" si="313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4">+J213</f>
        <v>-0.69444444444444442</v>
      </c>
      <c r="L213" s="59">
        <f t="shared" si="314"/>
        <v>-0.69444444444444442</v>
      </c>
      <c r="M213" s="59">
        <f t="shared" si="314"/>
        <v>-0.69444444444444442</v>
      </c>
      <c r="N213" s="59">
        <f t="shared" si="314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5">+IFERROR(B214/A214-1,"nm")</f>
        <v>nm</v>
      </c>
      <c r="C215" s="59">
        <f t="shared" si="315"/>
        <v>0.25608953258722833</v>
      </c>
      <c r="D215" s="59">
        <f t="shared" si="315"/>
        <v>-0.35115303983228507</v>
      </c>
      <c r="E215" s="59">
        <f t="shared" si="315"/>
        <v>0.17124394184168024</v>
      </c>
      <c r="F215" s="59">
        <f t="shared" si="315"/>
        <v>0.15379310344827579</v>
      </c>
      <c r="G215" s="59">
        <f t="shared" si="315"/>
        <v>0.14524805738194857</v>
      </c>
      <c r="H215" s="59">
        <f t="shared" si="315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6">+K216+K217</f>
        <v>-25.236111111111111</v>
      </c>
      <c r="L215" s="59">
        <f t="shared" si="316"/>
        <v>-25.236111111111111</v>
      </c>
      <c r="M215" s="59">
        <f t="shared" si="316"/>
        <v>-25.236111111111111</v>
      </c>
      <c r="N215" s="59">
        <f t="shared" si="316"/>
        <v>-25.236111111111111</v>
      </c>
    </row>
    <row r="216" spans="1:14" x14ac:dyDescent="0.2">
      <c r="A216" s="58" t="s">
        <v>133</v>
      </c>
      <c r="B216" s="59">
        <f t="shared" ref="B216:H216" si="317">+IFERROR(B214/B$199,"nm")</f>
        <v>0.1298623578695392</v>
      </c>
      <c r="C216" s="59">
        <f t="shared" si="317"/>
        <v>0.16170861937452327</v>
      </c>
      <c r="D216" s="59">
        <f t="shared" si="317"/>
        <v>16.506666666666668</v>
      </c>
      <c r="E216" s="59">
        <f t="shared" si="317"/>
        <v>55.769230769230766</v>
      </c>
      <c r="F216" s="59">
        <f t="shared" si="317"/>
        <v>-239</v>
      </c>
      <c r="G216" s="59">
        <f t="shared" si="317"/>
        <v>-174.18181818181819</v>
      </c>
      <c r="H216" s="59">
        <f t="shared" si="317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8">+J216</f>
        <v>-25.236111111111111</v>
      </c>
      <c r="L216" s="59">
        <f t="shared" si="318"/>
        <v>-25.236111111111111</v>
      </c>
      <c r="M216" s="59">
        <f t="shared" si="318"/>
        <v>-25.236111111111111</v>
      </c>
      <c r="N216" s="59">
        <f t="shared" si="31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opLeftCell="G1" zoomScale="130" zoomScaleNormal="130" workbookViewId="0">
      <selection activeCell="O12" sqref="O12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11.332031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>
        <f>'Segmental forecast'!O4</f>
        <v>0</v>
      </c>
      <c r="P4" s="49">
        <f>'Segmental forecast'!P4</f>
        <v>0</v>
      </c>
      <c r="Q4" s="49">
        <f>'Segmental forecast'!Q4</f>
        <v>0</v>
      </c>
      <c r="R4" s="49">
        <f>'Segmental forecast'!R4</f>
        <v>0</v>
      </c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5731.2612858599869</v>
      </c>
      <c r="K5" s="9">
        <f>'Segmental forecast'!K5</f>
        <v>6319.6629373606302</v>
      </c>
      <c r="L5" s="9">
        <f>'Segmental forecast'!L5</f>
        <v>7024.7657685136819</v>
      </c>
      <c r="M5" s="9">
        <f>'Segmental forecast'!M5</f>
        <v>7868.3128143696267</v>
      </c>
      <c r="N5" s="9">
        <f>'Segmental forecast'!N5</f>
        <v>8876.5921202070094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838.87846929671321</v>
      </c>
      <c r="K6" s="51">
        <f>'Segmental forecast'!K8</f>
        <v>915.83945997551689</v>
      </c>
      <c r="L6" s="51">
        <f>'Segmental forecast'!L8</f>
        <v>1003.7121664608547</v>
      </c>
      <c r="M6" s="51">
        <f>'Segmental forecast'!M8</f>
        <v>1104.2187412375197</v>
      </c>
      <c r="N6" s="51">
        <f>'Segmental forecast'!N8</f>
        <v>1219.3910730812543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4892.382816563274</v>
      </c>
      <c r="K7" s="5">
        <f>'Segmental forecast'!K11</f>
        <v>5403.8234773851136</v>
      </c>
      <c r="L7" s="5">
        <f>'Segmental forecast'!L11</f>
        <v>6021.053602052827</v>
      </c>
      <c r="M7" s="5">
        <f>'Segmental forecast'!M11</f>
        <v>6764.094073132107</v>
      </c>
      <c r="N7" s="5">
        <f>'Segmental forecast'!N11</f>
        <v>7657.2010471257554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-6.5268854305832291E-2</v>
      </c>
      <c r="K8" s="49">
        <f>'Segmental forecast'!K12</f>
        <v>0.10453815247047826</v>
      </c>
      <c r="L8" s="49">
        <f>'Segmental forecast'!L12</f>
        <v>0.1142210006027784</v>
      </c>
      <c r="M8" s="49">
        <f>'Segmental forecast'!M12</f>
        <v>0.12340705135492347</v>
      </c>
      <c r="N8" s="49">
        <f>'Segmental forecast'!N12</f>
        <v>0.13203645075564352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9.5647926195046556E-2</v>
      </c>
      <c r="K9" s="49">
        <f>'Segmental forecast'!K13</f>
        <v>9.6088270532146317E-2</v>
      </c>
      <c r="L9" s="49">
        <f>'Segmental forecast'!L13</f>
        <v>9.6875926338279572E-2</v>
      </c>
      <c r="M9" s="49">
        <f>'Segmental forecast'!M13</f>
        <v>9.7979615781703486E-2</v>
      </c>
      <c r="N9" s="49">
        <f>'Segmental forecast'!N13</f>
        <v>9.9366050775289982E-2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205</v>
      </c>
      <c r="K10" s="3">
        <f>Historicals!K8</f>
        <v>205</v>
      </c>
      <c r="L10" s="3">
        <f>Historicals!L8</f>
        <v>205</v>
      </c>
      <c r="M10" s="3">
        <f>Historicals!M8</f>
        <v>205</v>
      </c>
      <c r="N10" s="3">
        <f>Historicals!N8</f>
        <v>205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6651</v>
      </c>
      <c r="K11" s="5">
        <f>Historicals!K10</f>
        <v>6651</v>
      </c>
      <c r="L11" s="5">
        <f>Historicals!L10</f>
        <v>6651</v>
      </c>
      <c r="M11" s="5">
        <f>Historicals!M10</f>
        <v>6651</v>
      </c>
      <c r="N11" s="5">
        <f>Historicals!N10</f>
        <v>6651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605</v>
      </c>
      <c r="K12" s="3">
        <f>Historicals!K11</f>
        <v>605</v>
      </c>
      <c r="L12" s="3">
        <f>Historicals!L11</f>
        <v>605</v>
      </c>
      <c r="M12" s="3">
        <f>Historicals!M11</f>
        <v>605</v>
      </c>
      <c r="N12" s="3">
        <f>Historicals!N11</f>
        <v>605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I13" si="1">C12/C11</f>
        <v>0.18667531905688947</v>
      </c>
      <c r="D13" s="53">
        <f t="shared" si="1"/>
        <v>0.13221449038067951</v>
      </c>
      <c r="E13" s="53">
        <f t="shared" si="1"/>
        <v>0.55306358381502885</v>
      </c>
      <c r="F13" s="53">
        <f t="shared" si="1"/>
        <v>0.16079983336804832</v>
      </c>
      <c r="G13" s="53">
        <f t="shared" si="1"/>
        <v>0.12054035330793211</v>
      </c>
      <c r="H13" s="53">
        <f t="shared" si="1"/>
        <v>0.14021918630836211</v>
      </c>
      <c r="I13" s="53">
        <f t="shared" si="1"/>
        <v>9.0963764847391368E-2</v>
      </c>
      <c r="J13" s="53">
        <f t="shared" ref="J13" si="2">J12/J11</f>
        <v>9.0963764847391368E-2</v>
      </c>
      <c r="K13" s="53">
        <f t="shared" ref="K13" si="3">K12/K11</f>
        <v>9.0963764847391368E-2</v>
      </c>
      <c r="L13" s="53">
        <f t="shared" ref="L13" si="4">L12/L11</f>
        <v>9.0963764847391368E-2</v>
      </c>
      <c r="M13" s="53">
        <f t="shared" ref="M13" si="5">M12/M11</f>
        <v>9.0963764847391368E-2</v>
      </c>
      <c r="N13" s="53">
        <f t="shared" ref="N13" si="6">N12/N11</f>
        <v>9.0963764847391368E-2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6046</v>
      </c>
      <c r="K14" s="7">
        <f>Historicals!K12</f>
        <v>6046</v>
      </c>
      <c r="L14" s="7">
        <f>Historicals!L12</f>
        <v>6046</v>
      </c>
      <c r="M14" s="7">
        <f>Historicals!M12</f>
        <v>6046</v>
      </c>
      <c r="N14" s="7">
        <f>Historicals!N12</f>
        <v>6046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 t="shared" ref="C16:N16" si="7">C14/C15</f>
        <v>2.1578192252510759</v>
      </c>
      <c r="D16" s="54">
        <f t="shared" si="7"/>
        <v>2.5059101654846336</v>
      </c>
      <c r="E16" s="54">
        <f t="shared" si="7"/>
        <v>1.1650895063588693</v>
      </c>
      <c r="F16" s="54">
        <f t="shared" si="7"/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 t="shared" si="7"/>
        <v>3.7534144524459898</v>
      </c>
      <c r="J16" s="54">
        <f t="shared" ref="J16" si="8">J14/J15</f>
        <v>3.7534144524459898</v>
      </c>
      <c r="K16" s="54">
        <f t="shared" ref="K16" si="9">K14/K15</f>
        <v>3.7534144524459898</v>
      </c>
      <c r="L16" s="54">
        <f t="shared" ref="L16" si="10">L14/L15</f>
        <v>3.7534144524459898</v>
      </c>
      <c r="M16" s="54">
        <f t="shared" ref="M16" si="11">M14/M15</f>
        <v>3.7534144524459898</v>
      </c>
      <c r="N16" s="54">
        <f t="shared" ref="N16" si="12">N14/N15</f>
        <v>3.7534144524459898</v>
      </c>
    </row>
    <row r="17" spans="1:15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Historicals!J94/Historicals!J18*-1</f>
        <v>1.1404271169605165</v>
      </c>
      <c r="K17" s="54">
        <f>Historicals!K94/Historicals!K18*-1</f>
        <v>1.1404271169605165</v>
      </c>
      <c r="L17" s="54">
        <f>Historicals!L94/Historicals!L18*-1</f>
        <v>1.1404271169605165</v>
      </c>
      <c r="M17" s="54">
        <f>Historicals!M94/Historicals!M18*-1</f>
        <v>1.1404271169605165</v>
      </c>
      <c r="N17" s="54">
        <f>Historicals!N94/Historicals!N18*-1</f>
        <v>1.1404271169605165</v>
      </c>
    </row>
    <row r="18" spans="1:15" x14ac:dyDescent="0.2">
      <c r="A18" s="52" t="s">
        <v>129</v>
      </c>
      <c r="B18" s="64" t="str">
        <f>+IFERROR(B3/A3-1,"nm")</f>
        <v>nm</v>
      </c>
      <c r="C18" s="65">
        <f t="shared" ref="C18:I18" si="13">+IFERROR(C3/B3-1,"nm")</f>
        <v>5.8004640371229765E-2</v>
      </c>
      <c r="D18" s="65">
        <f t="shared" si="13"/>
        <v>6.0971089696071123E-2</v>
      </c>
      <c r="E18" s="65">
        <f t="shared" si="13"/>
        <v>5.95924308588065E-2</v>
      </c>
      <c r="F18" s="65">
        <f t="shared" si="13"/>
        <v>7.4731433909388079E-2</v>
      </c>
      <c r="G18" s="65">
        <f t="shared" si="13"/>
        <v>-4.3817266150267153E-2</v>
      </c>
      <c r="H18" s="65">
        <f t="shared" si="13"/>
        <v>0.19076009945726269</v>
      </c>
      <c r="I18" s="65">
        <f t="shared" si="13"/>
        <v>4.8767344739323759E-2</v>
      </c>
      <c r="J18" s="65">
        <f t="shared" ref="J18" si="14">+IFERROR(J3/I3-1,"nm")</f>
        <v>9.5052665382145296E-2</v>
      </c>
      <c r="K18" s="65">
        <f t="shared" ref="K18" si="15">+IFERROR(K3/J3-1,"nm")</f>
        <v>9.9476378355308759E-2</v>
      </c>
      <c r="L18" s="65">
        <f t="shared" ref="L18" si="16">+IFERROR(L3/K3-1,"nm")</f>
        <v>0.10516175674712924</v>
      </c>
      <c r="M18" s="65">
        <f t="shared" ref="M18" si="17">+IFERROR(M3/L3-1,"nm")</f>
        <v>0.11075245485180107</v>
      </c>
      <c r="N18" s="65">
        <f t="shared" ref="N18" si="18">+IFERROR(N3/M3-1,"nm")</f>
        <v>0.11624136846046018</v>
      </c>
    </row>
    <row r="19" spans="1:15" x14ac:dyDescent="0.2">
      <c r="A19" s="52" t="s">
        <v>164</v>
      </c>
      <c r="B19" s="53">
        <f>B17/B16</f>
        <v>0.26803816338700065</v>
      </c>
      <c r="C19" s="53">
        <f t="shared" ref="C19:N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 t="shared" si="19"/>
        <v>0.30383724776711873</v>
      </c>
      <c r="J19" s="53">
        <f t="shared" si="19"/>
        <v>0.30383724776711873</v>
      </c>
      <c r="K19" s="53">
        <f t="shared" si="19"/>
        <v>0.30383724776711873</v>
      </c>
      <c r="L19" s="53">
        <f t="shared" si="19"/>
        <v>0.30383724776711873</v>
      </c>
      <c r="M19" s="53">
        <f t="shared" si="19"/>
        <v>0.30383724776711873</v>
      </c>
      <c r="N19" s="53">
        <f t="shared" si="19"/>
        <v>0.30383724776711873</v>
      </c>
    </row>
    <row r="20" spans="1:15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8574</v>
      </c>
      <c r="K21" s="3">
        <f>Historicals!K25</f>
        <v>8574</v>
      </c>
      <c r="L21" s="3">
        <f>Historicals!L25</f>
        <v>8574</v>
      </c>
      <c r="M21" s="3">
        <f>Historicals!M25</f>
        <v>8574</v>
      </c>
      <c r="N21" s="3">
        <f>Historicals!N25</f>
        <v>8574</v>
      </c>
    </row>
    <row r="22" spans="1:15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4423</v>
      </c>
      <c r="K22" s="3">
        <f>Historicals!K26</f>
        <v>4423</v>
      </c>
      <c r="L22" s="3">
        <f>Historicals!L26</f>
        <v>4423</v>
      </c>
      <c r="M22" s="3">
        <f>Historicals!M26</f>
        <v>4423</v>
      </c>
      <c r="N22" s="3">
        <f>Historicals!N26</f>
        <v>4423</v>
      </c>
    </row>
    <row r="23" spans="1:15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(Historicals!J27+Historicals!J28)-Historicals!J41</f>
        <v>9729</v>
      </c>
      <c r="K23" s="3">
        <f>(Historicals!K27+Historicals!K28)-Historicals!K41</f>
        <v>9729</v>
      </c>
      <c r="L23" s="3">
        <f>(Historicals!L27+Historicals!L28)-Historicals!L41</f>
        <v>9729</v>
      </c>
      <c r="M23" s="3">
        <f>(Historicals!M27+Historicals!M28)-Historicals!M41</f>
        <v>9729</v>
      </c>
      <c r="N23" s="3">
        <f>(Historicals!N27+Historicals!N28)-Historicals!N41</f>
        <v>9729</v>
      </c>
      <c r="O23" s="3">
        <f>(Historicals!O27+Historicals!O28)-Historicals!O41</f>
        <v>0</v>
      </c>
    </row>
    <row r="24" spans="1:15" x14ac:dyDescent="0.2">
      <c r="A24" s="52" t="s">
        <v>169</v>
      </c>
      <c r="B24" s="53">
        <f>B23/B3</f>
        <v>0.18182412339466031</v>
      </c>
      <c r="C24" s="53">
        <f t="shared" ref="C24:N24" si="20">C23/C3</f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f t="shared" si="20"/>
        <v>0.19020561326500868</v>
      </c>
      <c r="K24" s="53">
        <f t="shared" si="20"/>
        <v>0.17299654363610298</v>
      </c>
      <c r="L24" s="53">
        <f t="shared" si="20"/>
        <v>0.15653504347208977</v>
      </c>
      <c r="M24" s="53">
        <f t="shared" si="20"/>
        <v>0.14092702904984802</v>
      </c>
      <c r="N24" s="53">
        <f t="shared" si="20"/>
        <v>0.12625139421612466</v>
      </c>
    </row>
    <row r="25" spans="1:15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2129</v>
      </c>
      <c r="K25" s="3">
        <f>Historicals!K29</f>
        <v>2129</v>
      </c>
      <c r="L25" s="3">
        <f>Historicals!L29</f>
        <v>2129</v>
      </c>
      <c r="M25" s="3">
        <f>Historicals!M29</f>
        <v>2129</v>
      </c>
      <c r="N25" s="3">
        <f>Historicals!N29</f>
        <v>2129</v>
      </c>
    </row>
    <row r="26" spans="1:15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4791</v>
      </c>
      <c r="K26" s="3">
        <f>Historicals!K31</f>
        <v>4791</v>
      </c>
      <c r="L26" s="3">
        <f>Historicals!L31</f>
        <v>4791</v>
      </c>
      <c r="M26" s="3">
        <f>Historicals!M31</f>
        <v>4791</v>
      </c>
      <c r="N26" s="3">
        <f>Historicals!N31</f>
        <v>4791</v>
      </c>
    </row>
    <row r="27" spans="1:15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286</v>
      </c>
      <c r="K27" s="3">
        <f>Historicals!K33</f>
        <v>286</v>
      </c>
      <c r="L27" s="3">
        <f>Historicals!L33</f>
        <v>286</v>
      </c>
      <c r="M27" s="3">
        <f>Historicals!M33</f>
        <v>286</v>
      </c>
      <c r="N27" s="3">
        <f>Historicals!N33</f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284</v>
      </c>
      <c r="K28" s="3">
        <f>Historicals!K34</f>
        <v>284</v>
      </c>
      <c r="L28" s="3">
        <f>Historicals!L34</f>
        <v>284</v>
      </c>
      <c r="M28" s="3">
        <f>Historicals!M34</f>
        <v>284</v>
      </c>
      <c r="N28" s="3">
        <f>Historicals!N34</f>
        <v>284</v>
      </c>
    </row>
    <row r="29" spans="1:15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2926</v>
      </c>
      <c r="K29" s="3">
        <f>Historicals!K32</f>
        <v>2926</v>
      </c>
      <c r="L29" s="3">
        <f>Historicals!L32</f>
        <v>2926</v>
      </c>
      <c r="M29" s="3">
        <f>Historicals!M32</f>
        <v>2926</v>
      </c>
      <c r="N29" s="3">
        <f>Historicals!N32</f>
        <v>2926</v>
      </c>
    </row>
    <row r="30" spans="1:15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Historicals!J35</f>
        <v>3821</v>
      </c>
      <c r="K30" s="3">
        <f>Historicals!K35</f>
        <v>3821</v>
      </c>
      <c r="L30" s="3">
        <f>Historicals!L35</f>
        <v>3821</v>
      </c>
      <c r="M30" s="3">
        <f>Historicals!M35</f>
        <v>3821</v>
      </c>
      <c r="N30" s="3">
        <f>Historicals!N35</f>
        <v>3821</v>
      </c>
    </row>
    <row r="31" spans="1:15" ht="16" thickBot="1" x14ac:dyDescent="0.25">
      <c r="A31" s="6" t="s">
        <v>174</v>
      </c>
      <c r="B31" s="7">
        <f>B21+B22+B23+B25+B26+B27+B28+B29+B30</f>
        <v>19466</v>
      </c>
      <c r="C31" s="7">
        <f t="shared" ref="C31:I31" si="21">C21+C22+C23+C25+C26+C27+C28+C29+C30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>
        <f t="shared" ref="J31" si="22">J21+J22+J23+J25+J26+J27+J28+J29+J30</f>
        <v>36963</v>
      </c>
      <c r="K31" s="7">
        <f t="shared" ref="K31" si="23">K21+K22+K23+K25+K26+K27+K28+K29+K30</f>
        <v>36963</v>
      </c>
      <c r="L31" s="7">
        <f t="shared" ref="L31" si="24">L21+L22+L23+L25+L26+L27+L28+L29+L30</f>
        <v>36963</v>
      </c>
      <c r="M31" s="7">
        <f t="shared" ref="M31" si="25">M21+M22+M23+M25+M26+M27+M28+M29+M30</f>
        <v>36963</v>
      </c>
      <c r="N31" s="7">
        <f t="shared" ref="N31" si="26">N21+N22+N23+N25+N26+N27+N28+N29+N30</f>
        <v>36963</v>
      </c>
    </row>
    <row r="32" spans="1:15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7">J33</f>
        <v>500</v>
      </c>
      <c r="L33" s="3">
        <f t="shared" si="27"/>
        <v>500</v>
      </c>
      <c r="M33" s="3">
        <f t="shared" si="27"/>
        <v>500</v>
      </c>
      <c r="N33" s="3">
        <f t="shared" si="27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28">I34</f>
        <v>10</v>
      </c>
      <c r="K34" s="3">
        <f t="shared" si="28"/>
        <v>10</v>
      </c>
      <c r="L34" s="3">
        <f t="shared" si="28"/>
        <v>10</v>
      </c>
      <c r="M34" s="3">
        <f t="shared" si="28"/>
        <v>10</v>
      </c>
      <c r="N34" s="3">
        <f t="shared" si="28"/>
        <v>10</v>
      </c>
    </row>
    <row r="35" spans="1:14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29">I35</f>
        <v>6862</v>
      </c>
      <c r="K35" s="3">
        <f t="shared" si="29"/>
        <v>6862</v>
      </c>
      <c r="L35" s="3">
        <f t="shared" si="29"/>
        <v>6862</v>
      </c>
      <c r="M35" s="3">
        <f t="shared" si="29"/>
        <v>6862</v>
      </c>
      <c r="N35" s="3">
        <f t="shared" si="29"/>
        <v>6862</v>
      </c>
    </row>
    <row r="36" spans="1:14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0">I36</f>
        <v>8920</v>
      </c>
      <c r="K36" s="3">
        <f t="shared" si="30"/>
        <v>8920</v>
      </c>
      <c r="L36" s="3">
        <f t="shared" si="30"/>
        <v>8920</v>
      </c>
      <c r="M36" s="3">
        <f t="shared" si="30"/>
        <v>8920</v>
      </c>
      <c r="N36" s="3">
        <f t="shared" si="30"/>
        <v>8920</v>
      </c>
    </row>
    <row r="37" spans="1:14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1">I37</f>
        <v>2777</v>
      </c>
      <c r="K37" s="3">
        <f t="shared" si="31"/>
        <v>2777</v>
      </c>
      <c r="L37" s="3">
        <f t="shared" si="31"/>
        <v>2777</v>
      </c>
      <c r="M37" s="3">
        <f t="shared" si="31"/>
        <v>2777</v>
      </c>
      <c r="N37" s="3">
        <f t="shared" si="31"/>
        <v>2777</v>
      </c>
    </row>
    <row r="38" spans="1:14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2">I38</f>
        <v>2613</v>
      </c>
      <c r="K38" s="3">
        <f t="shared" si="32"/>
        <v>2613</v>
      </c>
      <c r="L38" s="3">
        <f t="shared" si="32"/>
        <v>2613</v>
      </c>
      <c r="M38" s="3">
        <f t="shared" si="32"/>
        <v>2613</v>
      </c>
      <c r="N38" s="3">
        <f t="shared" si="32"/>
        <v>2613</v>
      </c>
    </row>
    <row r="39" spans="1:14" x14ac:dyDescent="0.2">
      <c r="A39" t="s">
        <v>178</v>
      </c>
      <c r="B39" s="3">
        <f>B40+B41+B42</f>
        <v>12707</v>
      </c>
      <c r="C39" s="3">
        <f t="shared" ref="C39:I39" si="33">C40+C41+C42</f>
        <v>12258</v>
      </c>
      <c r="D39" s="3">
        <f t="shared" si="33"/>
        <v>12407</v>
      </c>
      <c r="E39" s="3">
        <f t="shared" si="33"/>
        <v>9812</v>
      </c>
      <c r="F39" s="3">
        <f t="shared" si="33"/>
        <v>9040</v>
      </c>
      <c r="G39" s="3">
        <f t="shared" si="33"/>
        <v>8055</v>
      </c>
      <c r="H39" s="3">
        <f t="shared" si="33"/>
        <v>12767</v>
      </c>
      <c r="I39" s="3">
        <f t="shared" si="33"/>
        <v>15281</v>
      </c>
      <c r="J39" s="3">
        <f t="shared" ref="J39:N39" si="34">I39</f>
        <v>15281</v>
      </c>
      <c r="K39" s="3">
        <f t="shared" si="34"/>
        <v>15281</v>
      </c>
      <c r="L39" s="3">
        <f t="shared" si="34"/>
        <v>15281</v>
      </c>
      <c r="M39" s="3">
        <f t="shared" si="34"/>
        <v>15281</v>
      </c>
      <c r="N39" s="3">
        <f t="shared" si="34"/>
        <v>15281</v>
      </c>
    </row>
    <row r="40" spans="1:14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5">I40</f>
        <v>3</v>
      </c>
      <c r="K40" s="3">
        <f t="shared" si="35"/>
        <v>3</v>
      </c>
      <c r="L40" s="3">
        <f t="shared" si="35"/>
        <v>3</v>
      </c>
      <c r="M40" s="3">
        <f t="shared" si="35"/>
        <v>3</v>
      </c>
      <c r="N40" s="3">
        <f t="shared" si="35"/>
        <v>3</v>
      </c>
    </row>
    <row r="41" spans="1:14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ref="J41:N41" si="36">I41</f>
        <v>3476</v>
      </c>
      <c r="K41" s="3">
        <f t="shared" si="36"/>
        <v>3476</v>
      </c>
      <c r="L41" s="3">
        <f t="shared" si="36"/>
        <v>3476</v>
      </c>
      <c r="M41" s="3">
        <f t="shared" si="36"/>
        <v>3476</v>
      </c>
      <c r="N41" s="3">
        <f t="shared" si="36"/>
        <v>3476</v>
      </c>
    </row>
    <row r="42" spans="1:14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4" ht="16" thickBot="1" x14ac:dyDescent="0.25">
      <c r="A43" s="6" t="s">
        <v>182</v>
      </c>
      <c r="B43" s="7">
        <f>B33+B34+B35+B36+B37+B38+B39</f>
        <v>19466</v>
      </c>
      <c r="C43" s="7">
        <f t="shared" ref="C43:N43" si="37">C33+C34+C35+C36+C37+C38+C39</f>
        <v>19205</v>
      </c>
      <c r="D43" s="7">
        <f t="shared" si="37"/>
        <v>21211</v>
      </c>
      <c r="E43" s="7">
        <f t="shared" si="37"/>
        <v>20257</v>
      </c>
      <c r="F43" s="7">
        <f t="shared" si="37"/>
        <v>21105</v>
      </c>
      <c r="G43" s="7">
        <f t="shared" si="37"/>
        <v>29094</v>
      </c>
      <c r="H43" s="7">
        <f t="shared" si="37"/>
        <v>34904</v>
      </c>
      <c r="I43" s="7">
        <f t="shared" si="37"/>
        <v>36963</v>
      </c>
      <c r="J43" s="7">
        <f t="shared" si="37"/>
        <v>36963</v>
      </c>
      <c r="K43" s="7">
        <f t="shared" si="37"/>
        <v>36963</v>
      </c>
      <c r="L43" s="7">
        <f t="shared" si="37"/>
        <v>36963</v>
      </c>
      <c r="M43" s="7">
        <f t="shared" si="37"/>
        <v>36963</v>
      </c>
      <c r="N43" s="7">
        <f t="shared" si="37"/>
        <v>36963</v>
      </c>
    </row>
    <row r="44" spans="1:14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I46</f>
        <v>5234</v>
      </c>
      <c r="K46" s="9">
        <f t="shared" ref="K46:N46" si="38">J46</f>
        <v>5234</v>
      </c>
      <c r="L46" s="9">
        <f t="shared" si="38"/>
        <v>5234</v>
      </c>
      <c r="M46" s="9">
        <f t="shared" si="38"/>
        <v>5234</v>
      </c>
      <c r="N46" s="9">
        <f t="shared" si="38"/>
        <v>5234</v>
      </c>
    </row>
    <row r="47" spans="1:14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9">
        <f t="shared" ref="J47:N47" si="39">I47</f>
        <v>731</v>
      </c>
      <c r="K47" s="9">
        <f t="shared" si="39"/>
        <v>731</v>
      </c>
      <c r="L47" s="9">
        <f t="shared" si="39"/>
        <v>731</v>
      </c>
      <c r="M47" s="9">
        <f t="shared" si="39"/>
        <v>731</v>
      </c>
      <c r="N47" s="9">
        <f t="shared" si="39"/>
        <v>731</v>
      </c>
    </row>
    <row r="48" spans="1:14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9">
        <f t="shared" ref="J48:N48" si="40">I48</f>
        <v>1231</v>
      </c>
      <c r="K48" s="9">
        <f t="shared" si="40"/>
        <v>1231</v>
      </c>
      <c r="L48" s="9">
        <f t="shared" si="40"/>
        <v>1231</v>
      </c>
      <c r="M48" s="9">
        <f t="shared" si="40"/>
        <v>1231</v>
      </c>
      <c r="N48" s="9">
        <f t="shared" si="40"/>
        <v>1231</v>
      </c>
    </row>
    <row r="49" spans="1:14" x14ac:dyDescent="0.2">
      <c r="A49" s="1" t="s">
        <v>186</v>
      </c>
      <c r="B49" s="9">
        <f>B46-B48</f>
        <v>2971</v>
      </c>
      <c r="C49" s="9">
        <f t="shared" ref="C49:I49" si="41">C46-C48</f>
        <v>3894</v>
      </c>
      <c r="D49" s="9">
        <f t="shared" si="41"/>
        <v>3602</v>
      </c>
      <c r="E49" s="9">
        <f t="shared" si="41"/>
        <v>3000</v>
      </c>
      <c r="F49" s="9">
        <f t="shared" si="41"/>
        <v>3096</v>
      </c>
      <c r="G49" s="9">
        <f t="shared" si="41"/>
        <v>1060</v>
      </c>
      <c r="H49" s="9">
        <f t="shared" si="41"/>
        <v>4520</v>
      </c>
      <c r="I49" s="9">
        <f t="shared" si="41"/>
        <v>4003</v>
      </c>
      <c r="J49" s="9">
        <f t="shared" ref="J49" si="42">J46-J48</f>
        <v>4003</v>
      </c>
      <c r="K49" s="9">
        <f t="shared" ref="K49" si="43">K46-K48</f>
        <v>4003</v>
      </c>
      <c r="L49" s="9">
        <f t="shared" ref="L49" si="44">L46-L48</f>
        <v>4003</v>
      </c>
      <c r="M49" s="9">
        <f t="shared" ref="M49" si="45">M46-M48</f>
        <v>4003</v>
      </c>
      <c r="N49" s="9">
        <f t="shared" ref="N49" si="46">N46-N48</f>
        <v>4003</v>
      </c>
    </row>
    <row r="50" spans="1:14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Historicals!J104</f>
        <v>290</v>
      </c>
      <c r="K50" s="3">
        <f>Historicals!K104</f>
        <v>290</v>
      </c>
      <c r="L50" s="3">
        <f>Historicals!L104</f>
        <v>290</v>
      </c>
      <c r="M50" s="3">
        <f>Historicals!M104</f>
        <v>290</v>
      </c>
      <c r="N50" s="3">
        <f>Historicals!N104</f>
        <v>290</v>
      </c>
    </row>
    <row r="51" spans="1:14" x14ac:dyDescent="0.2">
      <c r="A51" t="s">
        <v>188</v>
      </c>
      <c r="B51" s="3">
        <v>113</v>
      </c>
      <c r="C51" s="3">
        <f>B23-C23</f>
        <v>-324</v>
      </c>
      <c r="D51" s="3">
        <f t="shared" ref="D51:N51" si="47">C23-D23</f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>I23-J23</f>
        <v>0</v>
      </c>
      <c r="K51" s="3">
        <f t="shared" si="47"/>
        <v>0</v>
      </c>
      <c r="L51" s="3">
        <f t="shared" si="47"/>
        <v>0</v>
      </c>
      <c r="M51" s="3">
        <f t="shared" si="47"/>
        <v>0</v>
      </c>
      <c r="N51" s="3">
        <f t="shared" si="47"/>
        <v>0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189</v>
      </c>
      <c r="B53" s="9">
        <f>(B47+B49)-(B52-B51)</f>
        <v>4653</v>
      </c>
      <c r="C53" s="9">
        <f t="shared" ref="C53:N53" si="48">(C47+C49)-(C52-C51)</f>
        <v>5382</v>
      </c>
      <c r="D53" s="9">
        <f t="shared" si="48"/>
        <v>4622</v>
      </c>
      <c r="E53" s="9">
        <f t="shared" si="48"/>
        <v>4973</v>
      </c>
      <c r="F53" s="9">
        <f t="shared" si="48"/>
        <v>4112</v>
      </c>
      <c r="G53" s="9">
        <f t="shared" si="48"/>
        <v>2276</v>
      </c>
      <c r="H53" s="9">
        <f t="shared" si="48"/>
        <v>5357</v>
      </c>
      <c r="I53" s="9">
        <f t="shared" si="48"/>
        <v>4244</v>
      </c>
      <c r="J53" s="9">
        <f t="shared" si="48"/>
        <v>5611.0677870175314</v>
      </c>
      <c r="K53" s="9">
        <f t="shared" si="48"/>
        <v>5701.060934582737</v>
      </c>
      <c r="L53" s="9">
        <f t="shared" si="48"/>
        <v>5804.2781009751461</v>
      </c>
      <c r="M53" s="9">
        <f t="shared" si="48"/>
        <v>5922.8255319086111</v>
      </c>
      <c r="N53" s="9">
        <f t="shared" si="48"/>
        <v>6059.191723307873</v>
      </c>
    </row>
    <row r="54" spans="1:14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f>Historicals!J76-J49-J51-J47</f>
        <v>454</v>
      </c>
      <c r="K54" s="3">
        <f>Historicals!K76-K49-K51-K47</f>
        <v>454</v>
      </c>
      <c r="L54" s="3">
        <f>Historicals!L76-L49-L51-L47</f>
        <v>454</v>
      </c>
      <c r="M54" s="3">
        <f>Historicals!M76-M49-M51-M47</f>
        <v>454</v>
      </c>
      <c r="N54" s="3">
        <f>Historicals!N76-N49-N51-N47</f>
        <v>454</v>
      </c>
    </row>
    <row r="55" spans="1:14" x14ac:dyDescent="0.2">
      <c r="A55" s="27" t="s">
        <v>191</v>
      </c>
      <c r="B55" s="26">
        <f>B49+B51+B47+B54</f>
        <v>4680</v>
      </c>
      <c r="C55" s="26">
        <f t="shared" ref="C55:I55" si="49">C49+C51+C47+C54</f>
        <v>3096</v>
      </c>
      <c r="D55" s="26">
        <f t="shared" si="49"/>
        <v>3640</v>
      </c>
      <c r="E55" s="26">
        <f t="shared" si="49"/>
        <v>4955</v>
      </c>
      <c r="F55" s="26">
        <f t="shared" si="49"/>
        <v>5903</v>
      </c>
      <c r="G55" s="26">
        <f t="shared" si="49"/>
        <v>2485</v>
      </c>
      <c r="H55" s="26">
        <f t="shared" si="49"/>
        <v>6657</v>
      </c>
      <c r="I55" s="26">
        <f t="shared" si="49"/>
        <v>5188</v>
      </c>
      <c r="J55" s="26">
        <f t="shared" ref="J55" si="50">J49+J51+J47+J54</f>
        <v>5188</v>
      </c>
      <c r="K55" s="26">
        <f t="shared" ref="K55" si="51">K49+K51+K47+K54</f>
        <v>5188</v>
      </c>
      <c r="L55" s="26">
        <f t="shared" ref="L55" si="52">L49+L51+L47+L54</f>
        <v>5188</v>
      </c>
      <c r="M55" s="26">
        <f t="shared" ref="M55" si="53">M49+M51+M47+M54</f>
        <v>5188</v>
      </c>
      <c r="N55" s="26">
        <f t="shared" ref="N55" si="54">N49+N51+N47+N54</f>
        <v>5188</v>
      </c>
    </row>
    <row r="56" spans="1:14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Historicals!J84+Historicals!J78+Historicals!J79+Historicals!J80+Historicals!J81+Historicals!J83</f>
        <v>-766</v>
      </c>
      <c r="K57" s="3">
        <f>Historicals!K84+Historicals!K78+Historicals!K79+Historicals!K80+Historicals!K81+Historicals!K83</f>
        <v>-766</v>
      </c>
      <c r="L57" s="3">
        <f>Historicals!L84+Historicals!L78+Historicals!L79+Historicals!L80+Historicals!L81+Historicals!L83</f>
        <v>-766</v>
      </c>
      <c r="M57" s="3">
        <f>Historicals!M84+Historicals!M78+Historicals!M79+Historicals!M80+Historicals!M81+Historicals!M83</f>
        <v>-766</v>
      </c>
      <c r="N57" s="3">
        <f>Historicals!N84+Historicals!N78+Historicals!N79+Historicals!N80+Historicals!N81+Historicals!N83</f>
        <v>-766</v>
      </c>
    </row>
    <row r="58" spans="1:14" x14ac:dyDescent="0.2">
      <c r="A58" s="27" t="s">
        <v>194</v>
      </c>
      <c r="B58" s="26">
        <f>B57+B56+B52</f>
        <v>-175</v>
      </c>
      <c r="C58" s="26">
        <f t="shared" ref="C58:I58" si="55">C57+C56+C52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ref="J58" si="56">J57+J56+J52</f>
        <v>-1643.0677870175314</v>
      </c>
      <c r="K58" s="26">
        <f t="shared" ref="K58" si="57">K57+K56+K52</f>
        <v>-1733.0609345827365</v>
      </c>
      <c r="L58" s="26">
        <f t="shared" ref="L58" si="58">L57+L56+L52</f>
        <v>-1836.2781009751459</v>
      </c>
      <c r="M58" s="26">
        <f t="shared" ref="M58" si="59">M57+M56+M52</f>
        <v>-1954.8255319086113</v>
      </c>
      <c r="N58" s="26">
        <f t="shared" ref="N58" si="60">N57+N56+N52</f>
        <v>-2091.191723307873</v>
      </c>
    </row>
    <row r="59" spans="1:14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Historicals!J93+Historicals!J91</f>
        <v>-2863</v>
      </c>
      <c r="K59" s="3">
        <f>Historicals!K93+Historicals!K91</f>
        <v>-2863</v>
      </c>
      <c r="L59" s="3">
        <f>Historicals!L93+Historicals!L91</f>
        <v>-2863</v>
      </c>
      <c r="M59" s="3">
        <f>Historicals!M93+Historicals!M91</f>
        <v>-2863</v>
      </c>
      <c r="N59" s="3">
        <f>Historicals!N93+Historicals!N91</f>
        <v>-2863</v>
      </c>
    </row>
    <row r="60" spans="1:14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1">+IFERROR(D59/C59-1,"nm")*-1</f>
        <v>-1.0984987184181616E-3</v>
      </c>
      <c r="E60" s="53">
        <f t="shared" si="61"/>
        <v>-0.28785662033650339</v>
      </c>
      <c r="F60" s="53">
        <f t="shared" si="61"/>
        <v>-1.8460664583924924E-2</v>
      </c>
      <c r="G60" s="53">
        <f t="shared" si="61"/>
        <v>0.39152258784160621</v>
      </c>
      <c r="H60" s="53">
        <f t="shared" si="61"/>
        <v>1.2584784601283228</v>
      </c>
      <c r="I60" s="53">
        <f t="shared" si="61"/>
        <v>6.0762411347517729</v>
      </c>
      <c r="J60" s="53">
        <f t="shared" ref="J60" si="62">+IFERROR(J59/I59-1,"nm")*-1</f>
        <v>0</v>
      </c>
      <c r="K60" s="53">
        <f t="shared" ref="K60" si="63">+IFERROR(K59/J59-1,"nm")*-1</f>
        <v>0</v>
      </c>
      <c r="L60" s="53">
        <f t="shared" ref="L60" si="64">+IFERROR(L59/K59-1,"nm")*-1</f>
        <v>0</v>
      </c>
      <c r="M60" s="53">
        <f t="shared" ref="M60" si="65">+IFERROR(M59/L59-1,"nm")*-1</f>
        <v>0</v>
      </c>
      <c r="N60" s="53">
        <f t="shared" ref="N60" si="66">+IFERROR(N59/M59-1,"nm")*-1</f>
        <v>0</v>
      </c>
    </row>
    <row r="61" spans="1:14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Historicals!J94</f>
        <v>-1837</v>
      </c>
      <c r="K61" s="3">
        <f>Historicals!K94</f>
        <v>-1837</v>
      </c>
      <c r="L61" s="3">
        <f>Historicals!L94</f>
        <v>-1837</v>
      </c>
      <c r="M61" s="3">
        <f>Historicals!M94</f>
        <v>-1837</v>
      </c>
      <c r="N61" s="3">
        <f>Historicals!N94</f>
        <v>-1837</v>
      </c>
    </row>
    <row r="62" spans="1:14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>
        <f>Historicals!J87+Historicals!J89+Historicals!J90+Historicals!J92+Historicals!J88</f>
        <v>15</v>
      </c>
      <c r="K62" s="3">
        <f>Historicals!K87+Historicals!K89+Historicals!K90+Historicals!K92+Historicals!K88</f>
        <v>15</v>
      </c>
      <c r="L62" s="3">
        <f>Historicals!L87+Historicals!L89+Historicals!L90+Historicals!L92+Historicals!L88</f>
        <v>15</v>
      </c>
      <c r="M62" s="3">
        <f>Historicals!M87+Historicals!M89+Historicals!M90+Historicals!M92+Historicals!M88</f>
        <v>15</v>
      </c>
      <c r="N62" s="3">
        <f>Historicals!N87+Historicals!N89+Historicals!N90+Historicals!N92+Historicals!N88</f>
        <v>15</v>
      </c>
    </row>
    <row r="63" spans="1:14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Historicals!J95</f>
        <v>-151</v>
      </c>
      <c r="K63" s="3">
        <f>Historicals!K95</f>
        <v>-151</v>
      </c>
      <c r="L63" s="3">
        <f>Historicals!L95</f>
        <v>-151</v>
      </c>
      <c r="M63" s="3">
        <f>Historicals!M95</f>
        <v>-151</v>
      </c>
      <c r="N63" s="3">
        <f>Historicals!N95</f>
        <v>-151</v>
      </c>
    </row>
    <row r="64" spans="1:14" x14ac:dyDescent="0.2">
      <c r="A64" s="27" t="s">
        <v>199</v>
      </c>
      <c r="B64" s="26">
        <f>B59+B61+B62+B63</f>
        <v>-2790</v>
      </c>
      <c r="C64" s="26">
        <f t="shared" ref="C64:I64" si="67">C59+C61+C62+C63</f>
        <v>-2671</v>
      </c>
      <c r="D64" s="26">
        <f t="shared" si="67"/>
        <v>-1942</v>
      </c>
      <c r="E64" s="26">
        <f t="shared" si="67"/>
        <v>-4835</v>
      </c>
      <c r="F64" s="26">
        <f t="shared" si="67"/>
        <v>-5293</v>
      </c>
      <c r="G64" s="26">
        <f t="shared" si="67"/>
        <v>2491</v>
      </c>
      <c r="H64" s="26">
        <f t="shared" si="67"/>
        <v>-1459</v>
      </c>
      <c r="I64" s="26">
        <f t="shared" si="67"/>
        <v>-4836</v>
      </c>
      <c r="J64" s="26">
        <f t="shared" ref="J64" si="68">J59+J61+J62+J63</f>
        <v>-4836</v>
      </c>
      <c r="K64" s="26">
        <f t="shared" ref="K64" si="69">K59+K61+K62+K63</f>
        <v>-4836</v>
      </c>
      <c r="L64" s="26">
        <f t="shared" ref="L64" si="70">L59+L61+L62+L63</f>
        <v>-4836</v>
      </c>
      <c r="M64" s="26">
        <f t="shared" ref="M64" si="71">M59+M61+M62+M63</f>
        <v>-4836</v>
      </c>
      <c r="N64" s="26">
        <f t="shared" ref="N64" si="72">N59+N61+N62+N63</f>
        <v>-4836</v>
      </c>
    </row>
    <row r="65" spans="1:14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Historicals!J97</f>
        <v>-143</v>
      </c>
      <c r="K65" s="3">
        <f>Historicals!K97</f>
        <v>-143</v>
      </c>
      <c r="L65" s="3">
        <f>Historicals!L97</f>
        <v>-143</v>
      </c>
      <c r="M65" s="3">
        <f>Historicals!M97</f>
        <v>-143</v>
      </c>
      <c r="N65" s="3">
        <f>Historicals!N97</f>
        <v>-143</v>
      </c>
    </row>
    <row r="66" spans="1:14" x14ac:dyDescent="0.2">
      <c r="A66" s="27" t="s">
        <v>201</v>
      </c>
      <c r="B66" s="26">
        <f>B55+B58+B64+B65</f>
        <v>1632</v>
      </c>
      <c r="C66" s="26">
        <f t="shared" ref="C66:I66" si="73">C55+C58+C64+C65</f>
        <v>-714</v>
      </c>
      <c r="D66" s="26">
        <f t="shared" si="73"/>
        <v>670</v>
      </c>
      <c r="E66" s="26">
        <f t="shared" si="73"/>
        <v>441</v>
      </c>
      <c r="F66" s="26">
        <f t="shared" si="73"/>
        <v>217</v>
      </c>
      <c r="G66" s="26">
        <f t="shared" si="73"/>
        <v>3882</v>
      </c>
      <c r="H66" s="26">
        <f t="shared" si="73"/>
        <v>1541</v>
      </c>
      <c r="I66" s="26">
        <f t="shared" si="73"/>
        <v>-1315</v>
      </c>
      <c r="J66" s="26">
        <f t="shared" ref="J66" si="74">J55+J58+J64+J65</f>
        <v>-1434.0677870175314</v>
      </c>
      <c r="K66" s="26">
        <f t="shared" ref="K66" si="75">K55+K58+K64+K65</f>
        <v>-1524.0609345827365</v>
      </c>
      <c r="L66" s="26">
        <f t="shared" ref="L66" si="76">L55+L58+L64+L65</f>
        <v>-1627.2781009751461</v>
      </c>
      <c r="M66" s="26">
        <f t="shared" ref="M66" si="77">M55+M58+M64+M65</f>
        <v>-1745.8255319086111</v>
      </c>
      <c r="N66" s="26">
        <f t="shared" ref="N66" si="78">N55+N58+N64+N65</f>
        <v>-1882.191723307873</v>
      </c>
    </row>
    <row r="67" spans="1:14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9">C68</f>
        <v>3138</v>
      </c>
      <c r="E67" s="3">
        <f t="shared" si="79"/>
        <v>3808</v>
      </c>
      <c r="F67" s="3">
        <f t="shared" si="79"/>
        <v>4249</v>
      </c>
      <c r="G67" s="3">
        <f t="shared" si="79"/>
        <v>4466</v>
      </c>
      <c r="H67" s="3">
        <f t="shared" si="79"/>
        <v>8348</v>
      </c>
      <c r="I67" s="3">
        <f t="shared" si="79"/>
        <v>9889</v>
      </c>
      <c r="J67" s="3">
        <f t="shared" si="79"/>
        <v>8574</v>
      </c>
      <c r="K67" s="3">
        <f t="shared" si="79"/>
        <v>7139.9322129824686</v>
      </c>
      <c r="L67" s="3">
        <f t="shared" si="79"/>
        <v>5615.8712783997325</v>
      </c>
      <c r="M67" s="3">
        <f t="shared" si="79"/>
        <v>3988.5931774245864</v>
      </c>
      <c r="N67" s="3">
        <f t="shared" si="79"/>
        <v>2242.7676455159753</v>
      </c>
    </row>
    <row r="68" spans="1:14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80">D66+D67</f>
        <v>3808</v>
      </c>
      <c r="E68" s="7">
        <f t="shared" si="80"/>
        <v>4249</v>
      </c>
      <c r="F68" s="7">
        <f t="shared" si="80"/>
        <v>4466</v>
      </c>
      <c r="G68" s="7">
        <f t="shared" si="80"/>
        <v>8348</v>
      </c>
      <c r="H68" s="7">
        <f t="shared" si="80"/>
        <v>9889</v>
      </c>
      <c r="I68" s="7">
        <f t="shared" si="80"/>
        <v>8574</v>
      </c>
      <c r="J68" s="7">
        <f t="shared" si="80"/>
        <v>7139.9322129824686</v>
      </c>
      <c r="K68" s="7">
        <f t="shared" si="80"/>
        <v>5615.8712783997325</v>
      </c>
      <c r="L68" s="7">
        <f t="shared" si="80"/>
        <v>3988.5931774245864</v>
      </c>
      <c r="M68" s="7">
        <f t="shared" si="80"/>
        <v>2242.7676455159753</v>
      </c>
      <c r="N68" s="7">
        <f t="shared" si="80"/>
        <v>360.57592220810238</v>
      </c>
    </row>
    <row r="69" spans="1:14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4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2024-01-01T18:32:38Z</dcterms:modified>
</cp:coreProperties>
</file>