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B60214DF-7B94-AE41-83F8-6E051D26ACD5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J17" i="4"/>
  <c r="K26" i="4"/>
  <c r="L26" i="4" s="1"/>
  <c r="M26" i="4" s="1"/>
  <c r="N26" i="4" s="1"/>
  <c r="J26" i="4"/>
  <c r="K28" i="4"/>
  <c r="L28" i="4" s="1"/>
  <c r="M28" i="4" s="1"/>
  <c r="N28" i="4" s="1"/>
  <c r="K30" i="4"/>
  <c r="L30" i="4" s="1"/>
  <c r="M30" i="4" s="1"/>
  <c r="N30" i="4" s="1"/>
  <c r="J30" i="4"/>
  <c r="K29" i="4"/>
  <c r="L29" i="4" s="1"/>
  <c r="M29" i="4" s="1"/>
  <c r="N29" i="4" s="1"/>
  <c r="J29" i="4"/>
  <c r="J28" i="4"/>
  <c r="K27" i="4"/>
  <c r="L27" i="4" s="1"/>
  <c r="M27" i="4" s="1"/>
  <c r="N27" i="4" s="1"/>
  <c r="J27" i="4"/>
  <c r="K25" i="4"/>
  <c r="L25" i="4" s="1"/>
  <c r="M25" i="4" s="1"/>
  <c r="N25" i="4" s="1"/>
  <c r="J25" i="4"/>
  <c r="J23" i="4"/>
  <c r="I23" i="4"/>
  <c r="K47" i="4"/>
  <c r="L47" i="4"/>
  <c r="M47" i="4"/>
  <c r="N47" i="4"/>
  <c r="J47" i="4"/>
  <c r="K10" i="4"/>
  <c r="J50" i="4"/>
  <c r="J10" i="4" s="1"/>
  <c r="I41" i="4"/>
  <c r="J35" i="3"/>
  <c r="J8" i="3"/>
  <c r="J10" i="3"/>
  <c r="K19" i="4"/>
  <c r="L19" i="4" s="1"/>
  <c r="M19" i="4" s="1"/>
  <c r="N19" i="4" s="1"/>
  <c r="K13" i="4"/>
  <c r="J10" i="1"/>
  <c r="K50" i="4"/>
  <c r="L50" i="4"/>
  <c r="L10" i="4" s="1"/>
  <c r="M50" i="4"/>
  <c r="M10" i="4" s="1"/>
  <c r="N50" i="4"/>
  <c r="N10" i="4" s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5" i="4"/>
  <c r="K65" i="4"/>
  <c r="L65" i="4"/>
  <c r="M65" i="4"/>
  <c r="N65" i="4"/>
  <c r="J63" i="4"/>
  <c r="K63" i="4"/>
  <c r="L63" i="4"/>
  <c r="M63" i="4"/>
  <c r="N63" i="4"/>
  <c r="J62" i="4"/>
  <c r="K62" i="4"/>
  <c r="L62" i="4"/>
  <c r="M62" i="4"/>
  <c r="N62" i="4"/>
  <c r="J59" i="4"/>
  <c r="K59" i="4"/>
  <c r="L59" i="4"/>
  <c r="M59" i="4"/>
  <c r="M60" i="4" s="1"/>
  <c r="N59" i="4"/>
  <c r="N60" i="4" s="1"/>
  <c r="J57" i="4"/>
  <c r="K57" i="4"/>
  <c r="L57" i="4"/>
  <c r="M57" i="4"/>
  <c r="N57" i="4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60" i="4" s="1"/>
  <c r="G59" i="4"/>
  <c r="H59" i="4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H16" i="4" s="1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G13" i="4" s="1"/>
  <c r="H11" i="4"/>
  <c r="I11" i="4"/>
  <c r="C10" i="4"/>
  <c r="D10" i="4"/>
  <c r="E10" i="4"/>
  <c r="F10" i="4"/>
  <c r="G10" i="4"/>
  <c r="H10" i="4"/>
  <c r="I10" i="4"/>
  <c r="C61" i="4"/>
  <c r="D61" i="4"/>
  <c r="D64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B68" i="4"/>
  <c r="C67" i="4" s="1"/>
  <c r="B67" i="4"/>
  <c r="B65" i="4"/>
  <c r="B63" i="4"/>
  <c r="B62" i="4"/>
  <c r="B61" i="4"/>
  <c r="H60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51" i="4" l="1"/>
  <c r="G16" i="4"/>
  <c r="G19" i="4" s="1"/>
  <c r="D39" i="4"/>
  <c r="B16" i="4"/>
  <c r="E13" i="4"/>
  <c r="K60" i="4"/>
  <c r="D13" i="4"/>
  <c r="I18" i="4"/>
  <c r="I60" i="4"/>
  <c r="J60" i="4"/>
  <c r="G31" i="4"/>
  <c r="F51" i="4"/>
  <c r="E58" i="4"/>
  <c r="C13" i="4"/>
  <c r="E51" i="4"/>
  <c r="G51" i="4"/>
  <c r="I13" i="4"/>
  <c r="C16" i="4"/>
  <c r="C31" i="4"/>
  <c r="F13" i="4"/>
  <c r="E16" i="4"/>
  <c r="E60" i="4"/>
  <c r="L60" i="4"/>
  <c r="B13" i="4"/>
  <c r="C51" i="4"/>
  <c r="D16" i="4"/>
  <c r="D19" i="4" s="1"/>
  <c r="F18" i="4"/>
  <c r="D31" i="4"/>
  <c r="D43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G53" i="4" s="1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J39" i="4" s="1"/>
  <c r="K39" i="4" s="1"/>
  <c r="L39" i="4" s="1"/>
  <c r="M39" i="4" s="1"/>
  <c r="N39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4" i="4" l="1"/>
  <c r="G55" i="4" s="1"/>
  <c r="G66" i="4" s="1"/>
  <c r="F66" i="4"/>
  <c r="I43" i="4"/>
  <c r="J43" i="4"/>
  <c r="L33" i="4"/>
  <c r="K4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L4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N43" i="4" s="1"/>
  <c r="M4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58" i="4" l="1"/>
  <c r="J15" i="3"/>
  <c r="J16" i="3"/>
  <c r="J3" i="4"/>
  <c r="J4" i="3"/>
  <c r="J4" i="4" s="1"/>
  <c r="J150" i="3"/>
  <c r="J151" i="3" s="1"/>
  <c r="J17" i="3"/>
  <c r="J152" i="3" l="1"/>
  <c r="J18" i="3"/>
  <c r="J19" i="3"/>
  <c r="J9" i="3" l="1"/>
  <c r="J6" i="4"/>
  <c r="J31" i="4" s="1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58" i="4" l="1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2" i="4"/>
  <c r="L16" i="3"/>
  <c r="L3" i="4"/>
  <c r="K16" i="3"/>
  <c r="K15" i="3"/>
  <c r="L152" i="3"/>
  <c r="L151" i="3"/>
  <c r="L8" i="3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K58" i="4"/>
  <c r="L9" i="3"/>
  <c r="L10" i="3"/>
  <c r="L6" i="4"/>
  <c r="N17" i="3"/>
  <c r="N14" i="3"/>
  <c r="N52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31" i="4" s="1"/>
  <c r="K10" i="3"/>
  <c r="L31" i="4" l="1"/>
  <c r="N58" i="4"/>
  <c r="M9" i="3"/>
  <c r="M10" i="3"/>
  <c r="M6" i="4"/>
  <c r="N15" i="3"/>
  <c r="N16" i="3"/>
  <c r="N19" i="3"/>
  <c r="N18" i="3"/>
  <c r="N152" i="3"/>
  <c r="N151" i="3"/>
  <c r="N8" i="3"/>
  <c r="M31" i="4" l="1"/>
  <c r="N6" i="4"/>
  <c r="N9" i="3"/>
  <c r="N10" i="3"/>
  <c r="J5" i="3"/>
  <c r="N31" i="4" l="1"/>
  <c r="J154" i="3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11" i="4" l="1"/>
  <c r="J46" i="4"/>
  <c r="L5" i="3"/>
  <c r="L7" i="3" s="1"/>
  <c r="K155" i="3"/>
  <c r="K156" i="3"/>
  <c r="K5" i="3"/>
  <c r="L155" i="3"/>
  <c r="L156" i="3"/>
  <c r="N156" i="3"/>
  <c r="N5" i="3"/>
  <c r="M5" i="3"/>
  <c r="M154" i="3"/>
  <c r="J12" i="4" l="1"/>
  <c r="J48" i="4" s="1"/>
  <c r="J49" i="4" s="1"/>
  <c r="J14" i="4"/>
  <c r="J16" i="4" s="1"/>
  <c r="L6" i="3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11" i="4" l="1"/>
  <c r="L46" i="4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11" i="4" l="1"/>
  <c r="M46" i="4"/>
  <c r="N11" i="4"/>
  <c r="N46" i="4"/>
  <c r="K11" i="4"/>
  <c r="K46" i="4"/>
  <c r="L12" i="4"/>
  <c r="L48" i="4" s="1"/>
  <c r="L49" i="4" s="1"/>
  <c r="J61" i="4"/>
  <c r="N12" i="4" l="1"/>
  <c r="N48" i="4" s="1"/>
  <c r="N49" i="4" s="1"/>
  <c r="K12" i="4"/>
  <c r="K48" i="4" s="1"/>
  <c r="K49" i="4" s="1"/>
  <c r="M49" i="4"/>
  <c r="L14" i="4"/>
  <c r="L16" i="4" s="1"/>
  <c r="M12" i="4"/>
  <c r="M48" i="4" s="1"/>
  <c r="M14" i="4"/>
  <c r="M16" i="4" s="1"/>
  <c r="J18" i="4"/>
  <c r="K17" i="4"/>
  <c r="K61" i="4" s="1"/>
  <c r="J64" i="4"/>
  <c r="N14" i="4" l="1"/>
  <c r="N16" i="4" s="1"/>
  <c r="K14" i="4"/>
  <c r="K16" i="4" s="1"/>
  <c r="K64" i="4"/>
  <c r="L17" i="4"/>
  <c r="K18" i="4"/>
  <c r="M17" i="4" l="1"/>
  <c r="L61" i="4"/>
  <c r="L64" i="4" s="1"/>
  <c r="L18" i="4"/>
  <c r="M61" i="4" l="1"/>
  <c r="M64" i="4" s="1"/>
  <c r="M18" i="4"/>
  <c r="N17" i="4"/>
  <c r="N18" i="4" l="1"/>
  <c r="N61" i="4"/>
  <c r="N64" i="4" s="1"/>
  <c r="J51" i="4" l="1"/>
  <c r="J53" i="4" s="1"/>
  <c r="J54" i="4" l="1"/>
  <c r="J55" i="4" s="1"/>
  <c r="J66" i="4" s="1"/>
  <c r="J68" i="4" s="1"/>
  <c r="K67" i="4" l="1"/>
  <c r="K41" i="4" s="1"/>
  <c r="J21" i="4"/>
  <c r="N23" i="4"/>
  <c r="N51" i="4" s="1"/>
  <c r="M23" i="4"/>
  <c r="L23" i="4"/>
  <c r="M51" i="4" s="1"/>
  <c r="K23" i="4"/>
  <c r="K51" i="4" s="1"/>
  <c r="K54" i="4" l="1"/>
  <c r="K55" i="4"/>
  <c r="K66" i="4" s="1"/>
  <c r="K68" i="4" s="1"/>
  <c r="K53" i="4"/>
  <c r="M54" i="4"/>
  <c r="M55" i="4" s="1"/>
  <c r="M66" i="4" s="1"/>
  <c r="M53" i="4"/>
  <c r="N53" i="4"/>
  <c r="N55" i="4"/>
  <c r="N66" i="4" s="1"/>
  <c r="N54" i="4"/>
  <c r="L51" i="4"/>
  <c r="L67" i="4" l="1"/>
  <c r="L41" i="4" s="1"/>
  <c r="K21" i="4"/>
  <c r="L54" i="4"/>
  <c r="L55" i="4" s="1"/>
  <c r="L66" i="4" s="1"/>
  <c r="L68" i="4" s="1"/>
  <c r="L53" i="4"/>
  <c r="M67" i="4" l="1"/>
  <c r="L21" i="4"/>
  <c r="M68" i="4" l="1"/>
  <c r="M41" i="4"/>
  <c r="N67" i="4"/>
  <c r="M21" i="4"/>
  <c r="N68" i="4" l="1"/>
  <c r="N21" i="4" s="1"/>
  <c r="N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<sst xmlns="http://schemas.openxmlformats.org/spreadsheetml/2006/main" count="549" uniqueCount="234">
  <si>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</si>
  <si>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</si>
  <si>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</si>
  <si>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</si>
  <si>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</si>
  <si>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</si>
  <si>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</si>
  <si>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</si>
  <si>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</si>
  <si>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</si>
  <si>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</si>
  <si>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</si>
  <si>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</si>
  <si>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</si>
  <si>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</si>
  <si>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</si>
  <si>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</si>
  <si>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</si>
  <si>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</si>
  <si>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</si>
  <si>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</si>
  <si>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</si>
  <si>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</si>
  <si>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</si>
  <si>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</si>
  <si>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</si>
  <si>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</si>
  <si>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</si>
  <si>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</si>
  <si>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</si>
  <si>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</si>
  <si>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</si>
  <si>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</si>
  <si>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</si>
  <si>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</si>
  <si>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</si>
  <si>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</si>
  <si>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</si>
  <si>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</si>
  <si>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</si>
  <si>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</si>
  <si>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</si>
  <si>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</si>
  <si>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</si>
  <si>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</si>
  <si>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</si>
  <si>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</si>
  <si>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</si>
  <si>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</si>
  <si>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</si>
  <si>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</si>
  <si>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</si>
  <si>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</si>
  <si>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</si>
  <si>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</si>
  <si>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</si>
  <si>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</si>
  <si>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</si>
  <si>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</si>
  <si>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</si>
  <si>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</si>
  <si>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</si>
  <si>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</si>
  <si>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</si>
  <si>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</si>
  <si>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</si>
  <si>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</si>
  <si>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</si>
  <si>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</si>
  <si>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</si>
  <si>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</si>
  <si>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</si>
  <si>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</si>
  <si>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</si>
  <si>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</si>
  <si>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</si>
  <si>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</si>
  <si>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</si>
  <si>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</si>
  <si>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</si>
  <si>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</si>
  <si>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</si>
  <si>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</si>
  <si>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</si>
  <si>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</si>
  <si>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</si>
  <si>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</si>
  <si>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</si>
  <si>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</si>
  <si>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</si>
  <si>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</si>
  <si>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</si>
  <si>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</si>
  <si>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</si>
  <si>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</si>
  <si>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</si>
  <si>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</si>
  <si>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</si>
  <si>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</si>
  <si>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</si>
  <si>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</si>
  <si>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</si>
  <si>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</si>
  <si>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</si>
  <si>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</si>
  <si>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</si>
  <si>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</si>
  <si>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</si>
  <si>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</si>
  <si>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</si>
  <si>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</si>
  <si>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</si>
  <si>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</si>
  <si>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</si>
  <si>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</si>
  <si>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</si>
  <si>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</si>
  <si>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</si>
  <si>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</si>
  <si>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</si>
  <si>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</si>
  <si>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</si>
  <si>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</si>
  <si>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</si>
  <si>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</si>
  <si>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</si>
  <si>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</si>
  <si>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</si>
  <si>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</si>
  <si>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</si>
  <si>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</si>
  <si>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</si>
  <si>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</si>
  <si>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</si>
  <si>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</si>
  <si>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</si>
  <si>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</si>
  <si>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</si>
  <si>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</si>
  <si>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</si>
  <si>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</si>
  <si>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</si>
  <si>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</si>
  <si>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</si>
  <si>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</si>
  <si>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</si>
  <si>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</si>
  <si>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</si>
  <si>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</si>
  <si>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</si>
  <si>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</si>
  <si>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</si>
  <si>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</si>
  <si>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</si>
  <si>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</si>
  <si>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</si>
  <si>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</si>
  <si>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</si>
  <si>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</si>
  <si>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</si>
  <si>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</si>
  <si>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</si>
  <si>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</si>
  <si>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</si>
  <si>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</si>
  <si>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</si>
  <si>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</si>
  <si>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</si>
  <si>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</si>
  <si>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</si>
  <si>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</si>
  <si>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</si>
  <si>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</si>
  <si>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</si>
  <si>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</si>
  <si>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</si>
  <si>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</si>
  <si>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</si>
  <si>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</si>
  <si>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</si>
  <si>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</si>
  <si>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</si>
  <si>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</si>
  <si>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</si>
  <si>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</si>
  <si>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</si>
  <si>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</si>
  <si>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</si>
  <si>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</si>
  <si>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</si>
  <si>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</si>
  <si>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</si>
  <si>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</si>
  <si>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</si>
  <si>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</si>
  <si>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</si>
  <si>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</si>
  <si>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</si>
  <si>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</si>
  <si>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</si>
  <si>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</si>
  <si>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</si>
  <si>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</si>
  <si>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</si>
  <si>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</si>
  <si>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</si>
  <si>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</si>
  <si>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</si>
  <si>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</si>
  <si>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</si>
  <si>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</si>
  <si>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</si>
  <si>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</si>
  <si>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</si>
  <si>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</si>
  <si>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</si>
  <si>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</si>
  <si>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</si>
  <si>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</si>
  <si>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</si>
  <si>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</si>
  <si>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</si>
  <si>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</si>
  <si>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Cash interest on Cash flow as a % of opening net debt and link the cash interest to income statement interest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</si>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</sst>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30" activePane="bottomLeft" state="frozen"/>
      <selection pane="bottomLeft" activeCell="J10" sqref="J10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zoomScaleNormal="100" workbookViewId="0">
      <selection activeCell="J10" sqref="J10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233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290</v>
      </c>
      <c r="K10" s="70">
        <f t="shared" ref="K10:N10" si="1">K50</f>
        <v>290</v>
      </c>
      <c r="L10" s="70">
        <f t="shared" si="1"/>
        <v>290</v>
      </c>
      <c r="M10" s="70">
        <f t="shared" si="1"/>
        <v>290</v>
      </c>
      <c r="N10" s="70">
        <f t="shared" si="1"/>
        <v>290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6533.5633470848052</v>
      </c>
      <c r="K11" s="5">
        <f t="shared" ref="K11:N11" si="2">K7-K10</f>
        <v>7189.3928253581589</v>
      </c>
      <c r="L11" s="5">
        <f t="shared" si="2"/>
        <v>7971.4144976513453</v>
      </c>
      <c r="M11" s="5">
        <f t="shared" si="2"/>
        <v>8903.0287023492729</v>
      </c>
      <c r="N11" s="5">
        <f t="shared" si="2"/>
        <v>10012.531593270602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653.35633470848052</v>
      </c>
      <c r="K12" s="3">
        <f t="shared" ref="K12:N12" si="3">K11*K13</f>
        <v>718.93928253581589</v>
      </c>
      <c r="L12" s="3">
        <f t="shared" si="3"/>
        <v>797.14144976513455</v>
      </c>
      <c r="M12" s="3">
        <f t="shared" si="3"/>
        <v>890.30287023492735</v>
      </c>
      <c r="N12" s="3">
        <f t="shared" si="3"/>
        <v>1001.2531593270602</v>
      </c>
      <c r="P12" t="s">
        <v>224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0.1</v>
      </c>
      <c r="K13" s="53">
        <f>J13</f>
        <v>0.1</v>
      </c>
      <c r="L13" s="53">
        <f t="shared" ref="L13:N13" si="5">K13</f>
        <v>0.1</v>
      </c>
      <c r="M13" s="53">
        <f t="shared" si="5"/>
        <v>0.1</v>
      </c>
      <c r="N13" s="53">
        <f t="shared" si="5"/>
        <v>0.1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5880.2070123763242</v>
      </c>
      <c r="K14" s="7">
        <f t="shared" ref="K14:N14" si="6">K11-K12</f>
        <v>6470.4535428223426</v>
      </c>
      <c r="L14" s="7">
        <f t="shared" si="6"/>
        <v>7174.2730478862104</v>
      </c>
      <c r="M14" s="7">
        <f t="shared" si="6"/>
        <v>8012.7258321143454</v>
      </c>
      <c r="N14" s="7">
        <f t="shared" si="6"/>
        <v>9011.278433943542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3.6504885847878845</v>
      </c>
      <c r="K16" s="54">
        <f t="shared" ref="K16" si="8">K14/K15</f>
        <v>4.0169192592639327</v>
      </c>
      <c r="L16" s="54">
        <f t="shared" ref="L16" si="9">L14/L15</f>
        <v>4.4538571193731133</v>
      </c>
      <c r="M16" s="54">
        <f t="shared" ref="M16" si="10">M14/M15</f>
        <v>4.9743766030012075</v>
      </c>
      <c r="N16" s="54">
        <f t="shared" ref="N16" si="11">N14/N15</f>
        <v>5.5942875800493805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1.2776710046757596</v>
      </c>
      <c r="K17" s="54">
        <f>J17</f>
        <v>1.2776710046757596</v>
      </c>
      <c r="L17" s="54">
        <f t="shared" ref="L17:N17" si="12">K17</f>
        <v>1.2776710046757596</v>
      </c>
      <c r="M17" s="54">
        <f t="shared" si="12"/>
        <v>1.2776710046757596</v>
      </c>
      <c r="N17" s="54">
        <f t="shared" si="12"/>
        <v>1.2776710046757596</v>
      </c>
      <c r="P17" t="s">
        <v>225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0.12034428651699169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6918.8597586507549</v>
      </c>
      <c r="K21" s="3">
        <f t="shared" ref="K21:N21" si="17">K68</f>
        <v>5173.7263697363051</v>
      </c>
      <c r="L21" s="3">
        <f t="shared" si="17"/>
        <v>3325.3758144294452</v>
      </c>
      <c r="M21" s="3">
        <f t="shared" si="17"/>
        <v>1358.4778281891204</v>
      </c>
      <c r="N21" s="3">
        <f t="shared" si="17"/>
        <v>-744.78634945046542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228</v>
      </c>
    </row>
    <row r="24" spans="1:16" x14ac:dyDescent="0.2">
      <c r="A24" s="52" t="s">
        <v>169</v>
      </c>
      <c r="B24" s="53">
        <f>B23/B3</f>
        <v>0.18182412339466031</v>
      </c>
      <c r="C24" s="53">
        <f>C23/C3</f>
        <v>0.1818631084754139</v>
      </c>
      <c r="D24" s="53">
        <f>D23/D3</f>
        <v>0.19458515283842795</v>
      </c>
      <c r="E24" s="53">
        <f>E23/E3</f>
        <v>0.17803665137236585</v>
      </c>
      <c r="F24" s="53">
        <f>F23/F3</f>
        <v>0.18615947030702765</v>
      </c>
      <c r="G24" s="53">
        <f>G23/G3</f>
        <v>0.21035745795791783</v>
      </c>
      <c r="H24" s="53">
        <f>H23/H3</f>
        <v>0.19042166240064665</v>
      </c>
      <c r="I24" s="53">
        <f>I23/I3</f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0">J25</f>
        <v>2129</v>
      </c>
      <c r="L25" s="3">
        <f t="shared" si="20"/>
        <v>2129</v>
      </c>
      <c r="M25" s="3">
        <f t="shared" si="20"/>
        <v>2129</v>
      </c>
      <c r="N25" s="3">
        <f t="shared" si="20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(I26+J52)-J6</f>
        <v>2894.4784600672747</v>
      </c>
      <c r="K26" s="3">
        <f t="shared" ref="K26:N26" si="21">(J26+K52)-K6</f>
        <v>812.19057284270025</v>
      </c>
      <c r="L26" s="3">
        <f t="shared" si="21"/>
        <v>-1482.9688197210985</v>
      </c>
      <c r="M26" s="3">
        <f t="shared" si="21"/>
        <v>-4022.4491905396308</v>
      </c>
      <c r="N26" s="3">
        <f t="shared" si="21"/>
        <v>-6842.8388386652314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2">J27</f>
        <v>286</v>
      </c>
      <c r="L27" s="3">
        <f t="shared" si="22"/>
        <v>286</v>
      </c>
      <c r="M27" s="3">
        <f t="shared" si="22"/>
        <v>286</v>
      </c>
      <c r="N27" s="3">
        <f t="shared" si="22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3">J28</f>
        <v>284</v>
      </c>
      <c r="L28" s="3">
        <f t="shared" si="23"/>
        <v>284</v>
      </c>
      <c r="M28" s="3">
        <f t="shared" si="23"/>
        <v>284</v>
      </c>
      <c r="N28" s="3">
        <f t="shared" si="23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4">J29</f>
        <v>2926</v>
      </c>
      <c r="L29" s="3">
        <f t="shared" si="24"/>
        <v>2926</v>
      </c>
      <c r="M29" s="3">
        <f t="shared" si="24"/>
        <v>2926</v>
      </c>
      <c r="N29" s="3">
        <f t="shared" si="24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5">J30</f>
        <v>3821</v>
      </c>
      <c r="L30" s="3">
        <f t="shared" si="25"/>
        <v>3821</v>
      </c>
      <c r="M30" s="3">
        <f t="shared" si="25"/>
        <v>3821</v>
      </c>
      <c r="N30" s="3">
        <f t="shared" si="25"/>
        <v>3821</v>
      </c>
    </row>
    <row r="31" spans="1:16" ht="16" thickBot="1" x14ac:dyDescent="0.25">
      <c r="A31" s="6" t="s">
        <v>174</v>
      </c>
      <c r="B31" s="7">
        <f>B21+B22+B23+B25+B26+B27+B28+B29+B30</f>
        <v>19466</v>
      </c>
      <c r="C31" s="7">
        <f>C21+C22+C23+C25+C26+C27+C28+C29+C30</f>
        <v>19205</v>
      </c>
      <c r="D31" s="7">
        <f>D21+D22+D23+D25+D26+D27+D28+D29+D30</f>
        <v>21211</v>
      </c>
      <c r="E31" s="7">
        <f>E21+E22+E23+E25+E26+E27+E28+E29+E30</f>
        <v>20257</v>
      </c>
      <c r="F31" s="7">
        <f>F21+F22+F23+F25+F26+F27+F28+F29+F30</f>
        <v>21105</v>
      </c>
      <c r="G31" s="7">
        <f>G21+G22+G23+G25+G26+G27+G28+G29+G30</f>
        <v>29094</v>
      </c>
      <c r="H31" s="7">
        <f>H21+H22+H23+H25+H26+H27+H28+H29+H30</f>
        <v>34904</v>
      </c>
      <c r="I31" s="7">
        <f>I21+I22+I23+I25+I26+I27+I28+I29+I30</f>
        <v>36963</v>
      </c>
      <c r="J31" s="7">
        <f>I31+I52-J6</f>
        <v>35185.546247084807</v>
      </c>
      <c r="K31" s="7">
        <f>J31+J52-K6</f>
        <v>33193.251507425441</v>
      </c>
      <c r="L31" s="7">
        <f>K31+K52-L6</f>
        <v>31001.309281254053</v>
      </c>
      <c r="M31" s="7">
        <f>L31+L52-M6</f>
        <v>28580.376341368989</v>
      </c>
      <c r="N31" s="7">
        <f>M31+M52-N6</f>
        <v>25896.352884642649</v>
      </c>
      <c r="P31" t="s">
        <v>227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6">J33</f>
        <v>500</v>
      </c>
      <c r="L33" s="3">
        <f t="shared" si="26"/>
        <v>500</v>
      </c>
      <c r="M33" s="3">
        <f t="shared" si="26"/>
        <v>500</v>
      </c>
      <c r="N33" s="3">
        <f t="shared" si="26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27">I34</f>
        <v>10</v>
      </c>
      <c r="K34" s="3">
        <f t="shared" si="27"/>
        <v>10</v>
      </c>
      <c r="L34" s="3">
        <f t="shared" si="27"/>
        <v>10</v>
      </c>
      <c r="M34" s="3">
        <f t="shared" si="27"/>
        <v>10</v>
      </c>
      <c r="N34" s="3">
        <f t="shared" si="27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28">I35</f>
        <v>6862</v>
      </c>
      <c r="K35" s="3">
        <f t="shared" si="28"/>
        <v>6862</v>
      </c>
      <c r="L35" s="3">
        <f t="shared" si="28"/>
        <v>6862</v>
      </c>
      <c r="M35" s="3">
        <f t="shared" si="28"/>
        <v>6862</v>
      </c>
      <c r="N35" s="3">
        <f t="shared" si="28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29">I36</f>
        <v>8920</v>
      </c>
      <c r="K36" s="3">
        <f t="shared" si="29"/>
        <v>8920</v>
      </c>
      <c r="L36" s="3">
        <f t="shared" si="29"/>
        <v>8920</v>
      </c>
      <c r="M36" s="3">
        <f t="shared" si="29"/>
        <v>8920</v>
      </c>
      <c r="N36" s="3">
        <f t="shared" si="29"/>
        <v>8920</v>
      </c>
      <c r="P36" s="69" t="s">
        <v>230</v>
      </c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0">I37</f>
        <v>2777</v>
      </c>
      <c r="K37" s="3">
        <f t="shared" si="30"/>
        <v>2777</v>
      </c>
      <c r="L37" s="3">
        <f t="shared" si="30"/>
        <v>2777</v>
      </c>
      <c r="M37" s="3">
        <f t="shared" si="30"/>
        <v>2777</v>
      </c>
      <c r="N37" s="3">
        <f t="shared" si="30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1">I38</f>
        <v>2613</v>
      </c>
      <c r="K38" s="3">
        <f t="shared" si="31"/>
        <v>2613</v>
      </c>
      <c r="L38" s="3">
        <f t="shared" si="31"/>
        <v>2613</v>
      </c>
      <c r="M38" s="3">
        <f t="shared" si="31"/>
        <v>2613</v>
      </c>
      <c r="N38" s="3">
        <f t="shared" si="31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2">C40+C41+C42</f>
        <v>12258</v>
      </c>
      <c r="D39" s="3">
        <f t="shared" si="32"/>
        <v>12407</v>
      </c>
      <c r="E39" s="3">
        <f t="shared" si="32"/>
        <v>9812</v>
      </c>
      <c r="F39" s="3">
        <f t="shared" si="32"/>
        <v>9040</v>
      </c>
      <c r="G39" s="3">
        <f t="shared" si="32"/>
        <v>8055</v>
      </c>
      <c r="H39" s="3">
        <f t="shared" si="32"/>
        <v>12767</v>
      </c>
      <c r="I39" s="3">
        <f t="shared" si="32"/>
        <v>15281</v>
      </c>
      <c r="J39" s="3">
        <f t="shared" ref="J39:N39" si="33">I39</f>
        <v>15281</v>
      </c>
      <c r="K39" s="3">
        <f t="shared" si="33"/>
        <v>15281</v>
      </c>
      <c r="L39" s="3">
        <f t="shared" si="33"/>
        <v>15281</v>
      </c>
      <c r="M39" s="3">
        <f t="shared" si="33"/>
        <v>15281</v>
      </c>
      <c r="N39" s="3">
        <f t="shared" si="33"/>
        <v>15281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4">I40</f>
        <v>3</v>
      </c>
      <c r="K40" s="3">
        <f t="shared" si="34"/>
        <v>3</v>
      </c>
      <c r="L40" s="3">
        <f t="shared" si="34"/>
        <v>3</v>
      </c>
      <c r="M40" s="3">
        <f t="shared" si="34"/>
        <v>3</v>
      </c>
      <c r="N40" s="3">
        <f t="shared" si="34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J67+J14-J61</f>
        <v>16512.279466708038</v>
      </c>
      <c r="K41" s="3">
        <f t="shared" ref="K41:N41" si="35">K67+K14-K61</f>
        <v>15447.385755804811</v>
      </c>
      <c r="L41" s="3">
        <f t="shared" si="35"/>
        <v>14406.071871954229</v>
      </c>
      <c r="M41" s="3">
        <f t="shared" si="35"/>
        <v>13396.174100875503</v>
      </c>
      <c r="N41" s="3">
        <f t="shared" si="35"/>
        <v>12427.828716464375</v>
      </c>
      <c r="P41" t="s">
        <v>232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6">C33+C34+C35+C36+C37+C38+C39</f>
        <v>19205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si="36"/>
        <v>36963</v>
      </c>
      <c r="K43" s="7">
        <f t="shared" si="36"/>
        <v>36963</v>
      </c>
      <c r="L43" s="7">
        <f t="shared" si="36"/>
        <v>36963</v>
      </c>
      <c r="M43" s="7">
        <f t="shared" si="36"/>
        <v>36963</v>
      </c>
      <c r="N43" s="7">
        <f t="shared" si="36"/>
        <v>36963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9">
        <f>'Segmental forecast'!J8</f>
        <v>1019.4537529151939</v>
      </c>
      <c r="K47" s="9">
        <f>'Segmental forecast'!K8</f>
        <v>1115.2269526418379</v>
      </c>
      <c r="L47" s="9">
        <f>'Segmental forecast'!L8</f>
        <v>1224.8812915886529</v>
      </c>
      <c r="M47" s="9">
        <f>'Segmental forecast'!M8</f>
        <v>1350.6548389099207</v>
      </c>
      <c r="N47" s="9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9">
        <f>J12</f>
        <v>653.35633470848052</v>
      </c>
      <c r="K48" s="9">
        <f t="shared" ref="K48:N48" si="37">K12</f>
        <v>718.93928253581589</v>
      </c>
      <c r="L48" s="9">
        <f t="shared" si="37"/>
        <v>797.14144976513455</v>
      </c>
      <c r="M48" s="9">
        <f t="shared" si="37"/>
        <v>890.30287023492735</v>
      </c>
      <c r="N48" s="9">
        <f t="shared" si="37"/>
        <v>1001.2531593270602</v>
      </c>
    </row>
    <row r="49" spans="1:16" x14ac:dyDescent="0.2">
      <c r="A49" s="1" t="s">
        <v>186</v>
      </c>
      <c r="B49" s="9">
        <f>B46-B48</f>
        <v>2971</v>
      </c>
      <c r="C49" s="9">
        <f t="shared" ref="C49:I49" si="38">C46-C48</f>
        <v>3894</v>
      </c>
      <c r="D49" s="9">
        <f t="shared" si="38"/>
        <v>3602</v>
      </c>
      <c r="E49" s="9">
        <f t="shared" si="38"/>
        <v>3000</v>
      </c>
      <c r="F49" s="9">
        <f t="shared" si="38"/>
        <v>3096</v>
      </c>
      <c r="G49" s="9">
        <f t="shared" si="38"/>
        <v>1060</v>
      </c>
      <c r="H49" s="9">
        <f t="shared" si="38"/>
        <v>4520</v>
      </c>
      <c r="I49" s="9">
        <f t="shared" si="38"/>
        <v>4003</v>
      </c>
      <c r="J49" s="9">
        <f t="shared" ref="J49" si="39">J46-J48</f>
        <v>6170.2070123763242</v>
      </c>
      <c r="K49" s="9">
        <f t="shared" ref="K49" si="40">K46-K48</f>
        <v>6760.4535428223426</v>
      </c>
      <c r="L49" s="9">
        <f t="shared" ref="L49" si="41">L46-L48</f>
        <v>7464.2730478862104</v>
      </c>
      <c r="M49" s="9">
        <f t="shared" ref="M49" si="42">M46-M48</f>
        <v>8302.7258321143454</v>
      </c>
      <c r="N49" s="9">
        <f t="shared" ref="N49" si="43">N46-N48</f>
        <v>9301.278433943542</v>
      </c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Historicals!J104</f>
        <v>290</v>
      </c>
      <c r="K50" s="3">
        <f>Historicals!K104</f>
        <v>290</v>
      </c>
      <c r="L50" s="3">
        <f>Historicals!L104</f>
        <v>290</v>
      </c>
      <c r="M50" s="3">
        <f>Historicals!M104</f>
        <v>290</v>
      </c>
      <c r="N50" s="3">
        <f>Historicals!N104</f>
        <v>290</v>
      </c>
      <c r="P50" t="s">
        <v>223</v>
      </c>
    </row>
    <row r="51" spans="1:16" x14ac:dyDescent="0.2">
      <c r="A51" t="s">
        <v>188</v>
      </c>
      <c r="B51" s="3">
        <v>113</v>
      </c>
      <c r="C51" s="3">
        <f>B23-C23</f>
        <v>-324</v>
      </c>
      <c r="D51" s="3">
        <f>C23-D23</f>
        <v>-796</v>
      </c>
      <c r="E51" s="3">
        <f>D23-E23</f>
        <v>204</v>
      </c>
      <c r="F51" s="3">
        <f>E23-F23</f>
        <v>-802</v>
      </c>
      <c r="G51" s="3">
        <f>F23-G23</f>
        <v>-586</v>
      </c>
      <c r="H51" s="3">
        <f>G23-H23</f>
        <v>-613</v>
      </c>
      <c r="I51" s="3">
        <f>H23-I23</f>
        <v>-1248</v>
      </c>
      <c r="J51" s="3">
        <f>I23-J23</f>
        <v>-500.98200000000179</v>
      </c>
      <c r="K51" s="3">
        <f>J23-K23</f>
        <v>-1017.6415599999982</v>
      </c>
      <c r="L51" s="3">
        <f>K23-L23</f>
        <v>-1182.8198528000012</v>
      </c>
      <c r="M51" s="3">
        <f>L23-M23</f>
        <v>-1376.7021228640006</v>
      </c>
      <c r="N51" s="3">
        <f>M23-N23</f>
        <v>-1604.9614915983166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226</v>
      </c>
    </row>
    <row r="53" spans="1:16" x14ac:dyDescent="0.2">
      <c r="A53" s="1" t="s">
        <v>189</v>
      </c>
      <c r="B53" s="9">
        <f>(B47+B49)-(B52-B51)</f>
        <v>4653</v>
      </c>
      <c r="C53" s="9">
        <f t="shared" ref="C53:N53" si="44">(C47+C49)-(C52-C51)</f>
        <v>5382</v>
      </c>
      <c r="D53" s="9">
        <f t="shared" si="44"/>
        <v>4622</v>
      </c>
      <c r="E53" s="9">
        <f t="shared" si="44"/>
        <v>4973</v>
      </c>
      <c r="F53" s="9">
        <f t="shared" si="44"/>
        <v>4112</v>
      </c>
      <c r="G53" s="9">
        <f t="shared" si="44"/>
        <v>2276</v>
      </c>
      <c r="H53" s="9">
        <f t="shared" si="44"/>
        <v>5357</v>
      </c>
      <c r="I53" s="9">
        <f t="shared" si="44"/>
        <v>4244</v>
      </c>
      <c r="J53" s="9">
        <f t="shared" si="44"/>
        <v>7565.7465523090477</v>
      </c>
      <c r="K53" s="9">
        <f t="shared" si="44"/>
        <v>7825.099870046919</v>
      </c>
      <c r="L53" s="9">
        <f t="shared" si="44"/>
        <v>8576.6125876500064</v>
      </c>
      <c r="M53" s="9">
        <f t="shared" si="44"/>
        <v>9465.5040800688766</v>
      </c>
      <c r="N53" s="9">
        <f t="shared" si="44"/>
        <v>10516.706590470827</v>
      </c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f>Historicals!J76-J49-J51-J47</f>
        <v>-1500.6787652915164</v>
      </c>
      <c r="K54" s="3">
        <f>Historicals!K76-K49-K51-K47</f>
        <v>-1670.0389354641823</v>
      </c>
      <c r="L54" s="3">
        <f>Historicals!L76-L49-L51-L47</f>
        <v>-2318.3344866748621</v>
      </c>
      <c r="M54" s="3">
        <f>Historicals!M76-M49-M51-M47</f>
        <v>-3088.6785481602656</v>
      </c>
      <c r="N54" s="3">
        <f>Historicals!N76-N49-N51-N47</f>
        <v>-4003.5148671629531</v>
      </c>
    </row>
    <row r="55" spans="1:16" x14ac:dyDescent="0.2">
      <c r="A55" s="27" t="s">
        <v>191</v>
      </c>
      <c r="B55" s="26">
        <f>B49+B51+B47+B54</f>
        <v>4680</v>
      </c>
      <c r="C55" s="26">
        <f t="shared" ref="C55:I55" si="45">C49+C51+C47+C54</f>
        <v>3096</v>
      </c>
      <c r="D55" s="26">
        <f t="shared" si="45"/>
        <v>3640</v>
      </c>
      <c r="E55" s="26">
        <f t="shared" si="45"/>
        <v>4955</v>
      </c>
      <c r="F55" s="26">
        <f t="shared" si="45"/>
        <v>5903</v>
      </c>
      <c r="G55" s="26">
        <f t="shared" si="45"/>
        <v>2485</v>
      </c>
      <c r="H55" s="26">
        <f t="shared" si="45"/>
        <v>6657</v>
      </c>
      <c r="I55" s="26">
        <f t="shared" si="45"/>
        <v>5188</v>
      </c>
      <c r="J55" s="26">
        <f t="shared" ref="J55" si="46">J49+J51+J47+J54</f>
        <v>5188</v>
      </c>
      <c r="K55" s="26">
        <f t="shared" ref="K55" si="47">K49+K51+K47+K54</f>
        <v>5188</v>
      </c>
      <c r="L55" s="26">
        <f t="shared" ref="L55" si="48">L49+L51+L47+L54</f>
        <v>5188</v>
      </c>
      <c r="M55" s="26">
        <f t="shared" ref="M55" si="49">M49+M51+M47+M54</f>
        <v>5188</v>
      </c>
      <c r="N55" s="26">
        <f t="shared" ref="N55" si="50">N49+N51+N47+N54</f>
        <v>5188.0000000000009</v>
      </c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-766</v>
      </c>
      <c r="K57" s="3">
        <f>Historicals!K84+Historicals!K78+Historicals!K79+Historicals!K80+Historicals!K81+Historicals!K83</f>
        <v>-766</v>
      </c>
      <c r="L57" s="3">
        <f>Historicals!L84+Historicals!L78+Historicals!L79+Historicals!L80+Historicals!L81+Historicals!L83</f>
        <v>-766</v>
      </c>
      <c r="M57" s="3">
        <f>Historicals!M84+Historicals!M78+Historicals!M79+Historicals!M80+Historicals!M81+Historicals!M83</f>
        <v>-766</v>
      </c>
      <c r="N57" s="3">
        <f>Historicals!N84+Historicals!N78+Historicals!N79+Historicals!N80+Historicals!N81+Historicals!N83</f>
        <v>-766</v>
      </c>
    </row>
    <row r="58" spans="1:16" x14ac:dyDescent="0.2">
      <c r="A58" s="27" t="s">
        <v>194</v>
      </c>
      <c r="B58" s="26">
        <f>B57+B56+B52</f>
        <v>-175</v>
      </c>
      <c r="C58" s="26">
        <f t="shared" ref="C58:I58" si="51">C57+C56+C52</f>
        <v>-1034</v>
      </c>
      <c r="D58" s="26">
        <f t="shared" si="51"/>
        <v>-1008</v>
      </c>
      <c r="E58" s="26">
        <f t="shared" si="51"/>
        <v>276</v>
      </c>
      <c r="F58" s="26">
        <f t="shared" si="51"/>
        <v>-264</v>
      </c>
      <c r="G58" s="26">
        <f t="shared" si="51"/>
        <v>-1028</v>
      </c>
      <c r="H58" s="26">
        <f t="shared" si="51"/>
        <v>-3800</v>
      </c>
      <c r="I58" s="26">
        <f t="shared" si="51"/>
        <v>-1524</v>
      </c>
      <c r="J58" s="26">
        <f t="shared" ref="J58" si="52">J57+J56+J52</f>
        <v>-1643.0677870175314</v>
      </c>
      <c r="K58" s="26">
        <f t="shared" ref="K58" si="53">K57+K56+K52</f>
        <v>-1733.0609345827365</v>
      </c>
      <c r="L58" s="26">
        <f t="shared" ref="L58" si="54">L57+L56+L52</f>
        <v>-1836.2781009751459</v>
      </c>
      <c r="M58" s="26">
        <f t="shared" ref="M58" si="55">M57+M56+M52</f>
        <v>-1954.8255319086113</v>
      </c>
      <c r="N58" s="26">
        <f t="shared" ref="N58" si="56">N57+N56+N52</f>
        <v>-2091.191723307873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Historicals!J93+Historicals!J91</f>
        <v>-2863</v>
      </c>
      <c r="K59" s="3">
        <f>Historicals!K93+Historicals!K91</f>
        <v>-2863</v>
      </c>
      <c r="L59" s="3">
        <f>Historicals!L93+Historicals!L91</f>
        <v>-2863</v>
      </c>
      <c r="M59" s="3">
        <f>Historicals!M93+Historicals!M91</f>
        <v>-2863</v>
      </c>
      <c r="N59" s="3">
        <f>Historicals!N93+Historicals!N91</f>
        <v>-2863</v>
      </c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57">+IFERROR(D59/C59-1,"nm")*-1</f>
        <v>-1.0984987184181616E-3</v>
      </c>
      <c r="E60" s="53">
        <f t="shared" si="57"/>
        <v>-0.28785662033650339</v>
      </c>
      <c r="F60" s="53">
        <f t="shared" si="57"/>
        <v>-1.8460664583924924E-2</v>
      </c>
      <c r="G60" s="53">
        <f t="shared" si="57"/>
        <v>0.39152258784160621</v>
      </c>
      <c r="H60" s="53">
        <f t="shared" si="57"/>
        <v>1.2584784601283228</v>
      </c>
      <c r="I60" s="53">
        <f t="shared" si="57"/>
        <v>6.0762411347517729</v>
      </c>
      <c r="J60" s="53">
        <f t="shared" ref="J60" si="58">+IFERROR(J59/I59-1,"nm")*-1</f>
        <v>0</v>
      </c>
      <c r="K60" s="53">
        <f t="shared" ref="K60" si="59">+IFERROR(K59/J59-1,"nm")*-1</f>
        <v>0</v>
      </c>
      <c r="L60" s="53">
        <f t="shared" ref="L60" si="60">+IFERROR(L59/K59-1,"nm")*-1</f>
        <v>0</v>
      </c>
      <c r="M60" s="53">
        <f t="shared" ref="M60" si="61">+IFERROR(M59/L59-1,"nm")*-1</f>
        <v>0</v>
      </c>
      <c r="N60" s="53">
        <f t="shared" ref="N60" si="62">+IFERROR(N59/M59-1,"nm")*-1</f>
        <v>0</v>
      </c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-2058.0724543317133</v>
      </c>
      <c r="K61" s="3">
        <f>K17*K15*-1</f>
        <v>-2058.0724543317133</v>
      </c>
      <c r="L61" s="3">
        <f>L17*L15*-1</f>
        <v>-2058.0724543317133</v>
      </c>
      <c r="M61" s="3">
        <f>M17*M15*-1</f>
        <v>-2058.0724543317133</v>
      </c>
      <c r="N61" s="3">
        <f>N17*N15*-1</f>
        <v>-2058.0724543317133</v>
      </c>
      <c r="P61" t="s">
        <v>229</v>
      </c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Historicals!J87+Historicals!J89+Historicals!J90+Historicals!J92+Historicals!J88</f>
        <v>15</v>
      </c>
      <c r="K62" s="3">
        <f>Historicals!K87+Historicals!K89+Historicals!K90+Historicals!K92+Historicals!K88</f>
        <v>15</v>
      </c>
      <c r="L62" s="3">
        <f>Historicals!L87+Historicals!L89+Historicals!L90+Historicals!L92+Historicals!L88</f>
        <v>15</v>
      </c>
      <c r="M62" s="3">
        <f>Historicals!M87+Historicals!M89+Historicals!M90+Historicals!M92+Historicals!M88</f>
        <v>15</v>
      </c>
      <c r="N62" s="3">
        <f>Historicals!N87+Historicals!N89+Historicals!N90+Historicals!N92+Historicals!N88</f>
        <v>15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Historicals!J95</f>
        <v>-151</v>
      </c>
      <c r="K63" s="3">
        <f>Historicals!K95</f>
        <v>-151</v>
      </c>
      <c r="L63" s="3">
        <f>Historicals!L95</f>
        <v>-151</v>
      </c>
      <c r="M63" s="3">
        <f>Historicals!M95</f>
        <v>-151</v>
      </c>
      <c r="N63" s="3">
        <f>Historicals!N95</f>
        <v>-151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3">C59+C61+C62+C63</f>
        <v>-2671</v>
      </c>
      <c r="D64" s="26">
        <f t="shared" si="63"/>
        <v>-1942</v>
      </c>
      <c r="E64" s="26">
        <f t="shared" si="63"/>
        <v>-4835</v>
      </c>
      <c r="F64" s="26">
        <f t="shared" si="63"/>
        <v>-5293</v>
      </c>
      <c r="G64" s="26">
        <f t="shared" si="63"/>
        <v>2491</v>
      </c>
      <c r="H64" s="26">
        <f t="shared" si="63"/>
        <v>-1459</v>
      </c>
      <c r="I64" s="26">
        <f t="shared" si="63"/>
        <v>-4836</v>
      </c>
      <c r="J64" s="26">
        <f t="shared" ref="J64" si="64">J59+J61+J62+J63</f>
        <v>-5057.0724543317137</v>
      </c>
      <c r="K64" s="26">
        <f t="shared" ref="K64" si="65">K59+K61+K62+K63</f>
        <v>-5057.0724543317137</v>
      </c>
      <c r="L64" s="26">
        <f t="shared" ref="L64" si="66">L59+L61+L62+L63</f>
        <v>-5057.0724543317137</v>
      </c>
      <c r="M64" s="26">
        <f t="shared" ref="M64" si="67">M59+M61+M62+M63</f>
        <v>-5057.0724543317137</v>
      </c>
      <c r="N64" s="26">
        <f t="shared" ref="N64" si="68">N59+N61+N62+N63</f>
        <v>-5057.0724543317137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Historicals!J97</f>
        <v>-143</v>
      </c>
      <c r="K65" s="3">
        <f>Historicals!K97</f>
        <v>-143</v>
      </c>
      <c r="L65" s="3">
        <f>Historicals!L97</f>
        <v>-143</v>
      </c>
      <c r="M65" s="3">
        <f>Historicals!M97</f>
        <v>-143</v>
      </c>
      <c r="N65" s="3">
        <f>Historicals!N97</f>
        <v>-143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69">C55+C58+C64+C65</f>
        <v>-714</v>
      </c>
      <c r="D66" s="26">
        <f t="shared" si="69"/>
        <v>670</v>
      </c>
      <c r="E66" s="26">
        <f t="shared" si="69"/>
        <v>441</v>
      </c>
      <c r="F66" s="26">
        <f t="shared" si="69"/>
        <v>217</v>
      </c>
      <c r="G66" s="26">
        <f t="shared" si="69"/>
        <v>3882</v>
      </c>
      <c r="H66" s="26">
        <f t="shared" si="69"/>
        <v>1541</v>
      </c>
      <c r="I66" s="26">
        <f t="shared" si="69"/>
        <v>-1315</v>
      </c>
      <c r="J66" s="26">
        <f t="shared" ref="J66" si="70">J55+J58+J64+J65</f>
        <v>-1655.1402413492451</v>
      </c>
      <c r="K66" s="26">
        <f t="shared" ref="K66" si="71">K55+K58+K64+K65</f>
        <v>-1745.1333889144503</v>
      </c>
      <c r="L66" s="26">
        <f t="shared" ref="L66" si="72">L55+L58+L64+L65</f>
        <v>-1848.3505553068599</v>
      </c>
      <c r="M66" s="26">
        <f t="shared" ref="M66" si="73">M55+M58+M64+M65</f>
        <v>-1966.8979862403248</v>
      </c>
      <c r="N66" s="26">
        <f t="shared" ref="N66" si="74">N55+N58+N64+N65</f>
        <v>-2103.2641776395858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5">C68</f>
        <v>3138</v>
      </c>
      <c r="E67" s="3">
        <f t="shared" si="75"/>
        <v>3808</v>
      </c>
      <c r="F67" s="3">
        <f t="shared" si="75"/>
        <v>4249</v>
      </c>
      <c r="G67" s="3">
        <f t="shared" si="75"/>
        <v>4466</v>
      </c>
      <c r="H67" s="3">
        <f t="shared" si="75"/>
        <v>8348</v>
      </c>
      <c r="I67" s="3">
        <f t="shared" si="75"/>
        <v>9889</v>
      </c>
      <c r="J67" s="3">
        <f t="shared" si="75"/>
        <v>8574</v>
      </c>
      <c r="K67" s="3">
        <f t="shared" si="75"/>
        <v>6918.8597586507549</v>
      </c>
      <c r="L67" s="3">
        <f t="shared" si="75"/>
        <v>5173.7263697363051</v>
      </c>
      <c r="M67" s="3">
        <f t="shared" si="75"/>
        <v>3325.3758144294452</v>
      </c>
      <c r="N67" s="3">
        <f t="shared" si="75"/>
        <v>1358.4778281891204</v>
      </c>
      <c r="P67" s="69" t="s">
        <v>230</v>
      </c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6">D66+D67</f>
        <v>3808</v>
      </c>
      <c r="E68" s="7">
        <f t="shared" si="76"/>
        <v>4249</v>
      </c>
      <c r="F68" s="7">
        <f t="shared" si="76"/>
        <v>4466</v>
      </c>
      <c r="G68" s="7">
        <f t="shared" si="76"/>
        <v>8348</v>
      </c>
      <c r="H68" s="7">
        <f t="shared" si="76"/>
        <v>9889</v>
      </c>
      <c r="I68" s="7">
        <f t="shared" si="76"/>
        <v>8574</v>
      </c>
      <c r="J68" s="7">
        <f>J66+J67</f>
        <v>6918.8597586507549</v>
      </c>
      <c r="K68" s="7">
        <f t="shared" si="76"/>
        <v>5173.7263697363051</v>
      </c>
      <c r="L68" s="7">
        <f t="shared" si="76"/>
        <v>3325.3758144294452</v>
      </c>
      <c r="M68" s="7">
        <f t="shared" si="76"/>
        <v>1358.4778281891204</v>
      </c>
      <c r="N68" s="7">
        <f t="shared" si="76"/>
        <v>-744.78634945046542</v>
      </c>
      <c r="P68" t="s">
        <v>231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2024-01-09T12:13:41Z</dcterms:modified>
</cp:coreProperties>
</file>