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756DA84B-5D26-A04F-A083-3A7BB3CDE0E3}" xr6:coauthVersionLast="47" xr6:coauthVersionMax="47" xr10:uidLastSave="{00000000-0000-0000-0000-000000000000}"/>
  <bookViews>
    <workbookView xWindow="0" yWindow="0" windowWidth="28800" windowHeight="18000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heet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5" l="1"/>
  <c r="D23" i="5"/>
  <c r="E23" i="5"/>
  <c r="F23" i="5"/>
  <c r="G23" i="5"/>
  <c r="H23" i="5"/>
  <c r="I23" i="5"/>
  <c r="B23" i="5"/>
  <c r="C22" i="5"/>
  <c r="D22" i="5"/>
  <c r="E22" i="5"/>
  <c r="F22" i="5"/>
  <c r="G22" i="5"/>
  <c r="H22" i="5"/>
  <c r="I22" i="5"/>
  <c r="B22" i="5"/>
  <c r="C19" i="5"/>
  <c r="D19" i="5"/>
  <c r="E19" i="5"/>
  <c r="F19" i="5"/>
  <c r="G19" i="5"/>
  <c r="H19" i="5"/>
  <c r="I19" i="5"/>
  <c r="B19" i="5"/>
  <c r="C16" i="5"/>
  <c r="D16" i="5"/>
  <c r="E16" i="5"/>
  <c r="F16" i="5"/>
  <c r="G16" i="5"/>
  <c r="H16" i="5"/>
  <c r="I16" i="5"/>
  <c r="J16" i="5"/>
  <c r="K16" i="5"/>
  <c r="L16" i="5"/>
  <c r="M16" i="5"/>
  <c r="N16" i="5"/>
  <c r="B16" i="5"/>
  <c r="C6" i="3"/>
  <c r="B6" i="3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B15" i="5"/>
  <c r="C11" i="5"/>
  <c r="D11" i="5"/>
  <c r="E11" i="5"/>
  <c r="F11" i="5"/>
  <c r="G11" i="5"/>
  <c r="H11" i="5"/>
  <c r="I11" i="5"/>
  <c r="B11" i="5"/>
  <c r="C10" i="5"/>
  <c r="D10" i="5"/>
  <c r="E10" i="5"/>
  <c r="F10" i="5"/>
  <c r="G10" i="5"/>
  <c r="H10" i="5"/>
  <c r="I10" i="5"/>
  <c r="B10" i="5"/>
  <c r="B9" i="5"/>
  <c r="C9" i="5"/>
  <c r="D9" i="5"/>
  <c r="E9" i="5"/>
  <c r="F9" i="5"/>
  <c r="G9" i="5"/>
  <c r="H9" i="5"/>
  <c r="I9" i="5"/>
  <c r="C8" i="5"/>
  <c r="D8" i="5"/>
  <c r="E8" i="5"/>
  <c r="F8" i="5"/>
  <c r="G8" i="5"/>
  <c r="H8" i="5"/>
  <c r="I8" i="5"/>
  <c r="B8" i="5"/>
  <c r="C7" i="5"/>
  <c r="D7" i="5"/>
  <c r="E7" i="5"/>
  <c r="F7" i="5"/>
  <c r="G7" i="5"/>
  <c r="H7" i="5"/>
  <c r="I7" i="5"/>
  <c r="B7" i="5"/>
  <c r="C6" i="5"/>
  <c r="D6" i="5"/>
  <c r="E6" i="5"/>
  <c r="F6" i="5"/>
  <c r="G6" i="5"/>
  <c r="H6" i="5"/>
  <c r="I6" i="5"/>
  <c r="B6" i="5"/>
  <c r="C5" i="5"/>
  <c r="D5" i="5"/>
  <c r="E5" i="5"/>
  <c r="F5" i="5"/>
  <c r="G5" i="5"/>
  <c r="H5" i="5"/>
  <c r="I5" i="5"/>
  <c r="B5" i="5"/>
  <c r="C4" i="5"/>
  <c r="D4" i="5"/>
  <c r="E4" i="5"/>
  <c r="F4" i="5"/>
  <c r="G4" i="5"/>
  <c r="H4" i="5"/>
  <c r="I4" i="5"/>
  <c r="B4" i="5"/>
  <c r="I3" i="5"/>
  <c r="H3" i="5"/>
  <c r="G3" i="5"/>
  <c r="F3" i="5"/>
  <c r="E3" i="5"/>
  <c r="D3" i="5"/>
  <c r="C3" i="5"/>
  <c r="B3" i="5"/>
  <c r="C1" i="5"/>
  <c r="D1" i="5" s="1"/>
  <c r="E1" i="5" s="1"/>
  <c r="F1" i="5" s="1"/>
  <c r="G1" i="5" s="1"/>
  <c r="H1" i="5" s="1"/>
  <c r="I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I65" i="4" l="1"/>
  <c r="I63" i="4"/>
  <c r="I62" i="4"/>
  <c r="L112" i="1"/>
  <c r="G62" i="4"/>
  <c r="H62" i="4"/>
  <c r="R18" i="4" l="1"/>
  <c r="S18" i="4" s="1"/>
  <c r="T18" i="4" s="1"/>
  <c r="U18" i="4" s="1"/>
  <c r="V18" i="4" s="1"/>
  <c r="J52" i="4"/>
  <c r="K52" i="4"/>
  <c r="L52" i="4"/>
  <c r="M52" i="4"/>
  <c r="N52" i="4"/>
  <c r="V84" i="1" l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R3" i="4"/>
  <c r="S3" i="4"/>
  <c r="T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J90" i="3"/>
  <c r="J125" i="3"/>
  <c r="J24" i="3"/>
  <c r="J23" i="3" s="1"/>
  <c r="C59" i="4"/>
  <c r="D59" i="4"/>
  <c r="E59" i="4"/>
  <c r="F59" i="4"/>
  <c r="G59" i="4"/>
  <c r="H59" i="4"/>
  <c r="H60" i="4" s="1"/>
  <c r="I59" i="4"/>
  <c r="J59" i="4" s="1"/>
  <c r="C57" i="4"/>
  <c r="C58" i="4" s="1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67" i="4" l="1"/>
  <c r="B69" i="4"/>
  <c r="H58" i="4"/>
  <c r="G58" i="4"/>
  <c r="K59" i="4"/>
  <c r="R29" i="4"/>
  <c r="R22" i="4"/>
  <c r="B58" i="4"/>
  <c r="J15" i="4"/>
  <c r="R20" i="4"/>
  <c r="E58" i="4"/>
  <c r="D58" i="4"/>
  <c r="J40" i="4"/>
  <c r="K40" i="4" s="1"/>
  <c r="L40" i="4" s="1"/>
  <c r="M40" i="4" s="1"/>
  <c r="N40" i="4" s="1"/>
  <c r="I39" i="4"/>
  <c r="G212" i="3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E24" i="4" s="1"/>
  <c r="D11" i="3"/>
  <c r="I14" i="3"/>
  <c r="I52" i="4" s="1"/>
  <c r="I58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B19" i="4" s="1"/>
  <c r="E13" i="4"/>
  <c r="D13" i="4"/>
  <c r="I18" i="4"/>
  <c r="I60" i="4"/>
  <c r="G31" i="4"/>
  <c r="F51" i="4"/>
  <c r="C13" i="4"/>
  <c r="E51" i="4"/>
  <c r="G51" i="4"/>
  <c r="I13" i="4"/>
  <c r="C16" i="4"/>
  <c r="C19" i="4" s="1"/>
  <c r="C31" i="4"/>
  <c r="F13" i="4"/>
  <c r="E16" i="4"/>
  <c r="E19" i="4" s="1"/>
  <c r="E60" i="4"/>
  <c r="B13" i="4"/>
  <c r="C51" i="4"/>
  <c r="D16" i="4"/>
  <c r="D19" i="4" s="1"/>
  <c r="F18" i="4"/>
  <c r="D31" i="4"/>
  <c r="F39" i="4"/>
  <c r="F43" i="4" s="1"/>
  <c r="D60" i="4"/>
  <c r="B31" i="4"/>
  <c r="D18" i="4"/>
  <c r="C39" i="4"/>
  <c r="C43" i="4" s="1"/>
  <c r="F16" i="4"/>
  <c r="F19" i="4" s="1"/>
  <c r="E31" i="4"/>
  <c r="F64" i="4"/>
  <c r="C18" i="4"/>
  <c r="F31" i="4"/>
  <c r="H19" i="4"/>
  <c r="B64" i="4"/>
  <c r="H13" i="4"/>
  <c r="I16" i="4"/>
  <c r="I19" i="4" s="1"/>
  <c r="H51" i="4"/>
  <c r="I51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G49" i="4"/>
  <c r="H24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D54" i="4" l="1"/>
  <c r="S20" i="4"/>
  <c r="R26" i="4"/>
  <c r="L59" i="4"/>
  <c r="S29" i="4"/>
  <c r="K15" i="4" s="1"/>
  <c r="S22" i="4"/>
  <c r="J35" i="3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F66" i="4" s="1"/>
  <c r="I15" i="3"/>
  <c r="F4" i="3"/>
  <c r="F4" i="4" s="1"/>
  <c r="G53" i="4"/>
  <c r="G54" i="4"/>
  <c r="G55" i="4" s="1"/>
  <c r="G66" i="4" s="1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T20" i="4" l="1"/>
  <c r="M59" i="4"/>
  <c r="T29" i="4"/>
  <c r="L15" i="4" s="1"/>
  <c r="T22" i="4"/>
  <c r="S26" i="4"/>
  <c r="K149" i="3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7" i="3"/>
  <c r="E6" i="3"/>
  <c r="E7" i="3"/>
  <c r="L103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U20" i="4" l="1"/>
  <c r="N59" i="4"/>
  <c r="U29" i="4"/>
  <c r="M15" i="4" s="1"/>
  <c r="U22" i="4"/>
  <c r="T26" i="4"/>
  <c r="J98" i="3"/>
  <c r="I54" i="4"/>
  <c r="I55" i="4" s="1"/>
  <c r="I66" i="4" s="1"/>
  <c r="C68" i="4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V20" i="4" l="1"/>
  <c r="U26" i="4"/>
  <c r="V29" i="4"/>
  <c r="N15" i="4" s="1"/>
  <c r="V22" i="4"/>
  <c r="D67" i="4"/>
  <c r="D68" i="4" s="1"/>
  <c r="C69" i="4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V26" i="4" l="1"/>
  <c r="E67" i="4"/>
  <c r="E68" i="4" s="1"/>
  <c r="D69" i="4"/>
  <c r="K42" i="3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F67" i="4" l="1"/>
  <c r="F68" i="4" s="1"/>
  <c r="E69" i="4"/>
  <c r="K44" i="3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G67" i="4" l="1"/>
  <c r="G68" i="4" s="1"/>
  <c r="F69" i="4"/>
  <c r="M42" i="3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H67" i="4" l="1"/>
  <c r="H68" i="4" s="1"/>
  <c r="G69" i="4"/>
  <c r="M44" i="3"/>
  <c r="H69" i="4" l="1"/>
  <c r="I67" i="4"/>
  <c r="I68" i="4" s="1"/>
  <c r="I69" i="4" s="1"/>
  <c r="J160" i="3"/>
  <c r="J157" i="3"/>
  <c r="J14" i="3" s="1"/>
  <c r="J3" i="3"/>
  <c r="J67" i="4" l="1"/>
  <c r="J50" i="4" s="1"/>
  <c r="J58" i="4" s="1"/>
  <c r="J15" i="3"/>
  <c r="J16" i="3"/>
  <c r="J3" i="4"/>
  <c r="J23" i="4" s="1"/>
  <c r="J4" i="3"/>
  <c r="J4" i="4" s="1"/>
  <c r="J150" i="3"/>
  <c r="J17" i="3"/>
  <c r="J51" i="4" l="1"/>
  <c r="J151" i="3"/>
  <c r="J8" i="3"/>
  <c r="J152" i="3"/>
  <c r="J18" i="3"/>
  <c r="J19" i="3"/>
  <c r="J10" i="3" l="1"/>
  <c r="J47" i="4"/>
  <c r="J26" i="4" s="1"/>
  <c r="J9" i="3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26" i="4" s="1"/>
  <c r="L26" i="4" s="1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47" i="4" s="1"/>
  <c r="M26" i="4" s="1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47" i="4" s="1"/>
  <c r="N26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N51" i="4" s="1"/>
  <c r="L23" i="4"/>
  <c r="M51" i="4" s="1"/>
  <c r="K23" i="4"/>
  <c r="L51" i="4" l="1"/>
  <c r="K51" i="4"/>
  <c r="J10" i="4"/>
  <c r="J11" i="4" s="1"/>
  <c r="J12" i="4" l="1"/>
  <c r="J48" i="4" s="1"/>
  <c r="J49" i="4" s="1"/>
  <c r="J55" i="4" l="1"/>
  <c r="J53" i="4"/>
  <c r="J14" i="4"/>
  <c r="J16" i="4" s="1"/>
  <c r="J17" i="4" s="1"/>
  <c r="J61" i="4" s="1"/>
  <c r="J41" i="4" s="1"/>
  <c r="J39" i="4" s="1"/>
  <c r="J43" i="4" s="1"/>
  <c r="J18" i="4" l="1"/>
  <c r="J64" i="4"/>
  <c r="J66" i="4" s="1"/>
  <c r="J68" i="4" s="1"/>
  <c r="J70" i="4" l="1"/>
  <c r="J21" i="4"/>
  <c r="J31" i="4" s="1"/>
  <c r="J44" i="4" s="1"/>
  <c r="K67" i="4"/>
  <c r="K50" i="4" l="1"/>
  <c r="K58" i="4" s="1"/>
  <c r="K10" i="4" l="1"/>
  <c r="K11" i="4" s="1"/>
  <c r="K12" i="4" s="1"/>
  <c r="K48" i="4" s="1"/>
  <c r="K49" i="4" s="1"/>
  <c r="K14" i="4" l="1"/>
  <c r="K16" i="4" s="1"/>
  <c r="K17" i="4" s="1"/>
  <c r="K55" i="4"/>
  <c r="K53" i="4"/>
  <c r="K61" i="4" l="1"/>
  <c r="K64" i="4" s="1"/>
  <c r="K66" i="4" s="1"/>
  <c r="K68" i="4" s="1"/>
  <c r="K18" i="4"/>
  <c r="K21" i="4" l="1"/>
  <c r="K31" i="4" s="1"/>
  <c r="L67" i="4"/>
  <c r="L50" i="4" s="1"/>
  <c r="L58" i="4" s="1"/>
  <c r="K70" i="4"/>
  <c r="K41" i="4"/>
  <c r="K39" i="4" s="1"/>
  <c r="K43" i="4" s="1"/>
  <c r="K44" i="4" l="1"/>
  <c r="L10" i="4"/>
  <c r="L11" i="4" s="1"/>
  <c r="L12" i="4" s="1"/>
  <c r="L48" i="4" s="1"/>
  <c r="L49" i="4" s="1"/>
  <c r="L53" i="4" l="1"/>
  <c r="L55" i="4"/>
  <c r="L14" i="4"/>
  <c r="L16" i="4" l="1"/>
  <c r="L17" i="4" s="1"/>
  <c r="L18" i="4" l="1"/>
  <c r="L61" i="4"/>
  <c r="L64" i="4" l="1"/>
  <c r="L66" i="4" s="1"/>
  <c r="L68" i="4" s="1"/>
  <c r="L41" i="4"/>
  <c r="L39" i="4" s="1"/>
  <c r="L43" i="4" s="1"/>
  <c r="L70" i="4" l="1"/>
  <c r="L21" i="4"/>
  <c r="L31" i="4" s="1"/>
  <c r="L44" i="4" s="1"/>
  <c r="M67" i="4"/>
  <c r="M50" i="4" s="1"/>
  <c r="M58" i="4" l="1"/>
  <c r="M10" i="4"/>
  <c r="M11" i="4" s="1"/>
  <c r="M12" i="4" l="1"/>
  <c r="M48" i="4" s="1"/>
  <c r="M49" i="4" s="1"/>
  <c r="M14" i="4" l="1"/>
  <c r="M16" i="4" s="1"/>
  <c r="M17" i="4" s="1"/>
  <c r="M55" i="4"/>
  <c r="M53" i="4"/>
  <c r="M18" i="4" l="1"/>
  <c r="M61" i="4"/>
  <c r="M64" i="4" l="1"/>
  <c r="M66" i="4" s="1"/>
  <c r="M68" i="4" s="1"/>
  <c r="M41" i="4"/>
  <c r="M39" i="4" s="1"/>
  <c r="M43" i="4" s="1"/>
  <c r="M70" i="4" l="1"/>
  <c r="M21" i="4"/>
  <c r="M31" i="4" s="1"/>
  <c r="M44" i="4" s="1"/>
  <c r="N67" i="4"/>
  <c r="N50" i="4" s="1"/>
  <c r="N58" i="4" l="1"/>
  <c r="N10" i="4"/>
  <c r="N11" i="4" s="1"/>
  <c r="N12" i="4" l="1"/>
  <c r="N48" i="4" s="1"/>
  <c r="N49" i="4" s="1"/>
  <c r="N14" i="4"/>
  <c r="N16" i="4" l="1"/>
  <c r="N17" i="4" s="1"/>
  <c r="N53" i="4"/>
  <c r="N55" i="4"/>
  <c r="N18" i="4" l="1"/>
  <c r="N61" i="4"/>
  <c r="N64" i="4" l="1"/>
  <c r="N66" i="4" s="1"/>
  <c r="N68" i="4" s="1"/>
  <c r="N41" i="4"/>
  <c r="N39" i="4" s="1"/>
  <c r="N43" i="4" s="1"/>
  <c r="N21" i="4" l="1"/>
  <c r="N31" i="4" s="1"/>
  <c r="N44" i="4" s="1"/>
  <c r="N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<sst xmlns="http://schemas.openxmlformats.org/spreadsheetml/2006/main" count="588" uniqueCount="268">
  <si>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</si>
  <si>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</si>
  <si>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</si>
  <si>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</si>
  <si>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</si>
  <si>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</si>
  <si>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</si>
  <si>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</si>
  <si>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</si>
  <si>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</si>
  <si>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</si>
  <si>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</si>
  <si>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</si>
  <si>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</si>
  <si>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</si>
  <si>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</si>
  <si>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</si>
  <si>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</si>
  <si>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</si>
  <si>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</si>
  <si>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</si>
  <si>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</si>
  <si>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</si>
  <si>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</si>
  <si>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</si>
  <si>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</si>
  <si>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</si>
  <si>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</si>
  <si>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</si>
  <si>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</si>
  <si>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</si>
  <si>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</si>
  <si>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</si>
  <si>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</si>
  <si>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</si>
  <si>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</si>
  <si>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</si>
  <si>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</si>
  <si>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</si>
  <si>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</si>
  <si>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</si>
  <si>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</si>
  <si>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</si>
  <si>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</si>
  <si>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</si>
  <si>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</si>
  <si>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</si>
  <si>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</si>
  <si>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</si>
  <si>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</si>
  <si>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</si>
  <si>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</si>
  <si>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</si>
  <si>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</si>
  <si>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</si>
  <si>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</si>
  <si>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</si>
  <si>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</si>
  <si>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</si>
  <si>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</si>
  <si>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</si>
  <si>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</si>
  <si>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</si>
  <si>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</si>
  <si>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</si>
  <si>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</si>
  <si>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</si>
  <si>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</si>
  <si>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</si>
  <si>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</si>
  <si>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</si>
  <si>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</si>
  <si>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</si>
  <si>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</si>
  <si>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</si>
  <si>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</si>
  <si>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</si>
  <si>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</si>
  <si>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</si>
  <si>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</si>
  <si>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</si>
  <si>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</si>
  <si>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</si>
  <si>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</si>
  <si>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</si>
  <si>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</si>
  <si>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</si>
  <si>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</si>
  <si>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</si>
  <si>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</si>
  <si>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</si>
  <si>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</si>
  <si>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</si>
  <si>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</si>
  <si>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</si>
  <si>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</si>
  <si>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</si>
  <si>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</si>
  <si>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</si>
  <si>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</si>
  <si>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</si>
  <si>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</si>
  <si>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</si>
  <si>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</si>
  <si>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</si>
  <si>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</si>
  <si>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</si>
  <si>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</si>
  <si>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</si>
  <si>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</si>
  <si>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</si>
  <si>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</si>
  <si>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</si>
  <si>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</si>
  <si>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</si>
  <si>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</si>
  <si>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</si>
  <si>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</si>
  <si>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</si>
  <si>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</si>
  <si>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</si>
  <si>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</si>
  <si>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</si>
  <si>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</si>
  <si>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</si>
  <si>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</si>
  <si>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</si>
  <si>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</si>
  <si>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</si>
  <si>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</si>
  <si>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</si>
  <si>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</si>
  <si>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</si>
  <si>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</si>
  <si>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</si>
  <si>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</si>
  <si>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</si>
  <si>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</si>
  <si>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</si>
  <si>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</si>
  <si>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</si>
  <si>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</si>
  <si>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</si>
  <si>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</si>
  <si>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</si>
  <si>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</si>
  <si>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</si>
  <si>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</si>
  <si>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</si>
  <si>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</si>
  <si>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</si>
  <si>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</si>
  <si>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</si>
  <si>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</si>
  <si>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</si>
  <si>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</si>
  <si>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</si>
  <si>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</si>
  <si>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</si>
  <si>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</si>
  <si>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</si>
  <si>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</si>
  <si>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</si>
  <si>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</si>
  <si>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</si>
  <si>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</si>
  <si>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</si>
  <si>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</si>
  <si>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</si>
  <si>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</si>
  <si>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</si>
  <si>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</si>
  <si>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</si>
  <si>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</si>
  <si>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</si>
  <si>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</si>
  <si>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</si>
  <si>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</si>
  <si>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</si>
  <si>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</si>
  <si>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</si>
  <si>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</si>
  <si>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</si>
  <si>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</si>
  <si>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</si>
  <si>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</si>
  <si>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</si>
  <si>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</si>
  <si>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</si>
  <si>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</si>
  <si>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</si>
  <si>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</si>
  <si>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</si>
  <si>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</si>
  <si>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</si>
  <si>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</si>
  <si>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</si>
  <si>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</si>
  <si>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</si>
  <si>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</si>
  <si>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</si>
  <si>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</si>
  <si>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</si>
  <si>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</si>
  <si>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</si>
  <si>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</si>
  <si>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</si>
  <si>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</si>
  <si>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</si>
  <si>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</si>
  <si>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</si>
  <si>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</si>
  <si>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</si>
  <si>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</si>
  <si>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</si>
  <si>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</si>
  <si>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</si>
  <si>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</si>
  <si>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</si>
  <si>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</si>
  <si>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</si>
  <si>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</si>
  <si>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</si>
  <si>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</si>
  <si>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</si>
  <si>
    <t>First Calculate the number of shares bought back   Share buyback value in cash flow statement below/closing share price today, after calculating the number of shares bought back, subtract it from opening shares</t>
  </si>
  <si>
    <t>For Historical periods, remove row 50 from formula</t>
  </si>
  <si>
    <t>Check the linking to the Historicals sheet, 2022 numbers should be linked similar to 2021 column</t>
  </si>
  <si>
    <t xml:space="preserve">buyback </t>
  </si>
  <si>
    <t>Link the highlighted cell to Historicals I97</t>
  </si>
  <si>
    <t>Keep the highlighted forecasts blank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</si>
  <si>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</si>
  <si>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</si>
  <si>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</si>
  <si>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</si>
  <si>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</si>
  <si>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</si>
  <si>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</si>
  <si>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</si>
  <si>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</si>
  <si>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</si>
  <si>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</si>
  <si>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</si>
  <si>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</si>
  <si>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</si>
  <si>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</si>
  <si>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</si>
  <si>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</si>
  <si>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</si>
  <si>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</si>
  <si>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</si>
  <si>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</si>
  <si>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</si>
  <si>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</si>
  <si>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</si>
  <si>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</si>
  <si>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</si>
  <si>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</si>
  <si>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</si>
  <si>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</si>
  <si>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>Calculate</t>
  </si>
  <si>
    <t xml:space="preserve">Present Value of Terminal Value of Firm </t>
  </si>
  <si>
    <t xml:space="preserve">Value of the firm </t>
  </si>
  <si>
    <t>Addtion of the above</t>
  </si>
  <si>
    <t xml:space="preserve">Book Value of Debt </t>
  </si>
  <si>
    <t xml:space="preserve">Value of Equity </t>
  </si>
  <si>
    <t xml:space="preserve">Value of Equity per Share </t>
  </si>
  <si>
    <t>SOURCED FROM https://www.zacks.com/stock/chart/NKE/fundamental/beta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</si>
</sst>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  <xf numFmtId="165" fontId="2" fillId="9" borderId="4" xfId="1" applyNumberFormat="1" applyFont="1" applyFill="1" applyBorder="1"/>
    <xf numFmtId="43" fontId="0" fillId="0" borderId="0" xfId="0" applyNumberFormat="1"/>
    <xf numFmtId="0" fontId="6" fillId="4" borderId="0" xfId="4" applyNumberFormat="1" applyFont="1" applyBorder="1" applyAlignment="1">
      <alignment horizontal="left"/>
    </xf>
    <xf numFmtId="165" fontId="2" fillId="0" borderId="4" xfId="1" applyNumberFormat="1" applyFont="1" applyFill="1" applyBorder="1"/>
    <xf numFmtId="165" fontId="0" fillId="11" borderId="0" xfId="1" applyNumberFormat="1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6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 wrapText="1"/>
    </xf>
    <xf numFmtId="0" fontId="0" fillId="13" borderId="0" xfId="0" applyFill="1"/>
    <xf numFmtId="166" fontId="0" fillId="0" borderId="0" xfId="2" applyNumberFormat="1" applyFont="1"/>
    <xf numFmtId="10" fontId="11" fillId="0" borderId="0" xfId="2" applyNumberFormat="1" applyFont="1" applyBorder="1" applyAlignment="1">
      <alignment horizontal="left"/>
    </xf>
    <xf numFmtId="10" fontId="19" fillId="0" borderId="0" xfId="1" applyNumberFormat="1" applyFont="1" applyBorder="1" applyAlignment="1">
      <alignment horizontal="right"/>
    </xf>
    <xf numFmtId="10" fontId="19" fillId="0" borderId="0" xfId="2" applyNumberFormat="1" applyFont="1" applyBorder="1"/>
    <xf numFmtId="0" fontId="19" fillId="14" borderId="0" xfId="0" applyFont="1" applyFill="1"/>
    <xf numFmtId="166" fontId="0" fillId="0" borderId="0" xfId="2" applyNumberFormat="1" applyFont="1" applyFill="1"/>
    <xf numFmtId="0" fontId="18" fillId="0" borderId="0" xfId="6" applyAlignment="1">
      <alignment horizontal="left" inden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153" activePane="bottomLeft" state="frozen"/>
      <selection pane="bottomLeft" activeCell="I97" sqref="I9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2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2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  <c r="L112" s="58">
        <f>Historicals!G87+Historicals!G89+Historicals!G90+Historicals!G92+Historicals!G88</f>
        <v>6177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B6" sqref="B6:C6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>+IFERROR(C5/B5-1,"nm")</f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0"/>
  <sheetViews>
    <sheetView zoomScale="75" zoomScaleNormal="100" workbookViewId="0">
      <selection activeCell="J53" sqref="J53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52.33203125" customWidth="1"/>
    <col min="16" max="17" width="26.6640625" customWidth="1"/>
  </cols>
  <sheetData>
    <row r="1" spans="1:20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38"/>
      <c r="P1" s="71"/>
      <c r="Q1" s="71" t="s">
        <v>223</v>
      </c>
    </row>
    <row r="2" spans="1:20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</row>
    <row r="3" spans="1:20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/>
      <c r="Q3" s="9"/>
      <c r="R3" s="9">
        <f>'Segmental forecast'!P3</f>
        <v>0</v>
      </c>
      <c r="S3" s="9">
        <f>'Segmental forecast'!Q3</f>
        <v>0</v>
      </c>
      <c r="T3" s="9">
        <f>'Segmental forecast'!R3</f>
        <v>0</v>
      </c>
    </row>
    <row r="4" spans="1:20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  <c r="S4" s="49"/>
      <c r="T4" s="49"/>
    </row>
    <row r="5" spans="1:20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  <c r="O5" s="9"/>
    </row>
    <row r="6" spans="1:20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  <c r="O6" s="51"/>
    </row>
    <row r="7" spans="1:20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  <c r="O7" s="40"/>
    </row>
    <row r="8" spans="1:20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  <c r="O8" s="49"/>
    </row>
    <row r="9" spans="1:20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  <c r="O9" s="49"/>
    </row>
    <row r="10" spans="1:20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814.53</v>
      </c>
      <c r="K10" s="70">
        <f t="shared" ref="K10:N10" si="1">K50</f>
        <v>830.68644407042825</v>
      </c>
      <c r="L10" s="70">
        <f t="shared" si="1"/>
        <v>819.77745032133134</v>
      </c>
      <c r="M10" s="70">
        <f t="shared" si="1"/>
        <v>823.10681613234294</v>
      </c>
      <c r="N10" s="70">
        <f t="shared" si="1"/>
        <v>844.83705342801284</v>
      </c>
      <c r="O10" s="70"/>
    </row>
    <row r="11" spans="1:20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6009.0333470848054</v>
      </c>
      <c r="K11" s="5">
        <f t="shared" ref="K11:N11" si="2">K7-K10</f>
        <v>6648.7063812877304</v>
      </c>
      <c r="L11" s="5">
        <f t="shared" si="2"/>
        <v>7441.637047330014</v>
      </c>
      <c r="M11" s="5">
        <f t="shared" si="2"/>
        <v>8369.9218862169291</v>
      </c>
      <c r="N11" s="5">
        <f t="shared" si="2"/>
        <v>9457.6945398425887</v>
      </c>
      <c r="O11" s="40"/>
    </row>
    <row r="12" spans="1:20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570.85816797305654</v>
      </c>
      <c r="K12" s="3">
        <f t="shared" ref="K12:N12" si="3">K11*K13</f>
        <v>631.62710622233442</v>
      </c>
      <c r="L12" s="3">
        <f t="shared" si="3"/>
        <v>706.95551949635137</v>
      </c>
      <c r="M12" s="3">
        <f t="shared" si="3"/>
        <v>795.14257919060833</v>
      </c>
      <c r="N12" s="3">
        <f t="shared" si="3"/>
        <v>898.48098128504591</v>
      </c>
      <c r="O12" s="3"/>
    </row>
    <row r="13" spans="1:20" x14ac:dyDescent="0.2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  <c r="O13" s="53"/>
    </row>
    <row r="14" spans="1:20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5438.1751791117485</v>
      </c>
      <c r="K14" s="7">
        <f t="shared" ref="K14:N14" si="6">K11-K12</f>
        <v>6017.0792750653964</v>
      </c>
      <c r="L14" s="7">
        <f t="shared" si="6"/>
        <v>6734.6815278336626</v>
      </c>
      <c r="M14" s="7">
        <f t="shared" si="6"/>
        <v>7574.7793070263206</v>
      </c>
      <c r="N14" s="7">
        <f t="shared" si="6"/>
        <v>8559.2135585575434</v>
      </c>
      <c r="O14" s="40"/>
    </row>
    <row r="15" spans="1:20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I15-R29*-1</f>
        <v>1584.1237199396573</v>
      </c>
      <c r="K15" s="72">
        <f>J15-S29*-1</f>
        <v>1556.1136258762976</v>
      </c>
      <c r="L15" s="72">
        <f>K15-T29*-1</f>
        <v>1526.7030271097701</v>
      </c>
      <c r="M15" s="72">
        <f>L15-U29*-1</f>
        <v>1495.8218984049161</v>
      </c>
      <c r="N15" s="72">
        <f>M15-V29*-1</f>
        <v>1463.3967132648193</v>
      </c>
      <c r="O15" s="72"/>
      <c r="Q15" t="s">
        <v>224</v>
      </c>
    </row>
    <row r="16" spans="1:20" x14ac:dyDescent="0.2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3.432923268972262</v>
      </c>
      <c r="K16" s="54">
        <f t="shared" ref="K16" si="8">K14/K15</f>
        <v>3.8667351631709961</v>
      </c>
      <c r="L16" s="54">
        <f t="shared" ref="L16" si="9">L14/L15</f>
        <v>4.411258383749467</v>
      </c>
      <c r="M16" s="54">
        <f t="shared" ref="M16" si="10">M14/M15</f>
        <v>5.0639580254198435</v>
      </c>
      <c r="N16" s="54">
        <f t="shared" ref="N16" si="11">N14/N15</f>
        <v>5.8488675565370434</v>
      </c>
      <c r="O16" s="54"/>
      <c r="P16" t="s">
        <v>225</v>
      </c>
    </row>
    <row r="17" spans="1:22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1.2015231441402916</v>
      </c>
      <c r="K17" s="54">
        <f t="shared" ref="K17:N17" si="12">K16*K19</f>
        <v>1.3533573071098486</v>
      </c>
      <c r="L17" s="54">
        <f t="shared" si="12"/>
        <v>1.5439404343123133</v>
      </c>
      <c r="M17" s="54">
        <f t="shared" si="12"/>
        <v>1.772385308896945</v>
      </c>
      <c r="N17" s="54">
        <f t="shared" si="12"/>
        <v>2.0471036447879651</v>
      </c>
      <c r="O17" s="54"/>
    </row>
    <row r="18" spans="1:22" x14ac:dyDescent="0.2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5.3572934448111953E-2</v>
      </c>
      <c r="K18" s="68">
        <f t="shared" si="14"/>
        <v>0.12636807181787302</v>
      </c>
      <c r="L18" s="68">
        <f t="shared" si="14"/>
        <v>0.14082247622356503</v>
      </c>
      <c r="M18" s="68">
        <f t="shared" si="14"/>
        <v>0.14796223319741175</v>
      </c>
      <c r="N18" s="68">
        <f t="shared" si="14"/>
        <v>0.15499921744555234</v>
      </c>
      <c r="O18" s="68"/>
      <c r="R18" s="72">
        <f>Q18-R62</f>
        <v>0</v>
      </c>
      <c r="S18" s="72">
        <f t="shared" ref="S18" si="15">R18-S62</f>
        <v>0</v>
      </c>
      <c r="T18" s="72">
        <f t="shared" ref="T18" si="16">S18-T62</f>
        <v>0</v>
      </c>
      <c r="U18" s="72">
        <f t="shared" ref="U18" si="17">T18-U62</f>
        <v>0</v>
      </c>
      <c r="V18" s="72">
        <f t="shared" ref="V18" si="18">U18-V62</f>
        <v>0</v>
      </c>
    </row>
    <row r="19" spans="1:22" x14ac:dyDescent="0.2">
      <c r="A19" s="52" t="s">
        <v>164</v>
      </c>
      <c r="B19" s="53">
        <f>B17/B16</f>
        <v>0.26803816338700065</v>
      </c>
      <c r="C19" s="53">
        <f t="shared" ref="C19:H19" si="19">C17/C16</f>
        <v>0.27180851063829792</v>
      </c>
      <c r="D19" s="53">
        <f t="shared" si="19"/>
        <v>0.26721698113207548</v>
      </c>
      <c r="E19" s="53">
        <f t="shared" si="19"/>
        <v>0.64304190377651316</v>
      </c>
      <c r="F19" s="53">
        <f t="shared" si="19"/>
        <v>0.33060312732688008</v>
      </c>
      <c r="G19" s="53">
        <f t="shared" si="19"/>
        <v>0.57187869239858213</v>
      </c>
      <c r="H19" s="53">
        <f t="shared" si="19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20">K19</f>
        <v>0.35</v>
      </c>
      <c r="M19" s="68">
        <f t="shared" si="20"/>
        <v>0.35</v>
      </c>
      <c r="N19" s="68">
        <f t="shared" si="20"/>
        <v>0.35</v>
      </c>
      <c r="O19" s="68"/>
    </row>
    <row r="20" spans="1:22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  <c r="R20" s="58">
        <f>I15-J59</f>
        <v>4616.95</v>
      </c>
      <c r="S20" s="58">
        <f>J15-K59</f>
        <v>4740.5812199396569</v>
      </c>
      <c r="T20" s="58">
        <f>K15-L59</f>
        <v>4870.3940008762975</v>
      </c>
      <c r="U20" s="58">
        <f>L15-M59</f>
        <v>5006.6974208597694</v>
      </c>
      <c r="V20" s="58">
        <f>M15-N59</f>
        <v>5149.8160118424157</v>
      </c>
    </row>
    <row r="21" spans="1:22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8744.0678323202974</v>
      </c>
      <c r="K21" s="3">
        <f>K68</f>
        <v>8629.2363191719087</v>
      </c>
      <c r="L21" s="3">
        <f t="shared" ref="L21:N21" si="21">L68</f>
        <v>8664.2822750772939</v>
      </c>
      <c r="M21" s="3">
        <f t="shared" si="21"/>
        <v>8893.0216150317137</v>
      </c>
      <c r="N21" s="3">
        <f t="shared" si="21"/>
        <v>9367.5610245681564</v>
      </c>
      <c r="O21" s="3"/>
    </row>
    <row r="22" spans="1:22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22">J22</f>
        <v>4423</v>
      </c>
      <c r="L22" s="70">
        <f t="shared" si="22"/>
        <v>4423</v>
      </c>
      <c r="M22" s="70">
        <f t="shared" si="22"/>
        <v>4423</v>
      </c>
      <c r="N22" s="70">
        <f t="shared" si="22"/>
        <v>4423</v>
      </c>
      <c r="O22" s="70"/>
      <c r="Q22" t="s">
        <v>228</v>
      </c>
      <c r="R22" s="58">
        <f>J59/R24</f>
        <v>-26.676280060342535</v>
      </c>
      <c r="S22" s="58">
        <f>K59/R24</f>
        <v>-28.010094063359659</v>
      </c>
      <c r="T22" s="58">
        <f>L59/R24</f>
        <v>-29.410598766527642</v>
      </c>
      <c r="U22" s="58">
        <f>M59/R24</f>
        <v>-30.881128704854024</v>
      </c>
      <c r="V22" s="74">
        <f>N59/R24</f>
        <v>-32.425185140096723</v>
      </c>
    </row>
    <row r="23" spans="1:22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23">K3*K24</f>
        <v>11247.62356</v>
      </c>
      <c r="L23" s="3">
        <f t="shared" si="23"/>
        <v>12430.443412800001</v>
      </c>
      <c r="M23" s="3">
        <f t="shared" si="23"/>
        <v>13807.145535664002</v>
      </c>
      <c r="N23" s="3">
        <f t="shared" si="23"/>
        <v>15412.107027262318</v>
      </c>
      <c r="O23" s="3"/>
      <c r="R23" s="51"/>
    </row>
    <row r="24" spans="1:22" x14ac:dyDescent="0.2">
      <c r="A24" s="52" t="s">
        <v>169</v>
      </c>
      <c r="B24" s="53">
        <f t="shared" ref="B24:I24" si="24">B23/B3</f>
        <v>0.18182412339466031</v>
      </c>
      <c r="C24" s="53">
        <f t="shared" si="24"/>
        <v>0.1818631084754139</v>
      </c>
      <c r="D24" s="53">
        <f t="shared" si="24"/>
        <v>0.19458515283842795</v>
      </c>
      <c r="E24" s="53">
        <f t="shared" si="24"/>
        <v>0.17803665137236585</v>
      </c>
      <c r="F24" s="53">
        <f t="shared" si="24"/>
        <v>0.18615947030702765</v>
      </c>
      <c r="G24" s="53">
        <f t="shared" si="24"/>
        <v>0.21035745795791783</v>
      </c>
      <c r="H24" s="53">
        <f t="shared" si="24"/>
        <v>0.19042166240064665</v>
      </c>
      <c r="I24" s="53">
        <f t="shared" si="24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  <c r="O24" s="53"/>
      <c r="R24" s="64">
        <v>112.69</v>
      </c>
      <c r="S24" s="64">
        <v>112.69</v>
      </c>
      <c r="T24" s="64">
        <v>112.69</v>
      </c>
      <c r="U24" s="64">
        <v>112.69</v>
      </c>
      <c r="V24" s="64">
        <v>112.69</v>
      </c>
    </row>
    <row r="25" spans="1:22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5">J25</f>
        <v>2129</v>
      </c>
      <c r="L25" s="3">
        <f t="shared" si="25"/>
        <v>2129</v>
      </c>
      <c r="M25" s="3">
        <f t="shared" si="25"/>
        <v>2129</v>
      </c>
      <c r="N25" s="3">
        <f t="shared" si="25"/>
        <v>2129</v>
      </c>
      <c r="O25" s="3"/>
    </row>
    <row r="26" spans="1:22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4648.6140341023374</v>
      </c>
      <c r="K26" s="3">
        <f t="shared" ref="K26:N26" si="26">J26-K47-K52</f>
        <v>4500.4480160432367</v>
      </c>
      <c r="L26" s="3">
        <f t="shared" si="26"/>
        <v>4345.84482542973</v>
      </c>
      <c r="M26" s="3">
        <f t="shared" si="26"/>
        <v>4184.0155184284204</v>
      </c>
      <c r="N26" s="3">
        <f t="shared" si="26"/>
        <v>4014.0093169185657</v>
      </c>
      <c r="O26" s="3"/>
      <c r="R26" s="58">
        <f>R20+R22</f>
        <v>4590.273719939657</v>
      </c>
      <c r="S26" s="58">
        <f t="shared" ref="S26:V26" si="27">S20+S22</f>
        <v>4712.5711258762976</v>
      </c>
      <c r="T26" s="58">
        <f t="shared" si="27"/>
        <v>4840.9834021097695</v>
      </c>
      <c r="U26" s="58">
        <f t="shared" si="27"/>
        <v>4975.8162921549156</v>
      </c>
      <c r="V26" s="58">
        <f t="shared" si="27"/>
        <v>5117.3908267023189</v>
      </c>
    </row>
    <row r="27" spans="1:22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8">J27</f>
        <v>286</v>
      </c>
      <c r="L27" s="3">
        <f t="shared" si="28"/>
        <v>286</v>
      </c>
      <c r="M27" s="3">
        <f t="shared" si="28"/>
        <v>286</v>
      </c>
      <c r="N27" s="3">
        <f t="shared" si="28"/>
        <v>286</v>
      </c>
      <c r="O27" s="3"/>
    </row>
    <row r="28" spans="1:22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9">J28</f>
        <v>284</v>
      </c>
      <c r="L28" s="3">
        <f t="shared" si="29"/>
        <v>284</v>
      </c>
      <c r="M28" s="3">
        <f t="shared" si="29"/>
        <v>284</v>
      </c>
      <c r="N28" s="3">
        <f t="shared" si="29"/>
        <v>284</v>
      </c>
      <c r="O28" s="3"/>
    </row>
    <row r="29" spans="1:22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0">J29</f>
        <v>2926</v>
      </c>
      <c r="L29" s="3">
        <f t="shared" si="30"/>
        <v>2926</v>
      </c>
      <c r="M29" s="3">
        <f t="shared" si="30"/>
        <v>2926</v>
      </c>
      <c r="N29" s="3">
        <f t="shared" si="30"/>
        <v>2926</v>
      </c>
      <c r="O29" s="3"/>
      <c r="R29" s="74">
        <f>J59/R24</f>
        <v>-26.676280060342535</v>
      </c>
      <c r="S29" s="74">
        <f>K59/S24</f>
        <v>-28.010094063359659</v>
      </c>
      <c r="T29" s="74">
        <f>L59/T24</f>
        <v>-29.410598766527642</v>
      </c>
      <c r="U29" s="74">
        <f>M59/U24</f>
        <v>-30.881128704854024</v>
      </c>
      <c r="V29" s="74">
        <f>N59/V24</f>
        <v>-32.425185140096723</v>
      </c>
    </row>
    <row r="30" spans="1:22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31">J30</f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22" ht="16" thickBot="1" x14ac:dyDescent="0.25">
      <c r="A31" s="6" t="s">
        <v>174</v>
      </c>
      <c r="B31" s="7">
        <f t="shared" ref="B31:I31" si="32">B21+B22+B23+B25+B26+B27+B28+B29+B30</f>
        <v>19466</v>
      </c>
      <c r="C31" s="7">
        <f t="shared" si="32"/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>J21+J22+J23+J25+J26+J27+J28+J29+J30</f>
        <v>37491.663866422634</v>
      </c>
      <c r="K31" s="7">
        <f t="shared" ref="K31:N31" si="33">K21+K22+K23+K25+K26+K27+K28+K29+K30</f>
        <v>38246.307895215141</v>
      </c>
      <c r="L31" s="7">
        <f t="shared" si="33"/>
        <v>39309.57051330703</v>
      </c>
      <c r="M31" s="7">
        <f t="shared" si="33"/>
        <v>40753.182669124137</v>
      </c>
      <c r="N31" s="7">
        <f t="shared" si="33"/>
        <v>42662.677368749042</v>
      </c>
      <c r="O31" s="40"/>
    </row>
    <row r="32" spans="1:22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8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34">J33</f>
        <v>500</v>
      </c>
      <c r="L33" s="3">
        <f t="shared" si="34"/>
        <v>500</v>
      </c>
      <c r="M33" s="3">
        <f t="shared" si="34"/>
        <v>500</v>
      </c>
      <c r="N33" s="3">
        <f t="shared" si="34"/>
        <v>500</v>
      </c>
      <c r="O33" s="3"/>
    </row>
    <row r="34" spans="1:18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5">I34</f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8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6">I35</f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8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7">I36</f>
        <v>8920</v>
      </c>
      <c r="K36" s="3">
        <f t="shared" si="37"/>
        <v>8920</v>
      </c>
      <c r="L36" s="3">
        <f t="shared" si="37"/>
        <v>8920</v>
      </c>
      <c r="M36" s="3">
        <f t="shared" si="37"/>
        <v>8920</v>
      </c>
      <c r="N36" s="3">
        <f t="shared" si="37"/>
        <v>8920</v>
      </c>
      <c r="O36" s="3"/>
      <c r="R36" s="69"/>
    </row>
    <row r="37" spans="1:18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8">I37</f>
        <v>2777</v>
      </c>
      <c r="K37" s="3">
        <f t="shared" si="38"/>
        <v>2777</v>
      </c>
      <c r="L37" s="3">
        <f t="shared" si="38"/>
        <v>2777</v>
      </c>
      <c r="M37" s="3">
        <f t="shared" si="38"/>
        <v>2777</v>
      </c>
      <c r="N37" s="3">
        <f t="shared" si="38"/>
        <v>2777</v>
      </c>
      <c r="O37" s="3"/>
    </row>
    <row r="38" spans="1:18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9">I38</f>
        <v>2613</v>
      </c>
      <c r="K38" s="3">
        <f t="shared" si="39"/>
        <v>2613</v>
      </c>
      <c r="L38" s="3">
        <f t="shared" si="39"/>
        <v>2613</v>
      </c>
      <c r="M38" s="3">
        <f t="shared" si="39"/>
        <v>2613</v>
      </c>
      <c r="N38" s="3">
        <f t="shared" si="39"/>
        <v>2613</v>
      </c>
      <c r="O38" s="3"/>
    </row>
    <row r="39" spans="1:18" x14ac:dyDescent="0.2">
      <c r="A39" t="s">
        <v>178</v>
      </c>
      <c r="B39" s="3">
        <f>B40+B41+B42</f>
        <v>12707</v>
      </c>
      <c r="C39" s="3">
        <f t="shared" ref="C39:H39" si="40">C40+C41+C42</f>
        <v>12258</v>
      </c>
      <c r="D39" s="3">
        <f t="shared" si="40"/>
        <v>12407</v>
      </c>
      <c r="E39" s="3">
        <f t="shared" si="40"/>
        <v>9812</v>
      </c>
      <c r="F39" s="3">
        <f t="shared" si="40"/>
        <v>9040</v>
      </c>
      <c r="G39" s="3">
        <f t="shared" si="40"/>
        <v>8055</v>
      </c>
      <c r="H39" s="3">
        <f t="shared" si="40"/>
        <v>12767</v>
      </c>
      <c r="I39" s="3">
        <f>I40+I41+I42</f>
        <v>15281</v>
      </c>
      <c r="J39" s="3">
        <f t="shared" ref="J39:N39" si="41">J40+J41+J42</f>
        <v>15809.663866422638</v>
      </c>
      <c r="K39" s="3">
        <f t="shared" si="41"/>
        <v>16564.307895215145</v>
      </c>
      <c r="L39" s="3">
        <f t="shared" si="41"/>
        <v>17627.570513307026</v>
      </c>
      <c r="M39" s="3">
        <f t="shared" si="41"/>
        <v>19071.182669124137</v>
      </c>
      <c r="N39" s="3">
        <f t="shared" si="41"/>
        <v>20980.677368749039</v>
      </c>
      <c r="O39" s="3"/>
    </row>
    <row r="40" spans="1:18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42">I40</f>
        <v>3</v>
      </c>
      <c r="K40" s="3">
        <f t="shared" si="42"/>
        <v>3</v>
      </c>
      <c r="L40" s="3">
        <f t="shared" si="42"/>
        <v>3</v>
      </c>
      <c r="M40" s="3">
        <f t="shared" si="42"/>
        <v>3</v>
      </c>
      <c r="N40" s="3">
        <f t="shared" si="42"/>
        <v>3</v>
      </c>
      <c r="O40" s="3"/>
    </row>
    <row r="41" spans="1:18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4004.6638664226366</v>
      </c>
      <c r="K41" s="3">
        <f t="shared" ref="K41:N41" si="43">K14+K61+K59+J41</f>
        <v>4759.3078952151445</v>
      </c>
      <c r="L41" s="3">
        <f t="shared" si="43"/>
        <v>5822.570513307026</v>
      </c>
      <c r="M41" s="3">
        <f t="shared" si="43"/>
        <v>7266.1826691241349</v>
      </c>
      <c r="N41" s="3">
        <f t="shared" si="43"/>
        <v>9175.6773687490386</v>
      </c>
      <c r="O41" s="3"/>
    </row>
    <row r="42" spans="1:18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4">J42</f>
        <v>11802</v>
      </c>
      <c r="L42" s="3">
        <f t="shared" si="44"/>
        <v>11802</v>
      </c>
      <c r="M42" s="3">
        <f t="shared" si="44"/>
        <v>11802</v>
      </c>
      <c r="N42" s="3">
        <f t="shared" si="44"/>
        <v>11802</v>
      </c>
      <c r="O42" s="3"/>
    </row>
    <row r="43" spans="1:18" ht="16" thickBot="1" x14ac:dyDescent="0.25">
      <c r="A43" s="6" t="s">
        <v>182</v>
      </c>
      <c r="B43" s="7">
        <f>B33+B34+B35+B36+B37+B38+B39</f>
        <v>19466</v>
      </c>
      <c r="C43" s="7">
        <f t="shared" ref="C43:N43" si="45">C33+C34+C35+C36+C37+C38+C39</f>
        <v>19205</v>
      </c>
      <c r="D43" s="7">
        <f t="shared" si="45"/>
        <v>21211</v>
      </c>
      <c r="E43" s="7">
        <f t="shared" si="45"/>
        <v>20257</v>
      </c>
      <c r="F43" s="7">
        <f t="shared" si="45"/>
        <v>21105</v>
      </c>
      <c r="G43" s="7">
        <f t="shared" si="45"/>
        <v>29094</v>
      </c>
      <c r="H43" s="7">
        <f t="shared" si="45"/>
        <v>34904</v>
      </c>
      <c r="I43" s="7">
        <f t="shared" si="45"/>
        <v>36963</v>
      </c>
      <c r="J43" s="7">
        <f>J33+J34+J35+J36+J37+J38+J39</f>
        <v>37491.663866422634</v>
      </c>
      <c r="K43" s="7">
        <f t="shared" si="45"/>
        <v>38246.307895215141</v>
      </c>
      <c r="L43" s="7">
        <f t="shared" si="45"/>
        <v>39309.57051330703</v>
      </c>
      <c r="M43" s="7">
        <f t="shared" si="45"/>
        <v>40753.182669124137</v>
      </c>
      <c r="N43" s="7">
        <f t="shared" si="45"/>
        <v>42662.677368749035</v>
      </c>
      <c r="O43" s="40"/>
    </row>
    <row r="44" spans="1:18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0</v>
      </c>
      <c r="K44" s="57">
        <f t="shared" ref="K44:N44" si="46">+K43-K31</f>
        <v>0</v>
      </c>
      <c r="L44" s="57">
        <f t="shared" si="46"/>
        <v>0</v>
      </c>
      <c r="M44" s="57">
        <f t="shared" si="46"/>
        <v>0</v>
      </c>
      <c r="N44" s="57">
        <f t="shared" si="46"/>
        <v>0</v>
      </c>
      <c r="O44" s="57"/>
    </row>
    <row r="45" spans="1:18" x14ac:dyDescent="0.2">
      <c r="A45" s="55" t="s">
        <v>184</v>
      </c>
      <c r="B45" s="75">
        <v>2015</v>
      </c>
      <c r="C45" s="75">
        <v>2016</v>
      </c>
      <c r="D45" s="75">
        <v>2017</v>
      </c>
      <c r="E45" s="75">
        <v>2018</v>
      </c>
      <c r="F45" s="75">
        <v>2019</v>
      </c>
      <c r="G45" s="75">
        <v>2020</v>
      </c>
      <c r="H45" s="75">
        <v>2021</v>
      </c>
      <c r="I45" s="75">
        <v>2022</v>
      </c>
      <c r="J45" s="38"/>
      <c r="K45" s="38"/>
      <c r="L45" s="38"/>
      <c r="M45" s="38"/>
      <c r="N45" s="38"/>
      <c r="O45" s="38"/>
    </row>
    <row r="46" spans="1:18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  <c r="O46" s="9"/>
    </row>
    <row r="47" spans="1:18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  <c r="O47" s="51"/>
    </row>
    <row r="48" spans="1:18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570.85816797305654</v>
      </c>
      <c r="K48" s="51">
        <f t="shared" ref="K48:N48" si="47">K12</f>
        <v>631.62710622233442</v>
      </c>
      <c r="L48" s="51">
        <f t="shared" si="47"/>
        <v>706.95551949635137</v>
      </c>
      <c r="M48" s="51">
        <f t="shared" si="47"/>
        <v>795.14257919060833</v>
      </c>
      <c r="N48" s="51">
        <f t="shared" si="47"/>
        <v>898.48098128504591</v>
      </c>
      <c r="O48" s="51"/>
    </row>
    <row r="49" spans="1:16" x14ac:dyDescent="0.2">
      <c r="A49" s="1" t="s">
        <v>186</v>
      </c>
      <c r="B49" s="9">
        <f>B46-B48</f>
        <v>2971</v>
      </c>
      <c r="C49" s="9">
        <f t="shared" ref="C49:I49" si="48">C46-C48</f>
        <v>3894</v>
      </c>
      <c r="D49" s="9">
        <f t="shared" si="48"/>
        <v>3602</v>
      </c>
      <c r="E49" s="9">
        <f t="shared" si="48"/>
        <v>3000</v>
      </c>
      <c r="F49" s="9">
        <f t="shared" si="48"/>
        <v>3096</v>
      </c>
      <c r="G49" s="9">
        <f t="shared" si="48"/>
        <v>1060</v>
      </c>
      <c r="H49" s="9">
        <f t="shared" si="48"/>
        <v>4520</v>
      </c>
      <c r="I49" s="9">
        <f t="shared" si="48"/>
        <v>4003</v>
      </c>
      <c r="J49" s="9">
        <f t="shared" ref="J49" si="49">J46-J48</f>
        <v>6252.7051791117483</v>
      </c>
      <c r="K49" s="9">
        <f t="shared" ref="K49" si="50">K46-K48</f>
        <v>6847.7657191358248</v>
      </c>
      <c r="L49" s="9">
        <f t="shared" ref="L49" si="51">L46-L48</f>
        <v>7554.4589781549939</v>
      </c>
      <c r="M49" s="9">
        <f t="shared" ref="M49" si="52">M46-M48</f>
        <v>8397.8861231586652</v>
      </c>
      <c r="N49" s="9">
        <f t="shared" ref="N49" si="53">N46-N48</f>
        <v>9404.0506119855563</v>
      </c>
      <c r="O49" s="9"/>
    </row>
    <row r="50" spans="1:16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 t="shared" ref="K50:N50" si="54">K67*K13</f>
        <v>830.68644407042825</v>
      </c>
      <c r="L50" s="3">
        <f t="shared" si="54"/>
        <v>819.77745032133134</v>
      </c>
      <c r="M50" s="3">
        <f t="shared" si="54"/>
        <v>823.10681613234294</v>
      </c>
      <c r="N50" s="3">
        <f t="shared" si="54"/>
        <v>844.83705342801284</v>
      </c>
      <c r="O50" s="3"/>
    </row>
    <row r="51" spans="1:16" x14ac:dyDescent="0.2">
      <c r="A51" t="s">
        <v>188</v>
      </c>
      <c r="B51" s="3">
        <v>113</v>
      </c>
      <c r="C51" s="3">
        <f t="shared" ref="C51:N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 t="shared" si="55"/>
        <v>-1248</v>
      </c>
      <c r="J51" s="3">
        <f t="shared" si="55"/>
        <v>-500.98200000000179</v>
      </c>
      <c r="K51" s="3">
        <f t="shared" si="55"/>
        <v>-1017.6415599999982</v>
      </c>
      <c r="L51" s="3">
        <f t="shared" si="55"/>
        <v>-1182.8198528000012</v>
      </c>
      <c r="M51" s="3">
        <f t="shared" si="55"/>
        <v>-1376.7021228640006</v>
      </c>
      <c r="N51" s="3">
        <f t="shared" si="55"/>
        <v>-1604.9614915983166</v>
      </c>
      <c r="O51" s="3"/>
    </row>
    <row r="52" spans="1:16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O52" s="3"/>
    </row>
    <row r="53" spans="1:16" x14ac:dyDescent="0.2">
      <c r="A53" s="1" t="s">
        <v>189</v>
      </c>
      <c r="B53" s="9">
        <f>(B47+B49)-(B52-B51)</f>
        <v>4653</v>
      </c>
      <c r="C53" s="9">
        <f t="shared" ref="C53:N53" si="56">(C47+C49)-(C52-C51)</f>
        <v>5382</v>
      </c>
      <c r="D53" s="9">
        <f t="shared" si="56"/>
        <v>4622</v>
      </c>
      <c r="E53" s="9">
        <f t="shared" si="56"/>
        <v>4973</v>
      </c>
      <c r="F53" s="9">
        <f t="shared" si="56"/>
        <v>4112</v>
      </c>
      <c r="G53" s="9">
        <f t="shared" si="56"/>
        <v>2276</v>
      </c>
      <c r="H53" s="9">
        <f t="shared" si="56"/>
        <v>5357</v>
      </c>
      <c r="I53" s="9">
        <f t="shared" si="56"/>
        <v>4244</v>
      </c>
      <c r="J53" s="9">
        <f t="shared" si="56"/>
        <v>7648.2447190444718</v>
      </c>
      <c r="K53" s="9">
        <f t="shared" si="56"/>
        <v>7912.4120463604013</v>
      </c>
      <c r="L53" s="9">
        <f t="shared" si="56"/>
        <v>8666.7985179187908</v>
      </c>
      <c r="M53" s="9">
        <f t="shared" si="56"/>
        <v>9560.6643711131965</v>
      </c>
      <c r="N53" s="9">
        <f t="shared" si="56"/>
        <v>10619.478768512841</v>
      </c>
      <c r="O53" s="9"/>
    </row>
    <row r="54" spans="1:16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/>
    </row>
    <row r="55" spans="1:16" x14ac:dyDescent="0.2">
      <c r="A55" s="27" t="s">
        <v>191</v>
      </c>
      <c r="B55" s="26">
        <f>B49+B51+B47+B54</f>
        <v>4680</v>
      </c>
      <c r="C55" s="26">
        <f t="shared" ref="C55:I55" si="57">C49+C51+C47+C54</f>
        <v>3096</v>
      </c>
      <c r="D55" s="26">
        <f t="shared" si="57"/>
        <v>3640</v>
      </c>
      <c r="E55" s="26">
        <f t="shared" si="57"/>
        <v>4955</v>
      </c>
      <c r="F55" s="26">
        <f t="shared" si="57"/>
        <v>5903</v>
      </c>
      <c r="G55" s="26">
        <f t="shared" si="57"/>
        <v>2485</v>
      </c>
      <c r="H55" s="26">
        <f t="shared" si="57"/>
        <v>6657</v>
      </c>
      <c r="I55" s="26">
        <f t="shared" si="57"/>
        <v>5188</v>
      </c>
      <c r="J55" s="26">
        <f>J49+J51+J47+J54</f>
        <v>6771.1769320269404</v>
      </c>
      <c r="K55" s="26">
        <f t="shared" ref="K55" si="58">K49+K51+K47+K54</f>
        <v>6945.3511117776643</v>
      </c>
      <c r="L55" s="26">
        <f t="shared" ref="L55" si="59">L49+L51+L47+L54</f>
        <v>7596.5204169436456</v>
      </c>
      <c r="M55" s="26">
        <f t="shared" ref="M55" si="60">M49+M51+M47+M54</f>
        <v>8371.8388392045854</v>
      </c>
      <c r="N55" s="26">
        <f t="shared" ref="N55" si="61">N49+N51+N47+N54</f>
        <v>9294.2870452049683</v>
      </c>
      <c r="O55" s="40"/>
    </row>
    <row r="56" spans="1:16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  <c r="O57" s="3"/>
    </row>
    <row r="58" spans="1:16" x14ac:dyDescent="0.2">
      <c r="A58" s="27" t="s">
        <v>194</v>
      </c>
      <c r="B58" s="73">
        <f>B57+B56+B52</f>
        <v>-175</v>
      </c>
      <c r="C58" s="73">
        <f t="shared" ref="C58:I58" si="62">C57+C56+C52</f>
        <v>-1034</v>
      </c>
      <c r="D58" s="73">
        <f t="shared" si="62"/>
        <v>-1008</v>
      </c>
      <c r="E58" s="73">
        <f t="shared" si="62"/>
        <v>276</v>
      </c>
      <c r="F58" s="73">
        <f t="shared" si="62"/>
        <v>-264</v>
      </c>
      <c r="G58" s="73">
        <f t="shared" si="62"/>
        <v>-1028</v>
      </c>
      <c r="H58" s="73">
        <f t="shared" si="62"/>
        <v>-3800</v>
      </c>
      <c r="I58" s="73">
        <f t="shared" si="62"/>
        <v>-1524</v>
      </c>
      <c r="J58" s="76">
        <f t="shared" ref="J58:N58" si="63">J57+J56+J52-J50</f>
        <v>-1691.5977870175311</v>
      </c>
      <c r="K58" s="76">
        <f t="shared" si="63"/>
        <v>-1797.747378653165</v>
      </c>
      <c r="L58" s="76">
        <f t="shared" si="63"/>
        <v>-1890.0555512964772</v>
      </c>
      <c r="M58" s="76">
        <f t="shared" si="63"/>
        <v>-2011.9323480409544</v>
      </c>
      <c r="N58" s="76">
        <f t="shared" si="63"/>
        <v>-2170.0287767358859</v>
      </c>
      <c r="O58" s="40"/>
      <c r="P58" t="s">
        <v>226</v>
      </c>
    </row>
    <row r="59" spans="1:16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64">J59+(J59*K60)</f>
        <v>-3156.4575</v>
      </c>
      <c r="L59" s="3">
        <f t="shared" si="64"/>
        <v>-3314.2803749999998</v>
      </c>
      <c r="M59" s="3">
        <f t="shared" si="64"/>
        <v>-3479.9943937499997</v>
      </c>
      <c r="N59" s="3">
        <f t="shared" si="64"/>
        <v>-3653.9941134374999</v>
      </c>
      <c r="O59" s="3"/>
    </row>
    <row r="60" spans="1:16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5">+IFERROR(D59/C59-1,"nm")*-1</f>
        <v>-1.0984987184181616E-3</v>
      </c>
      <c r="E60" s="53">
        <f t="shared" si="65"/>
        <v>-0.28785662033650339</v>
      </c>
      <c r="F60" s="53">
        <f t="shared" si="65"/>
        <v>-1.8460664583924924E-2</v>
      </c>
      <c r="G60" s="53">
        <f t="shared" si="65"/>
        <v>0.39152258784160621</v>
      </c>
      <c r="H60" s="53">
        <f t="shared" si="65"/>
        <v>1.2584784601283228</v>
      </c>
      <c r="I60" s="53">
        <f t="shared" si="65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  <c r="O60" s="53"/>
    </row>
    <row r="61" spans="1:16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-1903.3613126891119</v>
      </c>
      <c r="K61" s="3">
        <f>K17*K15*-1</f>
        <v>-2105.9777462728885</v>
      </c>
      <c r="L61" s="3">
        <f>L17*L15*-1</f>
        <v>-2357.1385347417818</v>
      </c>
      <c r="M61" s="3">
        <f>M17*M15*-1</f>
        <v>-2651.1727574592119</v>
      </c>
      <c r="N61" s="3">
        <f>N17*N15*-1</f>
        <v>-2995.7247454951403</v>
      </c>
      <c r="O61" s="3"/>
    </row>
    <row r="62" spans="1:16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/>
      <c r="K62" s="77"/>
      <c r="L62" s="77"/>
      <c r="M62" s="77"/>
      <c r="N62" s="77"/>
      <c r="O62" s="3" t="s">
        <v>230</v>
      </c>
      <c r="P62" t="s">
        <v>227</v>
      </c>
    </row>
    <row r="63" spans="1:16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77"/>
      <c r="K63" s="77"/>
      <c r="L63" s="77"/>
      <c r="M63" s="77"/>
      <c r="N63" s="77"/>
      <c r="O63" s="3" t="s">
        <v>230</v>
      </c>
      <c r="P63" t="s">
        <v>227</v>
      </c>
    </row>
    <row r="64" spans="1:16" x14ac:dyDescent="0.2">
      <c r="A64" s="27" t="s">
        <v>199</v>
      </c>
      <c r="B64" s="26">
        <f>B59+B61+B62+B63</f>
        <v>-2790</v>
      </c>
      <c r="C64" s="26">
        <f t="shared" ref="C64:I64" si="66">C59+C61+C62+C63</f>
        <v>-2671</v>
      </c>
      <c r="D64" s="26">
        <f t="shared" si="66"/>
        <v>-1942</v>
      </c>
      <c r="E64" s="26">
        <f t="shared" si="66"/>
        <v>-4835</v>
      </c>
      <c r="F64" s="26">
        <f t="shared" si="66"/>
        <v>-5293</v>
      </c>
      <c r="G64" s="26">
        <f t="shared" si="66"/>
        <v>2491</v>
      </c>
      <c r="H64" s="26">
        <f t="shared" si="66"/>
        <v>-1459</v>
      </c>
      <c r="I64" s="26">
        <f t="shared" si="66"/>
        <v>-4836</v>
      </c>
      <c r="J64" s="26">
        <f t="shared" ref="J64" si="67">J59+J61+J62+J63</f>
        <v>-4909.5113126891119</v>
      </c>
      <c r="K64" s="26">
        <f t="shared" ref="K64" si="68">K59+K61+K62+K63</f>
        <v>-5262.4352462728884</v>
      </c>
      <c r="L64" s="26">
        <f t="shared" ref="L64" si="69">L59+L61+L62+L63</f>
        <v>-5671.418909741782</v>
      </c>
      <c r="M64" s="26">
        <f t="shared" ref="M64" si="70">M59+M61+M62+M63</f>
        <v>-6131.1671512092116</v>
      </c>
      <c r="N64" s="26">
        <f t="shared" ref="N64" si="71">N59+N61+N62+N63</f>
        <v>-6649.7188589326397</v>
      </c>
      <c r="O64" s="40"/>
    </row>
    <row r="65" spans="1:18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 t="s">
        <v>229</v>
      </c>
    </row>
    <row r="66" spans="1:18" x14ac:dyDescent="0.2">
      <c r="A66" s="27" t="s">
        <v>201</v>
      </c>
      <c r="B66" s="26">
        <f>B55+B58+B64+B65</f>
        <v>1632</v>
      </c>
      <c r="C66" s="26">
        <f t="shared" ref="C66:H66" si="72">C55+C58+C64+C65</f>
        <v>-714</v>
      </c>
      <c r="D66" s="26">
        <f t="shared" si="72"/>
        <v>670</v>
      </c>
      <c r="E66" s="26">
        <f t="shared" si="72"/>
        <v>441</v>
      </c>
      <c r="F66" s="26">
        <f t="shared" si="72"/>
        <v>217</v>
      </c>
      <c r="G66" s="26">
        <f t="shared" si="72"/>
        <v>3882</v>
      </c>
      <c r="H66" s="26">
        <f t="shared" si="72"/>
        <v>1541</v>
      </c>
      <c r="I66" s="26">
        <f>I55+I58+I64+I65</f>
        <v>-1315</v>
      </c>
      <c r="J66" s="26">
        <f>J55+J58+J64+J65</f>
        <v>170.06783232029738</v>
      </c>
      <c r="K66" s="26">
        <f t="shared" ref="K66" si="73">K55+K58+K64+K65</f>
        <v>-114.8315131483896</v>
      </c>
      <c r="L66" s="26">
        <f t="shared" ref="L66" si="74">L55+L58+L64+L65</f>
        <v>35.045955905386108</v>
      </c>
      <c r="M66" s="26">
        <f t="shared" ref="M66" si="75">M55+M58+M64+M65</f>
        <v>228.73933995441894</v>
      </c>
      <c r="N66" s="26">
        <f t="shared" ref="N66" si="76">N55+N58+N64+N65</f>
        <v>474.53940953644269</v>
      </c>
      <c r="O66" s="40"/>
    </row>
    <row r="67" spans="1:18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7">C68</f>
        <v>3138</v>
      </c>
      <c r="E67" s="3">
        <f t="shared" si="77"/>
        <v>3808</v>
      </c>
      <c r="F67" s="3">
        <f t="shared" si="77"/>
        <v>4249</v>
      </c>
      <c r="G67" s="3">
        <f t="shared" si="77"/>
        <v>4466</v>
      </c>
      <c r="H67" s="3">
        <f t="shared" si="77"/>
        <v>8348</v>
      </c>
      <c r="I67" s="3">
        <f t="shared" si="77"/>
        <v>9889</v>
      </c>
      <c r="J67" s="3">
        <f t="shared" si="77"/>
        <v>8574</v>
      </c>
      <c r="K67" s="3">
        <f t="shared" si="77"/>
        <v>8744.0678323202974</v>
      </c>
      <c r="L67" s="3">
        <f t="shared" si="77"/>
        <v>8629.2363191719087</v>
      </c>
      <c r="M67" s="3">
        <f t="shared" si="77"/>
        <v>8664.2822750772939</v>
      </c>
      <c r="N67" s="3">
        <f t="shared" si="77"/>
        <v>8893.0216150317137</v>
      </c>
      <c r="O67" s="3"/>
      <c r="R67" s="69"/>
    </row>
    <row r="68" spans="1:18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8">D66+D67</f>
        <v>3808</v>
      </c>
      <c r="E68" s="7">
        <f t="shared" si="78"/>
        <v>4249</v>
      </c>
      <c r="F68" s="7">
        <f t="shared" si="78"/>
        <v>4466</v>
      </c>
      <c r="G68" s="7">
        <f t="shared" si="78"/>
        <v>8348</v>
      </c>
      <c r="H68" s="7">
        <f t="shared" si="78"/>
        <v>9889</v>
      </c>
      <c r="I68" s="7">
        <f t="shared" si="78"/>
        <v>8574</v>
      </c>
      <c r="J68" s="7">
        <f>J66+J67</f>
        <v>8744.0678323202974</v>
      </c>
      <c r="K68" s="7">
        <f t="shared" si="78"/>
        <v>8629.2363191719087</v>
      </c>
      <c r="L68" s="7">
        <f t="shared" si="78"/>
        <v>8664.2822750772939</v>
      </c>
      <c r="M68" s="7">
        <f t="shared" si="78"/>
        <v>8893.0216150317137</v>
      </c>
      <c r="N68" s="7">
        <f t="shared" si="78"/>
        <v>9367.5610245681564</v>
      </c>
      <c r="O68" s="40"/>
    </row>
    <row r="69" spans="1:18" ht="16" thickTop="1" x14ac:dyDescent="0.2">
      <c r="A69" s="57" t="s">
        <v>183</v>
      </c>
      <c r="B69" s="40">
        <f>+B68-Historicals!B25</f>
        <v>0</v>
      </c>
      <c r="C69" s="40">
        <f>+C68-Historicals!C25</f>
        <v>0</v>
      </c>
      <c r="D69" s="40">
        <f>+D68-Historicals!D25</f>
        <v>0</v>
      </c>
      <c r="E69" s="40">
        <f>+E68-Historicals!E25</f>
        <v>0</v>
      </c>
      <c r="F69" s="40">
        <f>+F68-Historicals!F25</f>
        <v>0</v>
      </c>
      <c r="G69" s="40">
        <f>+G68-Historicals!G25</f>
        <v>0</v>
      </c>
      <c r="H69" s="40">
        <f>+H68-Historicals!H25</f>
        <v>0</v>
      </c>
      <c r="I69" s="40">
        <f>+I68-I21</f>
        <v>0</v>
      </c>
      <c r="J69" s="40"/>
      <c r="K69" s="40"/>
      <c r="L69" s="40"/>
      <c r="M69" s="40"/>
      <c r="N69" s="40"/>
      <c r="O69" s="40"/>
    </row>
    <row r="70" spans="1:18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8744.0678323202974</v>
      </c>
      <c r="K70" s="47">
        <f t="shared" ref="K70:N70" si="79">K68</f>
        <v>8629.2363191719087</v>
      </c>
      <c r="L70" s="47">
        <f t="shared" si="79"/>
        <v>8664.2822750772939</v>
      </c>
      <c r="M70" s="47">
        <f t="shared" si="79"/>
        <v>8893.0216150317137</v>
      </c>
      <c r="N70" s="47">
        <f t="shared" si="79"/>
        <v>9367.5610245681564</v>
      </c>
      <c r="O70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8699-78F8-3A44-8509-FF6C0EB41901}">
  <dimension ref="A1:U31"/>
  <sheetViews>
    <sheetView tabSelected="1" workbookViewId="0">
      <selection activeCell="A26" sqref="A26"/>
    </sheetView>
  </sheetViews>
  <sheetFormatPr baseColWidth="10" defaultRowHeight="15" x14ac:dyDescent="0.2"/>
  <sheetData>
    <row r="1" spans="1:21" ht="112" x14ac:dyDescent="0.2">
      <c r="A1" s="78" t="s">
        <v>231</v>
      </c>
      <c r="B1" s="16">
        <v>2015</v>
      </c>
      <c r="C1" s="16">
        <f t="shared" ref="C1:T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79" t="s">
        <v>20</v>
      </c>
      <c r="K1" s="80">
        <f>+I1+1</f>
        <v>2023</v>
      </c>
      <c r="L1" s="80">
        <f t="shared" si="0"/>
        <v>2024</v>
      </c>
      <c r="M1" s="80">
        <f t="shared" si="0"/>
        <v>2025</v>
      </c>
      <c r="N1" s="80">
        <f t="shared" si="0"/>
        <v>2026</v>
      </c>
      <c r="O1" s="80">
        <f t="shared" si="0"/>
        <v>2027</v>
      </c>
      <c r="P1" s="80">
        <f t="shared" si="0"/>
        <v>2028</v>
      </c>
      <c r="Q1" s="80">
        <f t="shared" si="0"/>
        <v>2029</v>
      </c>
      <c r="R1" s="80">
        <f t="shared" si="0"/>
        <v>2030</v>
      </c>
      <c r="S1" s="80">
        <f t="shared" si="0"/>
        <v>2031</v>
      </c>
      <c r="T1" s="80">
        <f t="shared" si="0"/>
        <v>2032</v>
      </c>
      <c r="U1" s="81" t="s">
        <v>232</v>
      </c>
    </row>
    <row r="2" spans="1:21" x14ac:dyDescent="0.2">
      <c r="A2" s="14" t="s">
        <v>233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82"/>
      <c r="Q2" s="82"/>
      <c r="R2" s="82"/>
      <c r="S2" s="82"/>
      <c r="T2" s="82"/>
      <c r="U2" s="82"/>
    </row>
    <row r="3" spans="1:21" x14ac:dyDescent="0.2">
      <c r="A3" t="s">
        <v>234</v>
      </c>
      <c r="B3" s="74">
        <f>(46.13+48.56+50.17+49.42+50.83+54.01+57.61+55.88+61.49+65.51+66.14+62.5)/12</f>
        <v>55.6875</v>
      </c>
      <c r="C3" s="74">
        <f>(62.01+61.59+61.47+58.94+55.22+55.2+55.5+57.64+52.65+50.18+50.07+50.83)/12</f>
        <v>55.94166666666667</v>
      </c>
      <c r="D3" s="74">
        <f>(52.9+57.16+55.73+55.41+52.99+59+59.05+52.81+51.85+54.99+60.42+62.55)/12</f>
        <v>56.238333333333323</v>
      </c>
      <c r="E3" s="74">
        <f>(68.22+67.03+66.44+68.39+71.8+79.68+76.91+82.2+84.72+75.04+75.12+74.14)/12</f>
        <v>74.140833333333333</v>
      </c>
      <c r="F3" s="74">
        <f>(81.88+85.73+84.21+87.83+77.14+83.05+86.03+84.5+93.49+101.31)/12</f>
        <v>72.097500000000011</v>
      </c>
      <c r="G3" s="74">
        <f>(96.3+89.83+82.74+87.18+98.58+98.05+97.61+111.89+125.54+120.08+134.7+141.47)/12</f>
        <v>106.9975</v>
      </c>
      <c r="H3" s="74">
        <f>(133.59+132.62+136.46+154.49+167.51+164.74+145.23+167.29+169.24+166.67)/12</f>
        <v>128.15333333333334</v>
      </c>
      <c r="I3" s="74">
        <f>(148.07+136.55+134.56+124.7+118.85+102.2+114.92+106.45+83.12+92.68+109.69+117.01)/12</f>
        <v>115.73333333333335</v>
      </c>
      <c r="K3" s="74"/>
      <c r="L3" s="54"/>
      <c r="M3" s="54"/>
      <c r="N3" s="54"/>
      <c r="O3" s="54"/>
    </row>
    <row r="4" spans="1:21" x14ac:dyDescent="0.2">
      <c r="A4" t="s">
        <v>235</v>
      </c>
      <c r="B4" s="3">
        <f>(B3+'Three Statements'!B33+'Three Statements'!B34+'Three Statements'!B36+'Three Statements'!B37+'Three Statements'!B38)-'Three Statements'!B21</f>
        <v>-1057.3125</v>
      </c>
      <c r="C4" s="3">
        <f>(C3+'Three Statements'!C33+'Three Statements'!C34+'Three Statements'!C36+'Three Statements'!C37+'Three Statements'!C38)-'Three Statements'!C21</f>
        <v>742.94166666666661</v>
      </c>
      <c r="D4" s="3">
        <f>(D3+'Three Statements'!D33+'Three Statements'!D34+'Three Statements'!D36+'Three Statements'!D37+'Three Statements'!D38)-'Three Statements'!D21</f>
        <v>1957.2383333333328</v>
      </c>
      <c r="E4" s="3">
        <f>(E3+'Three Statements'!E33+'Three Statements'!E34+'Three Statements'!E36+'Three Statements'!E37+'Three Statements'!E38)-'Three Statements'!E21</f>
        <v>2851.1408333333329</v>
      </c>
      <c r="F4" s="3">
        <f>(F3+'Three Statements'!F33+'Three Statements'!F34+'Three Statements'!F36+'Three Statements'!F37+'Three Statements'!F38)-'Three Statements'!F21</f>
        <v>2432.0974999999999</v>
      </c>
      <c r="G4" s="3">
        <f>(G3+'Three Statements'!G33+'Three Statements'!G34+'Three Statements'!G36+'Three Statements'!G37+'Three Statements'!G38)-'Three Statements'!G21</f>
        <v>7012.9974999999995</v>
      </c>
      <c r="H4" s="3">
        <f>(H3+'Three Statements'!H33+'Three Statements'!H34+'Three Statements'!H36+'Three Statements'!H37+'Three Statements'!H38)-'Three Statements'!H21</f>
        <v>5540.1533333333336</v>
      </c>
      <c r="I4" s="3">
        <f>(I3+'Three Statements'!I33+'Three Statements'!I34+'Three Statements'!I36+'Three Statements'!I37+'Three Statements'!I38)-'Three Statements'!I21</f>
        <v>6361.7333333333336</v>
      </c>
    </row>
    <row r="5" spans="1:21" x14ac:dyDescent="0.2">
      <c r="A5" t="s">
        <v>236</v>
      </c>
      <c r="B5" s="54">
        <f>B3/'Three Statements'!B16</f>
        <v>29.367933810375671</v>
      </c>
      <c r="C5" s="54">
        <f>C3/'Three Statements'!C16</f>
        <v>25.925094193262414</v>
      </c>
      <c r="D5" s="54">
        <f>D3/'Three Statements'!D16</f>
        <v>22.442278301886788</v>
      </c>
      <c r="E5" s="54">
        <f>E3/'Three Statements'!E16</f>
        <v>63.635311217451282</v>
      </c>
      <c r="F5" s="54">
        <f>F3/'Three Statements'!F16</f>
        <v>28.960683544303802</v>
      </c>
      <c r="G5" s="54">
        <f>G3/'Three Statements'!G16</f>
        <v>67.085198995667596</v>
      </c>
      <c r="H5" s="54">
        <f>H3/'Three Statements'!H16</f>
        <v>36.013615272684945</v>
      </c>
      <c r="I5" s="54">
        <f>I3/'Three Statements'!I16</f>
        <v>30.834147094497741</v>
      </c>
    </row>
    <row r="6" spans="1:21" x14ac:dyDescent="0.2">
      <c r="A6" t="s">
        <v>237</v>
      </c>
      <c r="B6" s="54">
        <f>B3/(('Three Statements'!B40+'Three Statements'!B41+'Three Statements'!B42)/'Three Statements'!B15)</f>
        <v>7.7516368930510735</v>
      </c>
      <c r="C6" s="54">
        <f>C3/(('Three Statements'!C40+'Three Statements'!C41+'Three Statements'!C42)/'Three Statements'!C15)</f>
        <v>7.9522233779300597</v>
      </c>
      <c r="D6" s="54">
        <f>D3/(('Three Statements'!D40+'Three Statements'!D41+'Three Statements'!D42)/'Three Statements'!D15)</f>
        <v>7.6694817441766734</v>
      </c>
      <c r="E6" s="54">
        <f>E3/(('Three Statements'!E40+'Three Statements'!E41+'Three Statements'!E42)/'Three Statements'!E15)</f>
        <v>12.536389786316075</v>
      </c>
      <c r="F6" s="54">
        <f>F3/(('Three Statements'!F40+'Three Statements'!F41+'Three Statements'!F42)/'Three Statements'!F15)</f>
        <v>12.907366592920356</v>
      </c>
      <c r="G6" s="54">
        <f>G3/(('Three Statements'!G40+'Three Statements'!G41+'Three Statements'!G42)/'Three Statements'!G15)</f>
        <v>21.14578774053383</v>
      </c>
      <c r="H6" s="54">
        <f>H3/(('Three Statements'!H40+'Three Statements'!H41+'Three Statements'!H42)/'Three Statements'!H15)</f>
        <v>16.154928696378686</v>
      </c>
      <c r="I6" s="54">
        <f>I3/(('Three Statements'!I40+'Three Statements'!I41+'Three Statements'!I42)/'Three Statements'!I15)</f>
        <v>12.199676286455949</v>
      </c>
    </row>
    <row r="7" spans="1:21" x14ac:dyDescent="0.2">
      <c r="A7" t="s">
        <v>238</v>
      </c>
      <c r="B7" s="54">
        <f>B4/'Three Statements'!B5</f>
        <v>-0.2184981401115933</v>
      </c>
      <c r="C7" s="54">
        <f>C4/'Three Statements'!C5</f>
        <v>0.139887340739346</v>
      </c>
      <c r="D7" s="54">
        <f>D4/'Three Statements'!D5</f>
        <v>0.39019902977139809</v>
      </c>
      <c r="E7" s="54">
        <f>E4/'Three Statements'!E5</f>
        <v>0.66771448087431684</v>
      </c>
      <c r="F7" s="54">
        <f>F4/'Three Statements'!F5</f>
        <v>0.53429206942003515</v>
      </c>
      <c r="G7" s="54">
        <f>G4/'Three Statements'!G5</f>
        <v>2.5010690085592011</v>
      </c>
      <c r="H7" s="54">
        <f>H4/'Three Statements'!H5</f>
        <v>0.85867224633188677</v>
      </c>
      <c r="I7" s="54">
        <f>I4/'Three Statements'!I5</f>
        <v>1.0665101983794356</v>
      </c>
    </row>
    <row r="8" spans="1:21" x14ac:dyDescent="0.2">
      <c r="A8" t="s">
        <v>239</v>
      </c>
      <c r="B8" s="54">
        <f>B4/'Three Statements'!B53</f>
        <v>-0.2272324306898775</v>
      </c>
      <c r="C8" s="54">
        <f>C4/'Three Statements'!C53</f>
        <v>0.13804192988975597</v>
      </c>
      <c r="D8" s="54">
        <f>D4/'Three Statements'!D53</f>
        <v>0.42346134429539872</v>
      </c>
      <c r="E8" s="54">
        <f>E4/'Three Statements'!E53</f>
        <v>0.57332411689791529</v>
      </c>
      <c r="F8" s="54">
        <f>F4/'Three Statements'!F53</f>
        <v>0.59146339980544749</v>
      </c>
      <c r="G8" s="54">
        <f>G4/'Three Statements'!G53</f>
        <v>3.0812818541300526</v>
      </c>
      <c r="H8" s="54">
        <f>H4/'Three Statements'!H53</f>
        <v>1.0341895339431275</v>
      </c>
      <c r="I8" s="54">
        <f>I4/'Three Statements'!I53</f>
        <v>1.4989946591266101</v>
      </c>
    </row>
    <row r="9" spans="1:21" x14ac:dyDescent="0.2">
      <c r="A9" t="s">
        <v>240</v>
      </c>
      <c r="B9" s="83">
        <f>('Three Statements'!B33+'Three Statements'!B34+'Three Statements'!B35+'Three Statements'!B36+'Three Statements'!B37+'Three Statements'!B38)/'Three Statements'!B39</f>
        <v>0.53191154481781699</v>
      </c>
      <c r="C9" s="83">
        <f>('Three Statements'!C33+'Three Statements'!C34+'Three Statements'!C35+'Three Statements'!C36+'Three Statements'!C37+'Three Statements'!C38)/'Three Statements'!C39</f>
        <v>0.56673193016805357</v>
      </c>
      <c r="D9" s="83">
        <f>('Three Statements'!D33+'Three Statements'!D34+'Three Statements'!D35+'Three Statements'!D36+'Three Statements'!D37+'Three Statements'!D38)/'Three Statements'!D39</f>
        <v>0.70959941968243734</v>
      </c>
      <c r="E9" s="83">
        <f>('Three Statements'!E33+'Three Statements'!E34+'Three Statements'!E35+'Three Statements'!E36+'Three Statements'!E37+'Three Statements'!E38)/'Three Statements'!E39</f>
        <v>1.0645128414186711</v>
      </c>
      <c r="F9" s="83">
        <f>('Three Statements'!F33+'Three Statements'!F34+'Three Statements'!F35+'Three Statements'!F36+'Three Statements'!F37+'Three Statements'!F38)/'Three Statements'!F39</f>
        <v>1.3346238938053097</v>
      </c>
      <c r="G9" s="83">
        <f>('Three Statements'!G33+'Three Statements'!G34+'Three Statements'!G35+'Three Statements'!G36+'Three Statements'!G37+'Three Statements'!G38)/'Three Statements'!G39</f>
        <v>2.6119180633147114</v>
      </c>
      <c r="H9" s="83">
        <f>('Three Statements'!H33+'Three Statements'!H34+'Three Statements'!H35+'Three Statements'!H36+'Three Statements'!H37+'Three Statements'!H38)/'Three Statements'!H39</f>
        <v>1.7339233962559724</v>
      </c>
      <c r="I9" s="83">
        <f>('Three Statements'!I33+'Three Statements'!I34+'Three Statements'!I35+'Three Statements'!I36+'Three Statements'!I37+'Three Statements'!I38)/'Three Statements'!I39</f>
        <v>1.4188861985472154</v>
      </c>
    </row>
    <row r="10" spans="1:21" x14ac:dyDescent="0.2">
      <c r="A10" t="s">
        <v>241</v>
      </c>
      <c r="B10" s="83">
        <f>('Three Statements'!B33+'Three Statements'!B34+'Three Statements'!B35+'Three Statements'!B36+'Three Statements'!B37+'Three Statements'!B38)/'Three Statements'!B43</f>
        <v>0.34722079523271343</v>
      </c>
      <c r="C10" s="83">
        <f>('Three Statements'!C33+'Three Statements'!C34+'Three Statements'!C35+'Three Statements'!C36+'Three Statements'!C37+'Three Statements'!C38)/'Three Statements'!C43</f>
        <v>0.36172871648008331</v>
      </c>
      <c r="D10" s="83">
        <f>('Three Statements'!D33+'Three Statements'!D34+'Three Statements'!D35+'Three Statements'!D36+'Three Statements'!D37+'Three Statements'!D38)/'Three Statements'!D43</f>
        <v>0.41506765357597475</v>
      </c>
      <c r="E10" s="83">
        <f>('Three Statements'!E33+'Three Statements'!E34+'Three Statements'!E35+'Three Statements'!E36+'Three Statements'!E37+'Three Statements'!E38)/'Three Statements'!E43</f>
        <v>0.51562422866169721</v>
      </c>
      <c r="F10" s="83">
        <f>('Three Statements'!F33+'Three Statements'!F34+'Three Statements'!F35+'Three Statements'!F36+'Three Statements'!F37+'Three Statements'!F38)/'Three Statements'!F43</f>
        <v>0.57166548211324331</v>
      </c>
      <c r="G10" s="83">
        <f>('Three Statements'!G33+'Three Statements'!G34+'Three Statements'!G35+'Three Statements'!G36+'Three Statements'!G37+'Three Statements'!G38)/'Three Statements'!G43</f>
        <v>0.72313879150340277</v>
      </c>
      <c r="H10" s="83">
        <f>('Three Statements'!H33+'Three Statements'!H34+'Three Statements'!H35+'Three Statements'!H36+'Three Statements'!H37+'Three Statements'!H38)/'Three Statements'!H43</f>
        <v>0.63422530369012142</v>
      </c>
      <c r="I10" s="83">
        <f>('Three Statements'!I33+'Three Statements'!I34+'Three Statements'!I35+'Three Statements'!I36+'Three Statements'!I37+'Three Statements'!I38)/'Three Statements'!I43</f>
        <v>0.58658658658658658</v>
      </c>
    </row>
    <row r="11" spans="1:21" x14ac:dyDescent="0.2">
      <c r="A11" t="s">
        <v>242</v>
      </c>
      <c r="B11" s="83">
        <f>'Three Statements'!B14/'Three Statements'!B39</f>
        <v>0.26394900448571651</v>
      </c>
      <c r="C11" s="83">
        <f>'Three Statements'!C14/'Three Statements'!C39</f>
        <v>0.3067384565181922</v>
      </c>
      <c r="D11" s="83">
        <f>'Three Statements'!D14/'Three Statements'!D39</f>
        <v>0.34174256468122832</v>
      </c>
      <c r="E11" s="83">
        <f>'Three Statements'!E14/'Three Statements'!E39</f>
        <v>0.19700366897676314</v>
      </c>
      <c r="F11" s="83">
        <f>'Three Statements'!F14/'Three Statements'!F39</f>
        <v>0.44568584070796458</v>
      </c>
      <c r="G11" s="83">
        <f>'Three Statements'!G14/'Three Statements'!G39</f>
        <v>0.31520794537554314</v>
      </c>
      <c r="H11" s="83">
        <f>'Three Statements'!H14/'Three Statements'!H39</f>
        <v>0.44857836610010182</v>
      </c>
      <c r="I11" s="83">
        <f>'Three Statements'!I14/'Three Statements'!I39</f>
        <v>0.3956547346377855</v>
      </c>
    </row>
    <row r="15" spans="1:21" x14ac:dyDescent="0.2">
      <c r="A15" t="s">
        <v>243</v>
      </c>
      <c r="B15" s="3">
        <f>'Three Statements'!B53</f>
        <v>4653</v>
      </c>
      <c r="C15" s="3">
        <f>'Three Statements'!C53</f>
        <v>5382</v>
      </c>
      <c r="D15" s="3">
        <f>'Three Statements'!D53</f>
        <v>4622</v>
      </c>
      <c r="E15" s="3">
        <f>'Three Statements'!E53</f>
        <v>4973</v>
      </c>
      <c r="F15" s="3">
        <f>'Three Statements'!F53</f>
        <v>4112</v>
      </c>
      <c r="G15" s="3">
        <f>'Three Statements'!G53</f>
        <v>2276</v>
      </c>
      <c r="H15" s="3">
        <f>'Three Statements'!H53</f>
        <v>5357</v>
      </c>
      <c r="I15" s="3">
        <f>'Three Statements'!I53</f>
        <v>4244</v>
      </c>
      <c r="J15" s="3">
        <f>'Three Statements'!J53</f>
        <v>7648.2447190444718</v>
      </c>
      <c r="K15" s="3">
        <f>'Three Statements'!K53</f>
        <v>7912.4120463604013</v>
      </c>
      <c r="L15" s="3">
        <f>'Three Statements'!L53</f>
        <v>8666.7985179187908</v>
      </c>
      <c r="M15" s="3">
        <f>'Three Statements'!M53</f>
        <v>9560.6643711131965</v>
      </c>
      <c r="N15" s="3">
        <f>'Three Statements'!N53</f>
        <v>10619.478768512841</v>
      </c>
      <c r="O15" s="3">
        <f>'Three Statements'!O53</f>
        <v>0</v>
      </c>
    </row>
    <row r="16" spans="1:21" x14ac:dyDescent="0.2">
      <c r="A16" s="84" t="s">
        <v>129</v>
      </c>
      <c r="B16" s="85" t="str">
        <f>+IFERROR(B15/A15-1,"nm")</f>
        <v>nm</v>
      </c>
      <c r="C16" s="85">
        <f t="shared" ref="C16:N16" si="1">+IFERROR(C15/B15-1,"nm")</f>
        <v>0.15667311411992269</v>
      </c>
      <c r="D16" s="85">
        <f t="shared" si="1"/>
        <v>-0.14121144555927168</v>
      </c>
      <c r="E16" s="85">
        <f t="shared" si="1"/>
        <v>7.5941151016875708E-2</v>
      </c>
      <c r="F16" s="85">
        <f t="shared" si="1"/>
        <v>-0.1731349286145184</v>
      </c>
      <c r="G16" s="85">
        <f t="shared" si="1"/>
        <v>-0.44649805447470814</v>
      </c>
      <c r="H16" s="85">
        <f t="shared" si="1"/>
        <v>1.3536906854130053</v>
      </c>
      <c r="I16" s="85">
        <f t="shared" si="1"/>
        <v>-0.20776554041441109</v>
      </c>
      <c r="J16" s="85">
        <f t="shared" si="1"/>
        <v>0.80213117790868793</v>
      </c>
      <c r="K16" s="85">
        <f t="shared" si="1"/>
        <v>3.453960183284166E-2</v>
      </c>
      <c r="L16" s="85">
        <f t="shared" si="1"/>
        <v>9.5342162053529078E-2</v>
      </c>
      <c r="M16" s="85">
        <f t="shared" si="1"/>
        <v>0.10313679859365821</v>
      </c>
      <c r="N16" s="85">
        <f t="shared" si="1"/>
        <v>0.11074694773291793</v>
      </c>
      <c r="O16" s="86"/>
      <c r="P16" s="87"/>
      <c r="Q16" s="87"/>
      <c r="R16" s="87"/>
      <c r="S16" s="87"/>
      <c r="T16" s="87"/>
      <c r="U16" s="87"/>
    </row>
    <row r="17" spans="1:21" x14ac:dyDescent="0.2">
      <c r="A17" t="s">
        <v>244</v>
      </c>
      <c r="J17" t="s">
        <v>245</v>
      </c>
      <c r="K17" s="3"/>
      <c r="L17" s="3"/>
      <c r="M17" s="3"/>
      <c r="N17" s="3"/>
      <c r="O17" s="3"/>
    </row>
    <row r="18" spans="1:21" x14ac:dyDescent="0.2">
      <c r="A18" s="2" t="s">
        <v>246</v>
      </c>
      <c r="B18">
        <v>0.80710000000000004</v>
      </c>
      <c r="C18">
        <v>0.62080000000000002</v>
      </c>
      <c r="D18">
        <v>0.43830000000000002</v>
      </c>
      <c r="E18">
        <v>0.67949999999999999</v>
      </c>
      <c r="F18">
        <v>0.69140000000000001</v>
      </c>
      <c r="G18">
        <v>0.83499999999999996</v>
      </c>
      <c r="H18">
        <v>0.86209999999999998</v>
      </c>
      <c r="I18">
        <v>0.95979999999999999</v>
      </c>
      <c r="J18" s="2" t="s">
        <v>247</v>
      </c>
      <c r="M18" t="s">
        <v>267</v>
      </c>
    </row>
    <row r="19" spans="1:21" x14ac:dyDescent="0.2">
      <c r="A19" s="2" t="s">
        <v>248</v>
      </c>
      <c r="B19" s="88">
        <f>B18*(B21-B20)</f>
        <v>0</v>
      </c>
      <c r="C19" s="88">
        <f t="shared" ref="C19:I19" si="2">C18*(C21-C20)</f>
        <v>0</v>
      </c>
      <c r="D19" s="88">
        <f t="shared" si="2"/>
        <v>0</v>
      </c>
      <c r="E19" s="88">
        <f t="shared" si="2"/>
        <v>0</v>
      </c>
      <c r="F19" s="88">
        <f t="shared" si="2"/>
        <v>0</v>
      </c>
      <c r="G19" s="88">
        <f t="shared" si="2"/>
        <v>0</v>
      </c>
      <c r="H19" s="88">
        <f t="shared" si="2"/>
        <v>0</v>
      </c>
      <c r="I19" s="88">
        <f t="shared" si="2"/>
        <v>0</v>
      </c>
      <c r="J19" s="2" t="s">
        <v>249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</row>
    <row r="20" spans="1:21" x14ac:dyDescent="0.2">
      <c r="A20" s="2" t="s">
        <v>250</v>
      </c>
      <c r="B20" s="88"/>
      <c r="I20" s="88"/>
      <c r="J20" s="89" t="s">
        <v>251</v>
      </c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</row>
    <row r="21" spans="1:21" x14ac:dyDescent="0.2">
      <c r="A21" s="2" t="s">
        <v>252</v>
      </c>
      <c r="B21" s="88"/>
      <c r="I21" s="88"/>
      <c r="J21" s="2" t="s">
        <v>253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</row>
    <row r="22" spans="1:21" x14ac:dyDescent="0.2">
      <c r="A22" s="2" t="s">
        <v>254</v>
      </c>
      <c r="B22" s="88">
        <f>'Three Statements'!B12/('Three Statements'!B33+'Three Statements'!B34+'Three Statements'!B35+'Three Statements'!B36+'Three Statements'!B37+'Three Statements'!B38)</f>
        <v>0.12590619914188489</v>
      </c>
      <c r="C22" s="88">
        <f>'Three Statements'!C12/('Three Statements'!C33+'Three Statements'!C34+'Three Statements'!C35+'Three Statements'!C36+'Three Statements'!C37+'Three Statements'!C38)</f>
        <v>0.12422628472722039</v>
      </c>
      <c r="D22" s="88">
        <f>'Three Statements'!D12/('Three Statements'!D33+'Three Statements'!D34+'Three Statements'!D35+'Three Statements'!D36+'Three Statements'!D37+'Three Statements'!D38)</f>
        <v>7.3375738300772375E-2</v>
      </c>
      <c r="E22" s="88">
        <f>'Three Statements'!E12/('Three Statements'!E33+'Three Statements'!E34+'Three Statements'!E35+'Three Statements'!E36+'Three Statements'!E37+'Three Statements'!E38)</f>
        <v>0.22900909526089039</v>
      </c>
      <c r="F22" s="88">
        <f>'Three Statements'!F12/('Three Statements'!F33+'Three Statements'!F34+'Three Statements'!F35+'Three Statements'!F36+'Three Statements'!F37+'Three Statements'!F38)</f>
        <v>6.3986738499792792E-2</v>
      </c>
      <c r="G22" s="88">
        <f>'Three Statements'!G12/('Three Statements'!G33+'Three Statements'!G34+'Three Statements'!G35+'Three Statements'!G36+'Three Statements'!G37+'Three Statements'!G38)</f>
        <v>1.6540710109796092E-2</v>
      </c>
      <c r="H22" s="88">
        <f>'Three Statements'!H12/('Three Statements'!H33+'Three Statements'!H34+'Three Statements'!H35+'Three Statements'!H36+'Three Statements'!H37+'Three Statements'!H38)</f>
        <v>4.2191805574377739E-2</v>
      </c>
      <c r="I22" s="88">
        <f>'Three Statements'!I12/('Three Statements'!I33+'Three Statements'!I34+'Three Statements'!I35+'Three Statements'!I36+'Three Statements'!I37+'Three Statements'!I38)</f>
        <v>2.790332995111152E-2</v>
      </c>
      <c r="J22" t="s">
        <v>255</v>
      </c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</row>
    <row r="23" spans="1:21" x14ac:dyDescent="0.2">
      <c r="A23" s="2" t="s">
        <v>256</v>
      </c>
      <c r="B23" s="88">
        <f>('Three Statements'!B33+'Three Statements'!B34+'Three Statements'!B35+'Three Statements'!B36+'Three Statements'!B37+'Three Statements'!B38)/'Three Statements'!B31</f>
        <v>0.34722079523271343</v>
      </c>
      <c r="C23" s="88">
        <f>('Three Statements'!C33+'Three Statements'!C34+'Three Statements'!C35+'Three Statements'!C36+'Three Statements'!C37+'Three Statements'!C38)/'Three Statements'!C31</f>
        <v>0.36172871648008331</v>
      </c>
      <c r="D23" s="88">
        <f>('Three Statements'!D33+'Three Statements'!D34+'Three Statements'!D35+'Three Statements'!D36+'Three Statements'!D37+'Three Statements'!D38)/'Three Statements'!D31</f>
        <v>0.41506765357597475</v>
      </c>
      <c r="E23" s="88">
        <f>('Three Statements'!E33+'Three Statements'!E34+'Three Statements'!E35+'Three Statements'!E36+'Three Statements'!E37+'Three Statements'!E38)/'Three Statements'!E31</f>
        <v>0.51562422866169721</v>
      </c>
      <c r="F23" s="88">
        <f>('Three Statements'!F33+'Three Statements'!F34+'Three Statements'!F35+'Three Statements'!F36+'Three Statements'!F37+'Three Statements'!F38)/'Three Statements'!F31</f>
        <v>0.57166548211324331</v>
      </c>
      <c r="G23" s="88">
        <f>('Three Statements'!G33+'Three Statements'!G34+'Three Statements'!G35+'Three Statements'!G36+'Three Statements'!G37+'Three Statements'!G38)/'Three Statements'!G31</f>
        <v>0.72313879150340277</v>
      </c>
      <c r="H23" s="88">
        <f>('Three Statements'!H33+'Three Statements'!H34+'Three Statements'!H35+'Three Statements'!H36+'Three Statements'!H37+'Three Statements'!H38)/'Three Statements'!H31</f>
        <v>0.63422530369012142</v>
      </c>
      <c r="I23" s="88">
        <f>('Three Statements'!I33+'Three Statements'!I34+'Three Statements'!I35+'Three Statements'!I36+'Three Statements'!I37+'Three Statements'!I38)/'Three Statements'!I31</f>
        <v>0.58658658658658658</v>
      </c>
      <c r="J23" t="s">
        <v>255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</row>
    <row r="24" spans="1:21" x14ac:dyDescent="0.2">
      <c r="A24" t="s">
        <v>257</v>
      </c>
      <c r="J24" t="s">
        <v>258</v>
      </c>
      <c r="K24" s="3"/>
      <c r="L24" s="3"/>
      <c r="M24" s="3"/>
      <c r="N24" s="3"/>
      <c r="O24" s="3"/>
    </row>
    <row r="25" spans="1:21" ht="16" thickBot="1" x14ac:dyDescent="0.25">
      <c r="K25" s="3"/>
      <c r="L25" s="3"/>
      <c r="M25" s="3"/>
      <c r="N25" s="3"/>
      <c r="O25" s="3"/>
    </row>
    <row r="26" spans="1:21" x14ac:dyDescent="0.2">
      <c r="A26" s="90" t="s">
        <v>259</v>
      </c>
      <c r="B26" s="91" t="s">
        <v>260</v>
      </c>
      <c r="K26" s="3"/>
      <c r="L26" s="3"/>
      <c r="M26" s="3"/>
      <c r="N26" s="3"/>
      <c r="O26" s="3"/>
    </row>
    <row r="27" spans="1:21" x14ac:dyDescent="0.2">
      <c r="A27" s="92" t="s">
        <v>261</v>
      </c>
      <c r="B27" s="93" t="s">
        <v>260</v>
      </c>
      <c r="K27" s="3"/>
      <c r="L27" s="3"/>
      <c r="M27" s="3"/>
      <c r="N27" s="3"/>
      <c r="O27" s="3"/>
    </row>
    <row r="28" spans="1:21" x14ac:dyDescent="0.2">
      <c r="A28" s="92" t="s">
        <v>262</v>
      </c>
      <c r="B28" s="93" t="s">
        <v>263</v>
      </c>
    </row>
    <row r="29" spans="1:21" x14ac:dyDescent="0.2">
      <c r="A29" s="92" t="s">
        <v>264</v>
      </c>
      <c r="B29" s="93"/>
    </row>
    <row r="30" spans="1:21" x14ac:dyDescent="0.2">
      <c r="A30" s="92" t="s">
        <v>265</v>
      </c>
      <c r="B30" s="93"/>
    </row>
    <row r="31" spans="1:21" ht="16" thickBot="1" x14ac:dyDescent="0.25">
      <c r="A31" s="94" t="s">
        <v>266</v>
      </c>
      <c r="B31" s="95"/>
    </row>
  </sheetData>
  <hyperlinks>
    <hyperlink ref="J20" r:id="rId1" xr:uid="{3CB9D77F-F42C-9B4C-90D3-D26B8C9D152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2024-01-29T10:37:38Z</dcterms:modified>
</cp:coreProperties>
</file>