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E185376E-CD82-E34B-B2E2-C966D31ACC33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C30" i="5"/>
  <c r="D30" i="5"/>
  <c r="E30" i="5"/>
  <c r="F30" i="5"/>
  <c r="G30" i="5"/>
  <c r="H30" i="5"/>
  <c r="I30" i="5"/>
  <c r="B31" i="5"/>
  <c r="B30" i="5"/>
  <c r="C29" i="5"/>
  <c r="D29" i="5"/>
  <c r="E29" i="5"/>
  <c r="F29" i="5"/>
  <c r="G29" i="5"/>
  <c r="H29" i="5"/>
  <c r="I29" i="5"/>
  <c r="B29" i="5"/>
  <c r="C27" i="5"/>
  <c r="D27" i="5"/>
  <c r="E27" i="5"/>
  <c r="F27" i="5"/>
  <c r="G27" i="5"/>
  <c r="H27" i="5"/>
  <c r="I27" i="5"/>
  <c r="B27" i="5"/>
  <c r="B26" i="5"/>
  <c r="C23" i="5"/>
  <c r="D23" i="5"/>
  <c r="E23" i="5"/>
  <c r="F23" i="5"/>
  <c r="G23" i="5"/>
  <c r="H23" i="5"/>
  <c r="H17" i="5" s="1"/>
  <c r="I23" i="5"/>
  <c r="B23" i="5"/>
  <c r="C17" i="5"/>
  <c r="D17" i="5"/>
  <c r="E17" i="5"/>
  <c r="F17" i="5"/>
  <c r="G17" i="5"/>
  <c r="B17" i="5"/>
  <c r="C4" i="5"/>
  <c r="D4" i="5"/>
  <c r="E4" i="5"/>
  <c r="F4" i="5"/>
  <c r="G4" i="5"/>
  <c r="H4" i="5"/>
  <c r="I4" i="5"/>
  <c r="B4" i="5"/>
  <c r="B9" i="5"/>
  <c r="C19" i="5"/>
  <c r="D19" i="5"/>
  <c r="E19" i="5"/>
  <c r="F19" i="5"/>
  <c r="G19" i="5"/>
  <c r="H19" i="5"/>
  <c r="I19" i="5"/>
  <c r="B19" i="5"/>
  <c r="C10" i="5"/>
  <c r="D10" i="5"/>
  <c r="E10" i="5"/>
  <c r="F10" i="5"/>
  <c r="G10" i="5"/>
  <c r="H10" i="5"/>
  <c r="I10" i="5"/>
  <c r="B10" i="5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C16" i="5" s="1"/>
  <c r="D15" i="5"/>
  <c r="E15" i="5"/>
  <c r="F15" i="5"/>
  <c r="F16" i="5" s="1"/>
  <c r="G15" i="5"/>
  <c r="H15" i="5"/>
  <c r="I15" i="5"/>
  <c r="I16" i="5" s="1"/>
  <c r="K15" i="5"/>
  <c r="K16" i="5" s="1"/>
  <c r="M15" i="5"/>
  <c r="M16" i="5" s="1"/>
  <c r="N15" i="5"/>
  <c r="O16" i="5" s="1"/>
  <c r="O15" i="5"/>
  <c r="P15" i="5"/>
  <c r="Q15" i="5"/>
  <c r="B15" i="5"/>
  <c r="C11" i="5"/>
  <c r="D11" i="5"/>
  <c r="E11" i="5"/>
  <c r="F11" i="5"/>
  <c r="G11" i="5"/>
  <c r="H11" i="5"/>
  <c r="I11" i="5"/>
  <c r="B11" i="5"/>
  <c r="F5" i="5"/>
  <c r="I3" i="5"/>
  <c r="I6" i="5" s="1"/>
  <c r="H3" i="5"/>
  <c r="H6" i="5" s="1"/>
  <c r="G3" i="5"/>
  <c r="G6" i="5" s="1"/>
  <c r="F3" i="5"/>
  <c r="F6" i="5" s="1"/>
  <c r="E3" i="5"/>
  <c r="D3" i="5"/>
  <c r="C3" i="5"/>
  <c r="B3" i="5"/>
  <c r="B5" i="5" s="1"/>
  <c r="C1" i="5"/>
  <c r="D1" i="5" s="1"/>
  <c r="E1" i="5" s="1"/>
  <c r="F1" i="5" s="1"/>
  <c r="G1" i="5" s="1"/>
  <c r="H1" i="5" s="1"/>
  <c r="I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I17" i="5" l="1"/>
  <c r="C5" i="5"/>
  <c r="D16" i="5"/>
  <c r="D6" i="5"/>
  <c r="P16" i="5"/>
  <c r="E26" i="5"/>
  <c r="E6" i="5"/>
  <c r="C6" i="5"/>
  <c r="C26" i="5"/>
  <c r="G16" i="5"/>
  <c r="C8" i="5"/>
  <c r="I5" i="5"/>
  <c r="E5" i="5"/>
  <c r="D5" i="5"/>
  <c r="E16" i="5"/>
  <c r="H16" i="5"/>
  <c r="C7" i="5"/>
  <c r="E7" i="5"/>
  <c r="E8" i="5"/>
  <c r="D7" i="5"/>
  <c r="D8" i="5"/>
  <c r="G5" i="5"/>
  <c r="B6" i="5"/>
  <c r="H5" i="5"/>
  <c r="N16" i="5"/>
  <c r="I65" i="4"/>
  <c r="I63" i="4"/>
  <c r="I62" i="4"/>
  <c r="L112" i="1"/>
  <c r="G62" i="4"/>
  <c r="H62" i="4"/>
  <c r="D26" i="5" l="1"/>
  <c r="D28" i="5" s="1"/>
  <c r="F26" i="5"/>
  <c r="B8" i="5"/>
  <c r="E28" i="5"/>
  <c r="B7" i="5"/>
  <c r="I26" i="5"/>
  <c r="G26" i="5"/>
  <c r="H26" i="5"/>
  <c r="C28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B28" i="5" l="1"/>
  <c r="H28" i="5"/>
  <c r="I28" i="5"/>
  <c r="F28" i="5"/>
  <c r="G28" i="5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<sst xmlns="http://schemas.openxmlformats.org/spreadsheetml/2006/main" count="592" uniqueCount="270">
  <si>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</si>
  <si>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</si>
  <si>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</si>
  <si>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</si>
  <si>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</si>
  <si>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</si>
  <si>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</si>
  <si>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</si>
  <si>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</si>
  <si>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</si>
  <si>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</si>
  <si>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</si>
  <si>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</si>
  <si>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</si>
  <si>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</si>
  <si>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</si>
  <si>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</si>
  <si>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</si>
  <si>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</si>
  <si>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</si>
  <si>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</si>
  <si>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</si>
  <si>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</si>
  <si>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</si>
  <si>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</si>
  <si>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</si>
  <si>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</si>
  <si>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</si>
  <si>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</si>
  <si>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</si>
  <si>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</si>
  <si>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</si>
  <si>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</si>
  <si>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</si>
  <si>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</si>
  <si>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</si>
  <si>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</si>
  <si>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</si>
  <si>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</si>
  <si>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</si>
  <si>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</si>
  <si>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</si>
  <si>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</si>
  <si>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</si>
  <si>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</si>
  <si>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</si>
  <si>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</si>
  <si>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</si>
  <si>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</si>
  <si>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</si>
  <si>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</si>
  <si>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</si>
  <si>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</si>
  <si>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</si>
  <si>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</si>
  <si>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</si>
  <si>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</si>
  <si>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</si>
  <si>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</si>
  <si>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</si>
  <si>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</si>
  <si>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</si>
  <si>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</si>
  <si>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</si>
  <si>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</si>
  <si>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</si>
  <si>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</si>
  <si>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</si>
  <si>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</si>
  <si>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</si>
  <si>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</si>
  <si>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</si>
  <si>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</si>
  <si>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</si>
  <si>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</si>
  <si>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</si>
  <si>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</si>
  <si>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</si>
  <si>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</si>
  <si>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</si>
  <si>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</si>
  <si>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</si>
  <si>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</si>
  <si>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</si>
  <si>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</si>
  <si>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</si>
  <si>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</si>
  <si>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</si>
  <si>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</si>
  <si>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</si>
  <si>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</si>
  <si>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</si>
  <si>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</si>
  <si>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</si>
  <si>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</si>
  <si>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</si>
  <si>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</si>
  <si>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</si>
  <si>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</si>
  <si>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</si>
  <si>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</si>
  <si>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</si>
  <si>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</si>
  <si>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</si>
  <si>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</si>
  <si>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</si>
  <si>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</si>
  <si>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</si>
  <si>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</si>
  <si>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</si>
  <si>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</si>
  <si>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</si>
  <si>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</si>
  <si>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</si>
  <si>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</si>
  <si>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</si>
  <si>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</si>
  <si>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</si>
  <si>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</si>
  <si>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</si>
  <si>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</si>
  <si>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</si>
  <si>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</si>
  <si>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</si>
  <si>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</si>
  <si>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</si>
  <si>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</si>
  <si>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</si>
  <si>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</si>
  <si>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</si>
  <si>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</si>
  <si>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</si>
  <si>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</si>
  <si>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</si>
  <si>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</si>
  <si>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</si>
  <si>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</si>
  <si>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</si>
  <si>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</si>
  <si>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</si>
  <si>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</si>
  <si>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</si>
  <si>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</si>
  <si>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</si>
  <si>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</si>
  <si>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</si>
  <si>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</si>
  <si>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</si>
  <si>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</si>
  <si>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</si>
  <si>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</si>
  <si>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</si>
  <si>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</si>
  <si>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</si>
  <si>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</si>
  <si>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</si>
  <si>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</si>
  <si>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</si>
  <si>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</si>
  <si>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</si>
  <si>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</si>
  <si>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</si>
  <si>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</si>
  <si>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</si>
  <si>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</si>
  <si>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</si>
  <si>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</si>
  <si>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</si>
  <si>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</si>
  <si>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</si>
  <si>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</si>
  <si>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</si>
  <si>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</si>
  <si>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</si>
  <si>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</si>
  <si>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</si>
  <si>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</si>
  <si>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</si>
  <si>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</si>
  <si>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</si>
  <si>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</si>
  <si>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</si>
  <si>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</si>
  <si>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</si>
  <si>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</si>
  <si>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</si>
  <si>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</si>
  <si>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</si>
  <si>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</si>
  <si>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</si>
  <si>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</si>
  <si>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</si>
  <si>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</si>
  <si>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</si>
  <si>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</si>
  <si>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</si>
  <si>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</si>
  <si>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</si>
  <si>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</si>
  <si>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</si>
  <si>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</si>
  <si>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</si>
  <si>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</si>
  <si>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</si>
  <si>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</si>
  <si>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</si>
  <si>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</si>
  <si>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</si>
  <si>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</si>
  <si>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</si>
  <si>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</si>
  <si>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</si>
  <si>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</si>
  <si>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</si>
  <si>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</si>
  <si>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</si>
  <si>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</si>
  <si>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</si>
  <si>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</si>
  <si>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</si>
  <si>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</si>
  <si>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</si>
  <si>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</si>
  <si>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</si>
  <si>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</si>
  <si>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</si>
  <si>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</si>
  <si>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</si>
  <si>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</si>
  <si>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</si>
  <si>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</si>
  <si>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</si>
  <si>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</si>
  <si>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</si>
  <si>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</si>
  <si>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</si>
  <si>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</si>
  <si>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</si>
  <si>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</si>
  <si>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</si>
  <si>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</si>
  <si>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</si>
  <si>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</si>
  <si>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</si>
  <si>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</si>
  <si>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</si>
  <si>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</si>
  <si>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</si>
  <si>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</si>
  <si>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</si>
  <si>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</si>
  <si>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</si>
  <si>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</si>
  <si>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</si>
  <si>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</si>
  <si>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</si>
  <si>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</si>
  <si>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</si>
  <si>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</si>
  <si>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</si>
  <si>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</si>
  <si>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</si>
  <si>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</si>
  <si>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</si>
  <si>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</si>
  <si>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</si>
  <si>
    <t>Cost of Equity = Risk-Free Rate of Return (Rf) + Beta * (Market Rate of Return (Rm) - Risk-Free Rate of Return(Rf))</t>
  </si>
  <si>
    <t>Interest/Long term borrowings</t>
  </si>
  <si>
    <t>Link only long term debt, remove current debt. Debt Ratio = Debt/Capital ratio</t>
  </si>
  <si>
    <t>Source from the US treasury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</si>
</sst>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  <xf numFmtId="43" fontId="0" fillId="0" borderId="8" xfId="0" applyNumberFormat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39" sqref="I39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W31"/>
  <sheetViews>
    <sheetView tabSelected="1" workbookViewId="0">
      <selection activeCell="B31" sqref="B31:I31"/>
    </sheetView>
  </sheetViews>
  <sheetFormatPr baseColWidth="10" defaultColWidth="11.5" defaultRowHeight="15" x14ac:dyDescent="0.2"/>
  <cols>
    <col min="9" max="9" width="11.6640625" bestFit="1" customWidth="1"/>
    <col min="10" max="10" width="80.83203125" customWidth="1"/>
    <col min="11" max="11" width="82.33203125" customWidth="1"/>
  </cols>
  <sheetData>
    <row r="1" spans="1:23" ht="112" x14ac:dyDescent="0.2">
      <c r="A1" s="78" t="s">
        <v>231</v>
      </c>
      <c r="B1" s="16">
        <v>2015</v>
      </c>
      <c r="C1" s="16">
        <f t="shared" ref="C1:V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223</v>
      </c>
      <c r="K1" s="79" t="s">
        <v>223</v>
      </c>
      <c r="L1" s="79" t="s">
        <v>20</v>
      </c>
      <c r="M1" s="80">
        <f>+I1+1</f>
        <v>2023</v>
      </c>
      <c r="N1" s="80">
        <f t="shared" si="0"/>
        <v>2024</v>
      </c>
      <c r="O1" s="80">
        <f t="shared" si="0"/>
        <v>2025</v>
      </c>
      <c r="P1" s="80">
        <f t="shared" si="0"/>
        <v>2026</v>
      </c>
      <c r="Q1" s="80">
        <f t="shared" si="0"/>
        <v>2027</v>
      </c>
      <c r="R1" s="80">
        <f t="shared" si="0"/>
        <v>2028</v>
      </c>
      <c r="S1" s="80">
        <f t="shared" si="0"/>
        <v>2029</v>
      </c>
      <c r="T1" s="80">
        <f t="shared" si="0"/>
        <v>2030</v>
      </c>
      <c r="U1" s="80">
        <f t="shared" si="0"/>
        <v>2031</v>
      </c>
      <c r="V1" s="80">
        <f t="shared" si="0"/>
        <v>2032</v>
      </c>
      <c r="W1" s="81" t="s">
        <v>232</v>
      </c>
    </row>
    <row r="2" spans="1:23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82"/>
      <c r="S2" s="82"/>
      <c r="T2" s="82"/>
      <c r="U2" s="82"/>
      <c r="V2" s="82"/>
      <c r="W2" s="82"/>
    </row>
    <row r="3" spans="1:23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M3" s="74"/>
      <c r="N3" s="54"/>
      <c r="O3" s="54"/>
      <c r="P3" s="54"/>
      <c r="Q3" s="54"/>
    </row>
    <row r="4" spans="1:23" x14ac:dyDescent="0.2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3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  <c r="J5" s="54"/>
    </row>
    <row r="6" spans="1:23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  <c r="J6" s="54"/>
    </row>
    <row r="7" spans="1:23" x14ac:dyDescent="0.2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  <c r="J7" s="54"/>
    </row>
    <row r="8" spans="1:23" x14ac:dyDescent="0.2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  <c r="J8" s="54"/>
    </row>
    <row r="9" spans="1:23" x14ac:dyDescent="0.2">
      <c r="A9" t="s">
        <v>240</v>
      </c>
      <c r="B9" s="83">
        <f>'Three Statements'!B36/'Three Statements'!B39</f>
        <v>8.4913827024474697E-2</v>
      </c>
      <c r="C9" s="83">
        <f>'Three Statements'!C36/'Three Statements'!C39</f>
        <v>0.16397454723445912</v>
      </c>
      <c r="D9" s="83">
        <f>'Three Statements'!D36/'Three Statements'!D39</f>
        <v>0.27976142500201501</v>
      </c>
      <c r="E9" s="83">
        <f>'Three Statements'!E36/'Three Statements'!E39</f>
        <v>0.35344476151651039</v>
      </c>
      <c r="F9" s="83">
        <f>'Three Statements'!F36/'Three Statements'!F39</f>
        <v>0.38318584070796458</v>
      </c>
      <c r="G9" s="83">
        <f>'Three Statements'!G36/'Three Statements'!G39</f>
        <v>1.1677219118559901</v>
      </c>
      <c r="H9" s="83">
        <f>'Three Statements'!H36/'Three Statements'!H39</f>
        <v>0.73729145453121325</v>
      </c>
      <c r="I9" s="83">
        <f>'Three Statements'!I36/'Three Statements'!I39</f>
        <v>0.58373143118905835</v>
      </c>
      <c r="J9" s="83"/>
    </row>
    <row r="10" spans="1:23" x14ac:dyDescent="0.2">
      <c r="A10" t="s">
        <v>241</v>
      </c>
      <c r="B10" s="83">
        <f>'Three Statements'!B36/('Three Statements'!B36+'Three Statements'!B39)</f>
        <v>7.826780792107936E-2</v>
      </c>
      <c r="C10" s="83">
        <f>'Three Statements'!C36/('Three Statements'!C36+'Three Statements'!C39)</f>
        <v>0.14087468460891506</v>
      </c>
      <c r="D10" s="83">
        <f>'Three Statements'!D36/('Three Statements'!D36+'Three Statements'!D39)</f>
        <v>0.21860435823151531</v>
      </c>
      <c r="E10" s="83">
        <f>'Three Statements'!E36/('Three Statements'!E36+'Three Statements'!E39)</f>
        <v>0.261144578313253</v>
      </c>
      <c r="F10" s="83">
        <f>'Three Statements'!F36/('Three Statements'!F36+'Three Statements'!F39)</f>
        <v>0.27703134996801021</v>
      </c>
      <c r="G10" s="83">
        <f>'Three Statements'!G36/('Three Statements'!G36+'Three Statements'!G39)</f>
        <v>0.53868621499341385</v>
      </c>
      <c r="H10" s="83">
        <f>'Three Statements'!H36/('Three Statements'!H36+'Three Statements'!H39)</f>
        <v>0.42439134355275021</v>
      </c>
      <c r="I10" s="83">
        <f>'Three Statements'!I36/('Three Statements'!I36+'Three Statements'!I39)</f>
        <v>0.36857981075162183</v>
      </c>
      <c r="J10" s="83"/>
    </row>
    <row r="11" spans="1:23" x14ac:dyDescent="0.2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  <c r="J11" s="83"/>
    </row>
    <row r="15" spans="1:23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/>
      <c r="K15" s="3">
        <f>'Three Statements'!J53</f>
        <v>7648.2447190444718</v>
      </c>
      <c r="L15" s="3"/>
      <c r="M15" s="3">
        <f>'Three Statements'!K53</f>
        <v>7912.4120463604013</v>
      </c>
      <c r="N15" s="3">
        <f>'Three Statements'!L53</f>
        <v>8666.7985179187908</v>
      </c>
      <c r="O15" s="3">
        <f>'Three Statements'!M53</f>
        <v>9560.6643711131965</v>
      </c>
      <c r="P15" s="3">
        <f>'Three Statements'!N53</f>
        <v>10619.478768512841</v>
      </c>
      <c r="Q15" s="3">
        <f>'Three Statements'!O53</f>
        <v>0</v>
      </c>
    </row>
    <row r="16" spans="1:23" x14ac:dyDescent="0.2">
      <c r="A16" s="84" t="s">
        <v>129</v>
      </c>
      <c r="B16" s="85">
        <v>0</v>
      </c>
      <c r="C16" s="85">
        <f t="shared" ref="C16:P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/>
      <c r="K16" s="85">
        <f>+IFERROR(K15/I15-1,"nm")</f>
        <v>0.80213117790868793</v>
      </c>
      <c r="L16" s="85"/>
      <c r="M16" s="85">
        <f>+IFERROR(M15/K15-1,"nm")</f>
        <v>3.453960183284166E-2</v>
      </c>
      <c r="N16" s="85">
        <f t="shared" si="1"/>
        <v>9.5342162053529078E-2</v>
      </c>
      <c r="O16" s="85">
        <f t="shared" si="1"/>
        <v>0.10313679859365821</v>
      </c>
      <c r="P16" s="85">
        <f t="shared" si="1"/>
        <v>0.11074694773291793</v>
      </c>
      <c r="Q16" s="86"/>
      <c r="R16" s="87"/>
      <c r="S16" s="87"/>
      <c r="T16" s="87"/>
      <c r="U16" s="87"/>
      <c r="V16" s="87"/>
      <c r="W16" s="87"/>
    </row>
    <row r="17" spans="1:23" x14ac:dyDescent="0.2">
      <c r="A17" t="s">
        <v>244</v>
      </c>
      <c r="B17" s="96">
        <f>(B19/(1-B23))+(B22/B23)</f>
        <v>1.5922681321719245</v>
      </c>
      <c r="C17" s="96">
        <f t="shared" ref="C17:I17" si="2">(C19/(1-C23))+(C22/C23)</f>
        <v>0.93632818176775057</v>
      </c>
      <c r="D17" s="96">
        <f t="shared" si="2"/>
        <v>0.43251931095007518</v>
      </c>
      <c r="E17" s="96">
        <f t="shared" si="2"/>
        <v>0.78637734438252571</v>
      </c>
      <c r="F17" s="96">
        <f t="shared" si="2"/>
        <v>0.51137182320286334</v>
      </c>
      <c r="G17" s="96">
        <f t="shared" si="2"/>
        <v>0.16252742022946232</v>
      </c>
      <c r="H17" s="96">
        <f t="shared" si="2"/>
        <v>0.48268985640818585</v>
      </c>
      <c r="I17" s="96">
        <f t="shared" si="2"/>
        <v>0.2231417682051248</v>
      </c>
      <c r="L17" t="s">
        <v>245</v>
      </c>
      <c r="M17" s="3"/>
      <c r="N17" s="3"/>
      <c r="O17" s="3"/>
      <c r="P17" s="3"/>
      <c r="Q17" s="3"/>
    </row>
    <row r="18" spans="1:23" x14ac:dyDescent="0.2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L18" s="2" t="s">
        <v>247</v>
      </c>
      <c r="O18" t="s">
        <v>265</v>
      </c>
    </row>
    <row r="19" spans="1:23" x14ac:dyDescent="0.2">
      <c r="A19" s="2" t="s">
        <v>248</v>
      </c>
      <c r="B19" s="88">
        <f>(B20+B18)*(B21-B20)</f>
        <v>-1.5107820000000003E-2</v>
      </c>
      <c r="C19" s="88">
        <f t="shared" ref="C19:I19" si="3">(C20+C18)*(C21-C20)</f>
        <v>4.6828320000000007E-2</v>
      </c>
      <c r="D19" s="88">
        <f t="shared" si="3"/>
        <v>7.568902000000001E-2</v>
      </c>
      <c r="E19" s="88">
        <f t="shared" si="3"/>
        <v>-6.6915450000000001E-2</v>
      </c>
      <c r="F19" s="88">
        <f t="shared" si="3"/>
        <v>0.20271961999999999</v>
      </c>
      <c r="G19" s="88">
        <f t="shared" si="3"/>
        <v>6.0811199999999989E-2</v>
      </c>
      <c r="H19" s="88">
        <f t="shared" si="3"/>
        <v>0.22061504999999998</v>
      </c>
      <c r="I19" s="88">
        <f t="shared" si="3"/>
        <v>9.3094559999999979E-2</v>
      </c>
      <c r="J19" s="88"/>
      <c r="K19" t="s">
        <v>266</v>
      </c>
      <c r="L19" s="2" t="s">
        <v>249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">
      <c r="A20" s="2" t="s">
        <v>250</v>
      </c>
      <c r="B20" s="88">
        <v>2.3E-2</v>
      </c>
      <c r="C20" s="96">
        <v>2.5999999999999999E-2</v>
      </c>
      <c r="D20" s="96">
        <v>2.35E-2</v>
      </c>
      <c r="E20" s="96">
        <v>2.86E-2</v>
      </c>
      <c r="F20" s="96">
        <v>1.89E-2</v>
      </c>
      <c r="G20" s="96">
        <v>9.1999999999999998E-2</v>
      </c>
      <c r="H20" s="96">
        <v>1.44E-2</v>
      </c>
      <c r="I20" s="88">
        <v>3.4799999999999998E-2</v>
      </c>
      <c r="J20" s="88"/>
      <c r="K20" t="s">
        <v>269</v>
      </c>
      <c r="L20" s="89" t="s">
        <v>251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">
      <c r="A21" s="2" t="s">
        <v>252</v>
      </c>
      <c r="B21" s="88">
        <v>4.7999999999999996E-3</v>
      </c>
      <c r="C21" s="88">
        <v>9.8400000000000001E-2</v>
      </c>
      <c r="D21" s="88">
        <v>0.18740000000000001</v>
      </c>
      <c r="E21" s="88">
        <v>-6.59E-2</v>
      </c>
      <c r="F21" s="96">
        <v>0.30430000000000001</v>
      </c>
      <c r="G21" s="96">
        <v>0.15759999999999999</v>
      </c>
      <c r="H21" s="96">
        <v>0.2661</v>
      </c>
      <c r="I21" s="88">
        <v>0.12839999999999999</v>
      </c>
      <c r="J21" s="88"/>
      <c r="K21" s="2" t="s">
        <v>253</v>
      </c>
      <c r="L21" s="2" t="s">
        <v>253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s="88"/>
      <c r="K22" t="s">
        <v>267</v>
      </c>
      <c r="L22" t="s">
        <v>255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">
      <c r="A23" s="2" t="s">
        <v>256</v>
      </c>
      <c r="B23" s="88">
        <f>B10</f>
        <v>7.826780792107936E-2</v>
      </c>
      <c r="C23" s="88">
        <f t="shared" ref="C23:I23" si="4">C10</f>
        <v>0.14087468460891506</v>
      </c>
      <c r="D23" s="88">
        <f t="shared" si="4"/>
        <v>0.21860435823151531</v>
      </c>
      <c r="E23" s="88">
        <f t="shared" si="4"/>
        <v>0.261144578313253</v>
      </c>
      <c r="F23" s="88">
        <f t="shared" si="4"/>
        <v>0.27703134996801021</v>
      </c>
      <c r="G23" s="88">
        <f t="shared" si="4"/>
        <v>0.53868621499341385</v>
      </c>
      <c r="H23" s="88">
        <f t="shared" si="4"/>
        <v>0.42439134355275021</v>
      </c>
      <c r="I23" s="88">
        <f t="shared" si="4"/>
        <v>0.36857981075162183</v>
      </c>
      <c r="J23" s="88"/>
      <c r="K23" t="s">
        <v>268</v>
      </c>
      <c r="L23" t="s">
        <v>255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">
      <c r="A24" t="s">
        <v>257</v>
      </c>
      <c r="L24" t="s">
        <v>258</v>
      </c>
      <c r="M24" s="3"/>
      <c r="N24" s="3"/>
      <c r="O24" s="3"/>
      <c r="P24" s="3"/>
      <c r="Q24" s="3"/>
    </row>
    <row r="25" spans="1:23" ht="16" thickBot="1" x14ac:dyDescent="0.25">
      <c r="M25" s="3"/>
      <c r="N25" s="3"/>
      <c r="O25" s="3"/>
      <c r="P25" s="3"/>
      <c r="Q25" s="3"/>
    </row>
    <row r="26" spans="1:23" x14ac:dyDescent="0.2">
      <c r="A26" s="90" t="s">
        <v>259</v>
      </c>
      <c r="B26" s="91">
        <f>B15/B17-B16</f>
        <v>2922.2465148838351</v>
      </c>
      <c r="C26" s="91">
        <f>(C15/C17-C16)*2</f>
        <v>11495.655919246599</v>
      </c>
      <c r="D26" s="91">
        <f>(D15/D17-D16)*3</f>
        <v>32059.107833989729</v>
      </c>
      <c r="E26" s="91">
        <f>(E15/E17-E16)*4</f>
        <v>25295.440246967719</v>
      </c>
      <c r="F26" s="91">
        <f>(F15/F17-F16)*5</f>
        <v>40206.444212832808</v>
      </c>
      <c r="G26" s="91">
        <f>(G15/G17-G16)*6</f>
        <v>84025.424077862786</v>
      </c>
      <c r="H26" s="91">
        <f>(H15/H17-H16)*7</f>
        <v>77678.090005179154</v>
      </c>
      <c r="I26" s="91">
        <f>(I15/I17-I16)*8</f>
        <v>152156.05380589035</v>
      </c>
      <c r="M26" s="3"/>
      <c r="N26" s="3"/>
      <c r="O26" s="3"/>
      <c r="P26" s="3"/>
      <c r="Q26" s="3"/>
    </row>
    <row r="27" spans="1:23" x14ac:dyDescent="0.2">
      <c r="A27" s="92" t="s">
        <v>260</v>
      </c>
      <c r="B27" s="97">
        <f>B15*(1+B16)/B17-B16</f>
        <v>2922.2465148838351</v>
      </c>
      <c r="C27" s="97">
        <f t="shared" ref="C27:I27" si="5">C15*(1+C16)/C17-C16</f>
        <v>6648.3826119477317</v>
      </c>
      <c r="D27" s="97">
        <f t="shared" si="5"/>
        <v>9177.3515651428461</v>
      </c>
      <c r="E27" s="97">
        <f t="shared" si="5"/>
        <v>6804.1070407586803</v>
      </c>
      <c r="F27" s="97">
        <f t="shared" si="5"/>
        <v>6649.090848543583</v>
      </c>
      <c r="G27" s="97">
        <f t="shared" si="5"/>
        <v>7751.5719772934426</v>
      </c>
      <c r="H27" s="97">
        <f t="shared" si="5"/>
        <v>26120.432036452232</v>
      </c>
      <c r="I27" s="97">
        <f t="shared" si="5"/>
        <v>15067.951798967948</v>
      </c>
      <c r="J27" s="74"/>
      <c r="M27" s="3"/>
      <c r="N27" s="3"/>
      <c r="O27" s="3"/>
      <c r="P27" s="3"/>
      <c r="Q27" s="3"/>
    </row>
    <row r="28" spans="1:23" x14ac:dyDescent="0.2">
      <c r="A28" s="92" t="s">
        <v>261</v>
      </c>
      <c r="B28" s="97">
        <f>B26+B27</f>
        <v>5844.4930297676701</v>
      </c>
      <c r="C28" s="97">
        <f t="shared" ref="C28:I28" si="6">C26+C27</f>
        <v>18144.038531194332</v>
      </c>
      <c r="D28" s="97">
        <f t="shared" si="6"/>
        <v>41236.459399132575</v>
      </c>
      <c r="E28" s="97">
        <f t="shared" si="6"/>
        <v>32099.5472877264</v>
      </c>
      <c r="F28" s="97">
        <f t="shared" si="6"/>
        <v>46855.535061376388</v>
      </c>
      <c r="G28" s="97">
        <f t="shared" si="6"/>
        <v>91776.996055156225</v>
      </c>
      <c r="H28" s="97">
        <f t="shared" si="6"/>
        <v>103798.52204163138</v>
      </c>
      <c r="I28" s="97">
        <f t="shared" si="6"/>
        <v>167224.00560485831</v>
      </c>
      <c r="J28" s="74"/>
    </row>
    <row r="29" spans="1:23" x14ac:dyDescent="0.2">
      <c r="A29" s="92" t="s">
        <v>262</v>
      </c>
      <c r="B29" s="93">
        <f>'Three Statements'!B33+'Three Statements'!B35+'Three Statements'!B34+'Three Statements'!B36+'Three Statements'!B37+'Three Statements'!B38</f>
        <v>6759</v>
      </c>
      <c r="C29" s="93">
        <f>'Three Statements'!C33+'Three Statements'!C35+'Three Statements'!C34+'Three Statements'!C36+'Three Statements'!C37+'Three Statements'!C38</f>
        <v>6947</v>
      </c>
      <c r="D29" s="93">
        <f>'Three Statements'!D33+'Three Statements'!D35+'Three Statements'!D34+'Three Statements'!D36+'Three Statements'!D37+'Three Statements'!D38</f>
        <v>8804</v>
      </c>
      <c r="E29" s="93">
        <f>'Three Statements'!E33+'Three Statements'!E35+'Three Statements'!E34+'Three Statements'!E36+'Three Statements'!E37+'Three Statements'!E38</f>
        <v>10445</v>
      </c>
      <c r="F29" s="93">
        <f>'Three Statements'!F33+'Three Statements'!F35+'Three Statements'!F34+'Three Statements'!F36+'Three Statements'!F37+'Three Statements'!F38</f>
        <v>12065</v>
      </c>
      <c r="G29" s="93">
        <f>'Three Statements'!G33+'Three Statements'!G35+'Three Statements'!G34+'Three Statements'!G36+'Three Statements'!G37+'Three Statements'!G38</f>
        <v>21039</v>
      </c>
      <c r="H29" s="93">
        <f>'Three Statements'!H33+'Three Statements'!H35+'Three Statements'!H34+'Three Statements'!H36+'Three Statements'!H37+'Three Statements'!H38</f>
        <v>22137</v>
      </c>
      <c r="I29" s="93">
        <f>'Three Statements'!I33+'Three Statements'!I35+'Three Statements'!I34+'Three Statements'!I36+'Three Statements'!I37+'Three Statements'!I38</f>
        <v>21682</v>
      </c>
    </row>
    <row r="30" spans="1:23" x14ac:dyDescent="0.2">
      <c r="A30" s="92" t="s">
        <v>263</v>
      </c>
      <c r="B30" s="93">
        <f>'Three Statements'!B39</f>
        <v>12707</v>
      </c>
      <c r="C30" s="93">
        <f>'Three Statements'!C39</f>
        <v>12258</v>
      </c>
      <c r="D30" s="93">
        <f>'Three Statements'!D39</f>
        <v>12407</v>
      </c>
      <c r="E30" s="93">
        <f>'Three Statements'!E39</f>
        <v>9812</v>
      </c>
      <c r="F30" s="93">
        <f>'Three Statements'!F39</f>
        <v>9040</v>
      </c>
      <c r="G30" s="93">
        <f>'Three Statements'!G39</f>
        <v>8055</v>
      </c>
      <c r="H30" s="93">
        <f>'Three Statements'!H39</f>
        <v>12767</v>
      </c>
      <c r="I30" s="93">
        <f>'Three Statements'!I39</f>
        <v>15281</v>
      </c>
    </row>
    <row r="31" spans="1:23" ht="16" thickBot="1" x14ac:dyDescent="0.25">
      <c r="A31" s="94" t="s">
        <v>264</v>
      </c>
      <c r="B31" s="95">
        <f>B30/'Three Statements'!B15</f>
        <v>7.1839665309814569</v>
      </c>
      <c r="C31" s="95">
        <f>C30/'Three Statements'!C15</f>
        <v>7.0347202295552371</v>
      </c>
      <c r="D31" s="95">
        <f>D30/'Three Statements'!D15</f>
        <v>7.33274231678487</v>
      </c>
      <c r="E31" s="95">
        <f>E30/'Three Statements'!E15</f>
        <v>5.9140497860285697</v>
      </c>
      <c r="F31" s="95">
        <f>F30/'Three Statements'!F15</f>
        <v>5.5857637172516066</v>
      </c>
      <c r="G31" s="95">
        <f>G30/'Three Statements'!G15</f>
        <v>5.059991205477731</v>
      </c>
      <c r="H31" s="95">
        <f>H30/'Three Statements'!H15</f>
        <v>7.9327699763887161</v>
      </c>
      <c r="I31" s="95">
        <f>I30/'Three Statements'!I15</f>
        <v>9.4865905140302953</v>
      </c>
    </row>
  </sheetData>
  <hyperlinks>
    <hyperlink ref="L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2024-02-01T07:37:28Z</dcterms:modified>
</cp:coreProperties>
</file>