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13_ncr:1_{3B88F326-D7A8-5544-AAE3-A1061BEBFC18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5" l="1"/>
  <c r="B31" i="5"/>
  <c r="B30" i="5"/>
  <c r="B29" i="5"/>
  <c r="B28" i="5"/>
  <c r="B27" i="5"/>
  <c r="B26" i="5"/>
  <c r="S17" i="5"/>
  <c r="M19" i="5"/>
  <c r="L19" i="5"/>
  <c r="N19" i="5"/>
  <c r="O19" i="5"/>
  <c r="P19" i="5"/>
  <c r="Q19" i="5"/>
  <c r="R19" i="5"/>
  <c r="S19" i="5"/>
  <c r="T19" i="5"/>
  <c r="K19" i="5"/>
  <c r="J19" i="5"/>
  <c r="L18" i="5"/>
  <c r="M18" i="5" s="1"/>
  <c r="N18" i="5" s="1"/>
  <c r="O18" i="5" s="1"/>
  <c r="P18" i="5" s="1"/>
  <c r="Q18" i="5" s="1"/>
  <c r="R18" i="5" s="1"/>
  <c r="S18" i="5" s="1"/>
  <c r="T18" i="5" s="1"/>
  <c r="K18" i="5"/>
  <c r="K16" i="5"/>
  <c r="J16" i="5"/>
  <c r="I16" i="5"/>
  <c r="K15" i="5"/>
  <c r="L15" i="5"/>
  <c r="M15" i="5"/>
  <c r="N15" i="5"/>
  <c r="N16" i="5" s="1"/>
  <c r="M16" i="5"/>
  <c r="J15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Q15" i="5" s="1"/>
  <c r="R15" i="5" s="1"/>
  <c r="B17" i="5"/>
  <c r="J17" i="5"/>
  <c r="O17" i="5"/>
  <c r="P17" i="5"/>
  <c r="L16" i="5"/>
  <c r="C17" i="5"/>
  <c r="F17" i="5"/>
  <c r="E17" i="5"/>
  <c r="C4" i="5"/>
  <c r="C7" i="5" s="1"/>
  <c r="H17" i="5"/>
  <c r="D1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M17" i="5" l="1"/>
  <c r="K17" i="5"/>
  <c r="L17" i="5"/>
  <c r="N17" i="5"/>
  <c r="Q17" i="5"/>
  <c r="C8" i="5"/>
  <c r="S15" i="5"/>
  <c r="R17" i="5"/>
  <c r="B8" i="5"/>
  <c r="B7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T15" i="5" l="1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<sst xmlns="http://schemas.openxmlformats.org/spreadsheetml/2006/main" count="583" uniqueCount="266">
  <si>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</si>
  <si>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</si>
  <si>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</si>
  <si>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</si>
  <si>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</si>
  <si>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</si>
  <si>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</si>
  <si>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</si>
  <si>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</si>
  <si>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</si>
  <si>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</si>
  <si>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</si>
  <si>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</si>
  <si>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</si>
  <si>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</si>
  <si>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</si>
  <si>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</si>
  <si>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</si>
  <si>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</si>
  <si>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</si>
  <si>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</si>
  <si>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</si>
  <si>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</si>
  <si>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</si>
  <si>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</si>
  <si>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</si>
  <si>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</si>
  <si>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</si>
  <si>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</si>
  <si>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</si>
  <si>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</si>
  <si>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</si>
  <si>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</si>
  <si>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</si>
  <si>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</si>
  <si>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</si>
  <si>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</si>
  <si>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</si>
  <si>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</si>
  <si>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</si>
  <si>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</si>
  <si>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</si>
  <si>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</si>
  <si>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</si>
  <si>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</si>
  <si>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</si>
  <si>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</si>
  <si>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</si>
  <si>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</si>
  <si>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</si>
  <si>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</si>
  <si>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</si>
  <si>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</si>
  <si>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</si>
  <si>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</si>
  <si>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</si>
  <si>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</si>
  <si>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</si>
  <si>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</si>
  <si>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</si>
  <si>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</si>
  <si>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</si>
  <si>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</si>
  <si>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</si>
  <si>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</si>
  <si>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</si>
  <si>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</si>
  <si>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</si>
  <si>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</si>
  <si>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</si>
  <si>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</si>
  <si>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</si>
  <si>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</si>
  <si>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</si>
  <si>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</si>
  <si>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</si>
  <si>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</si>
  <si>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</si>
  <si>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</si>
  <si>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</si>
  <si>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</si>
  <si>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</si>
  <si>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</si>
  <si>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</si>
  <si>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</si>
  <si>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</si>
  <si>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</si>
  <si>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</si>
  <si>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</si>
  <si>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</si>
  <si>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</si>
  <si>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</si>
  <si>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</si>
  <si>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</si>
  <si>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</si>
  <si>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</si>
  <si>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</si>
  <si>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</si>
  <si>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</si>
  <si>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</si>
  <si>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</si>
  <si>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</si>
  <si>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</si>
  <si>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</si>
  <si>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</si>
  <si>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</si>
  <si>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</si>
  <si>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</si>
  <si>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</si>
  <si>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</si>
  <si>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</si>
  <si>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</si>
  <si>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</si>
  <si>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</si>
  <si>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</si>
  <si>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</si>
  <si>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</si>
  <si>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</si>
  <si>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</si>
  <si>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</si>
  <si>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</si>
  <si>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</si>
  <si>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</si>
  <si>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</si>
  <si>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</si>
  <si>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</si>
  <si>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</si>
  <si>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</si>
  <si>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</si>
  <si>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</si>
  <si>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</si>
  <si>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</si>
  <si>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</si>
  <si>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</si>
  <si>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</si>
  <si>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</si>
  <si>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</si>
  <si>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</si>
  <si>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</si>
  <si>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</si>
  <si>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</si>
  <si>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</si>
  <si>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</si>
  <si>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</si>
  <si>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</si>
  <si>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</si>
  <si>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</si>
  <si>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</si>
  <si>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</si>
  <si>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</si>
  <si>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</si>
  <si>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</si>
  <si>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</si>
  <si>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</si>
  <si>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</si>
  <si>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</si>
  <si>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</si>
  <si>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</si>
  <si>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</si>
  <si>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</si>
  <si>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</si>
  <si>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</si>
  <si>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</si>
  <si>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</si>
  <si>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</si>
  <si>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</si>
  <si>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</si>
  <si>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</si>
  <si>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</si>
  <si>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</si>
  <si>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</si>
  <si>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</si>
  <si>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</si>
  <si>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</si>
  <si>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</si>
  <si>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</si>
  <si>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</si>
  <si>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</si>
  <si>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</si>
  <si>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</si>
  <si>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</si>
  <si>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</si>
  <si>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</si>
  <si>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</si>
  <si>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</si>
  <si>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</si>
  <si>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</si>
  <si>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</si>
  <si>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</si>
  <si>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</si>
  <si>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</si>
  <si>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</si>
  <si>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</si>
  <si>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</si>
  <si>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</si>
  <si>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</si>
  <si>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</si>
  <si>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</si>
  <si>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</si>
  <si>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</si>
  <si>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</si>
  <si>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</si>
  <si>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</si>
  <si>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</si>
  <si>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</si>
  <si>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</si>
  <si>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</si>
  <si>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</si>
  <si>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</si>
  <si>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</si>
  <si>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</si>
  <si>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</si>
  <si>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</si>
  <si>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</si>
  <si>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</si>
  <si>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</si>
  <si>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</si>
  <si>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</si>
  <si>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</si>
  <si>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</si>
  <si>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</si>
  <si>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</si>
  <si>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</si>
  <si>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</si>
  <si>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</si>
  <si>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</si>
  <si>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</si>
  <si>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</si>
  <si>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</si>
  <si>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</si>
  <si>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</si>
  <si>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</si>
  <si>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</si>
  <si>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</si>
  <si>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</si>
  <si>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</si>
  <si>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</si>
  <si>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</si>
  <si>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</si>
  <si>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</si>
  <si>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</si>
  <si>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</si>
  <si>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</si>
  <si>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</si>
  <si>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</si>
  <si>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</si>
  <si>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</si>
  <si>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</si>
  <si>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</si>
  <si>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</si>
  <si>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</si>
  <si>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</si>
  <si>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</si>
  <si>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</si>
  <si>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</si>
  <si>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</si>
  <si>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</si>
  <si>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</si>
  <si>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Use the formula highlighted in orange to calculate discounted FCFF for all other period up to terminal value</t>
  </si>
  <si>
    <t>Calculate terminal value here using Gordon's growth model formula (you can google it and also watch a YouTube tutorial on how to do this)</t>
  </si>
  <si>
    <t>Sum all the PVs caluclated in row 19 from year 2023 to 2032 in cell B26</t>
  </si>
  <si>
    <t>Add up the above two answers</t>
  </si>
  <si>
    <t>Value of firm - BV of debt from above two cells</t>
  </si>
  <si>
    <t>Value of equity from above/Three statements sheet I15</t>
  </si>
  <si>
    <t>Link the Discounted PV of terminal value calculated in Cell T19</t>
  </si>
  <si>
    <t>Link Cell I 36 from three statements sheet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</si>
</sst>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0" fontId="0" fillId="0" borderId="0" xfId="0" applyNumberFormat="1"/>
    <xf numFmtId="43" fontId="0" fillId="0" borderId="8" xfId="0" applyNumberFormat="1" applyBorder="1"/>
    <xf numFmtId="10" fontId="18" fillId="14" borderId="0" xfId="0" applyNumberFormat="1" applyFont="1" applyFill="1"/>
    <xf numFmtId="43" fontId="0" fillId="9" borderId="0" xfId="1" applyFont="1" applyFill="1"/>
    <xf numFmtId="165" fontId="0" fillId="0" borderId="0" xfId="1" applyNumberFormat="1" applyFont="1" applyFill="1"/>
    <xf numFmtId="165" fontId="0" fillId="15" borderId="0" xfId="1" applyNumberFormat="1" applyFont="1" applyFill="1"/>
    <xf numFmtId="43" fontId="0" fillId="16" borderId="0" xfId="1" applyFont="1" applyFill="1"/>
    <xf numFmtId="0" fontId="0" fillId="9" borderId="6" xfId="0" applyFill="1" applyBorder="1"/>
    <xf numFmtId="43" fontId="0" fillId="9" borderId="8" xfId="0" applyNumberFormat="1" applyFill="1" applyBorder="1"/>
    <xf numFmtId="0" fontId="0" fillId="9" borderId="8" xfId="0" applyFill="1" applyBorder="1"/>
    <xf numFmtId="0" fontId="0" fillId="9" borderId="10" xfId="0" applyFill="1" applyBorder="1"/>
    <xf numFmtId="165" fontId="0" fillId="0" borderId="0" xfId="1" applyNumberFormat="1" applyFont="1" applyFill="1" applyBorder="1"/>
    <xf numFmtId="165" fontId="0" fillId="0" borderId="6" xfId="0" applyNumberFormat="1" applyBorder="1"/>
    <xf numFmtId="43" fontId="0" fillId="0" borderId="10" xfId="0" applyNumberForma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37" sqref="I37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U31"/>
  <sheetViews>
    <sheetView tabSelected="1" topLeftCell="J1" workbookViewId="0">
      <selection activeCell="T17" sqref="T17"/>
    </sheetView>
  </sheetViews>
  <sheetFormatPr baseColWidth="10" defaultColWidth="11.5" defaultRowHeight="15" x14ac:dyDescent="0.2"/>
  <cols>
    <col min="9" max="9" width="11.6640625" bestFit="1" customWidth="1"/>
    <col min="20" max="20" width="13.6640625" bestFit="1" customWidth="1"/>
    <col min="21" max="21" width="28.83203125" customWidth="1"/>
  </cols>
  <sheetData>
    <row r="1" spans="1:20" ht="112" x14ac:dyDescent="0.2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0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0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0" x14ac:dyDescent="0.2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0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0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0" x14ac:dyDescent="0.2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0" x14ac:dyDescent="0.2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0" x14ac:dyDescent="0.2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0" x14ac:dyDescent="0.2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0" x14ac:dyDescent="0.2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0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16851.778180802001</v>
      </c>
    </row>
    <row r="16" spans="1:20" x14ac:dyDescent="0.2">
      <c r="A16" s="83" t="s">
        <v>129</v>
      </c>
      <c r="B16" s="84">
        <v>0</v>
      </c>
      <c r="C16" s="84">
        <f t="shared" ref="C16:H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2">
        <v>0.08</v>
      </c>
      <c r="Q16" s="92">
        <v>0.08</v>
      </c>
      <c r="R16" s="92">
        <v>0.08</v>
      </c>
      <c r="S16" s="92">
        <v>0.08</v>
      </c>
      <c r="T16" s="92">
        <v>0.08</v>
      </c>
    </row>
    <row r="17" spans="1:21" x14ac:dyDescent="0.2">
      <c r="A17" t="s">
        <v>244</v>
      </c>
      <c r="B17" s="90">
        <f>(B19/(1-B23))+(B22/B23)</f>
        <v>1.5922681321719245</v>
      </c>
      <c r="C17" s="90">
        <f t="shared" ref="C17:I17" si="8">(C19/(1-C23))+(C22/C23)</f>
        <v>0.93632818176775057</v>
      </c>
      <c r="D17" s="90">
        <f t="shared" si="8"/>
        <v>0.43251931095007518</v>
      </c>
      <c r="E17" s="90">
        <f t="shared" si="8"/>
        <v>0.78637734438252571</v>
      </c>
      <c r="F17" s="90">
        <f t="shared" si="8"/>
        <v>0.51137182320286334</v>
      </c>
      <c r="G17" s="90">
        <f t="shared" si="8"/>
        <v>0.16252742022946232</v>
      </c>
      <c r="H17" s="90">
        <f t="shared" si="8"/>
        <v>0.48268985640818585</v>
      </c>
      <c r="I17" s="90">
        <f t="shared" si="8"/>
        <v>0.2231417682051248</v>
      </c>
      <c r="J17" s="93">
        <f>J15/(1+I17)</f>
        <v>6252.9503266557049</v>
      </c>
      <c r="K17" s="93">
        <f>K15/(1+I17)</f>
        <v>6468.9247412189297</v>
      </c>
      <c r="L17" s="93">
        <f>L15/(1+I17)</f>
        <v>7085.686012208309</v>
      </c>
      <c r="M17" s="93">
        <f>M15/(1+I17)</f>
        <v>7816.4809833473382</v>
      </c>
      <c r="N17" s="93">
        <f>N15/(1+I17)</f>
        <v>8682.1323942654544</v>
      </c>
      <c r="O17" s="93">
        <f>O15/(1+I17)</f>
        <v>9376.702985806689</v>
      </c>
      <c r="P17" s="93">
        <f>P15/(1+I17)</f>
        <v>10126.839224671225</v>
      </c>
      <c r="Q17" s="93">
        <f>Q15/(1+I17)</f>
        <v>10936.986362644924</v>
      </c>
      <c r="R17" s="93">
        <f>R15/(1+I17)</f>
        <v>11811.945271656517</v>
      </c>
      <c r="S17" s="93">
        <f>S15/(1+I17)</f>
        <v>12756.90089338904</v>
      </c>
      <c r="T17" s="96">
        <f>T15/(T19-T16)</f>
        <v>9.1677690908969502</v>
      </c>
      <c r="U17" t="s">
        <v>259</v>
      </c>
    </row>
    <row r="18" spans="1:21" x14ac:dyDescent="0.2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>
        <v>1</v>
      </c>
      <c r="K18">
        <f>+J18+1</f>
        <v>2</v>
      </c>
      <c r="L18">
        <f t="shared" ref="L18:T18" si="9">+K18+1</f>
        <v>3</v>
      </c>
      <c r="M18">
        <f t="shared" si="9"/>
        <v>4</v>
      </c>
      <c r="N18">
        <f t="shared" si="9"/>
        <v>5</v>
      </c>
      <c r="O18">
        <f t="shared" si="9"/>
        <v>6</v>
      </c>
      <c r="P18">
        <f t="shared" si="9"/>
        <v>7</v>
      </c>
      <c r="Q18">
        <f t="shared" si="9"/>
        <v>8</v>
      </c>
      <c r="R18">
        <f t="shared" si="9"/>
        <v>9</v>
      </c>
      <c r="S18">
        <f t="shared" si="9"/>
        <v>10</v>
      </c>
      <c r="T18">
        <f t="shared" si="9"/>
        <v>11</v>
      </c>
    </row>
    <row r="19" spans="1:21" x14ac:dyDescent="0.2">
      <c r="A19" s="2" t="s">
        <v>246</v>
      </c>
      <c r="B19" s="85">
        <f>(B20+B18)*(B21-B20)</f>
        <v>-1.5107820000000003E-2</v>
      </c>
      <c r="C19" s="85">
        <f t="shared" ref="C19:I19" si="10">(C20+C18)*(C21-C20)</f>
        <v>4.6828320000000007E-2</v>
      </c>
      <c r="D19" s="85">
        <f t="shared" si="10"/>
        <v>7.568902000000001E-2</v>
      </c>
      <c r="E19" s="85">
        <f t="shared" si="10"/>
        <v>-6.6915450000000001E-2</v>
      </c>
      <c r="F19" s="85">
        <f t="shared" si="10"/>
        <v>0.20271961999999999</v>
      </c>
      <c r="G19" s="85">
        <f t="shared" si="10"/>
        <v>6.0811199999999989E-2</v>
      </c>
      <c r="H19" s="85">
        <f t="shared" si="10"/>
        <v>0.22061504999999998</v>
      </c>
      <c r="I19" s="85">
        <f t="shared" si="10"/>
        <v>9.3094559999999979E-2</v>
      </c>
      <c r="J19" s="94">
        <f>J15/((1+$I$17)^J18)</f>
        <v>6252.9503266557049</v>
      </c>
      <c r="K19" s="95">
        <f>K15/((1+$I$17)^K18)</f>
        <v>5288.7775639545243</v>
      </c>
      <c r="L19" s="95">
        <f>L15/((1+$I$17)^L18)</f>
        <v>4736.181203281938</v>
      </c>
      <c r="M19" s="95">
        <f>M15/((1+$I$17)^M18)</f>
        <v>4271.5046660655826</v>
      </c>
      <c r="N19" s="95">
        <f t="shared" ref="L19:T19" si="11">N15/((1+$I$17)^N18)</f>
        <v>3878.9949729388886</v>
      </c>
      <c r="O19" s="95">
        <f t="shared" si="11"/>
        <v>3425.0441605976112</v>
      </c>
      <c r="P19" s="95">
        <f t="shared" si="11"/>
        <v>3024.21827918894</v>
      </c>
      <c r="Q19" s="95">
        <f t="shared" si="11"/>
        <v>2670.3002271902719</v>
      </c>
      <c r="R19" s="95">
        <f t="shared" si="11"/>
        <v>2357.800477697243</v>
      </c>
      <c r="S19" s="95">
        <f t="shared" si="11"/>
        <v>2081.871931860951</v>
      </c>
      <c r="T19" s="95">
        <f t="shared" si="11"/>
        <v>1838.234736852482</v>
      </c>
      <c r="U19" t="s">
        <v>258</v>
      </c>
    </row>
    <row r="20" spans="1:21" x14ac:dyDescent="0.2">
      <c r="A20" s="2" t="s">
        <v>247</v>
      </c>
      <c r="B20" s="85">
        <v>2.3E-2</v>
      </c>
      <c r="C20" s="90">
        <v>2.5999999999999999E-2</v>
      </c>
      <c r="D20" s="90">
        <v>2.35E-2</v>
      </c>
      <c r="E20" s="90">
        <v>2.86E-2</v>
      </c>
      <c r="F20" s="90">
        <v>1.89E-2</v>
      </c>
      <c r="G20" s="90">
        <v>9.1999999999999998E-2</v>
      </c>
      <c r="H20" s="90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1" x14ac:dyDescent="0.2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90">
        <v>0.30430000000000001</v>
      </c>
      <c r="G21" s="90">
        <v>0.15759999999999999</v>
      </c>
      <c r="H21" s="90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1" x14ac:dyDescent="0.2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1" x14ac:dyDescent="0.2">
      <c r="A23" s="2" t="s">
        <v>250</v>
      </c>
      <c r="B23" s="85">
        <f>B10</f>
        <v>7.826780792107936E-2</v>
      </c>
      <c r="C23" s="85">
        <f t="shared" ref="C23:I23" si="12">C10</f>
        <v>0.14087468460891506</v>
      </c>
      <c r="D23" s="85">
        <f t="shared" si="12"/>
        <v>0.21860435823151531</v>
      </c>
      <c r="E23" s="85">
        <f t="shared" si="12"/>
        <v>0.261144578313253</v>
      </c>
      <c r="F23" s="85">
        <f t="shared" si="12"/>
        <v>0.27703134996801021</v>
      </c>
      <c r="G23" s="85">
        <f t="shared" si="12"/>
        <v>0.53868621499341385</v>
      </c>
      <c r="H23" s="85">
        <f t="shared" si="12"/>
        <v>0.42439134355275021</v>
      </c>
      <c r="I23" s="85">
        <f t="shared" si="12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1" x14ac:dyDescent="0.2">
      <c r="A24" t="s">
        <v>251</v>
      </c>
      <c r="J24" s="3"/>
      <c r="K24" s="3"/>
      <c r="L24" s="3"/>
      <c r="M24" s="3"/>
      <c r="N24" s="3"/>
    </row>
    <row r="25" spans="1:21" ht="16" thickBot="1" x14ac:dyDescent="0.25">
      <c r="J25" s="3"/>
      <c r="K25" s="3"/>
      <c r="L25" s="3"/>
      <c r="M25" s="3"/>
      <c r="N25" s="3"/>
    </row>
    <row r="26" spans="1:21" x14ac:dyDescent="0.2">
      <c r="A26" s="86" t="s">
        <v>252</v>
      </c>
      <c r="B26" s="102">
        <f>J19+K19+L19+M19+N19+O19+P19+Q19+R19+S19</f>
        <v>37987.643809431662</v>
      </c>
      <c r="C26" s="97"/>
      <c r="D26" s="97"/>
      <c r="E26" s="97"/>
      <c r="F26" s="97"/>
      <c r="G26" s="97"/>
      <c r="H26" s="97"/>
      <c r="I26" s="97"/>
      <c r="J26" s="3"/>
      <c r="K26" s="3" t="s">
        <v>260</v>
      </c>
      <c r="L26" s="3"/>
      <c r="M26" s="3"/>
      <c r="N26" s="3"/>
    </row>
    <row r="27" spans="1:21" x14ac:dyDescent="0.2">
      <c r="A27" s="87" t="s">
        <v>253</v>
      </c>
      <c r="B27" s="91">
        <f>T19</f>
        <v>1838.234736852482</v>
      </c>
      <c r="C27" s="98"/>
      <c r="D27" s="98"/>
      <c r="E27" s="98"/>
      <c r="F27" s="98"/>
      <c r="G27" s="98"/>
      <c r="H27" s="98"/>
      <c r="I27" s="98"/>
      <c r="J27" s="3" t="s">
        <v>264</v>
      </c>
      <c r="K27" s="3"/>
      <c r="L27" s="3"/>
      <c r="M27" s="3"/>
      <c r="N27" s="3"/>
    </row>
    <row r="28" spans="1:21" x14ac:dyDescent="0.2">
      <c r="A28" s="87" t="s">
        <v>254</v>
      </c>
      <c r="B28" s="91">
        <f>B26+B27</f>
        <v>39825.878546284141</v>
      </c>
      <c r="C28" s="98"/>
      <c r="D28" s="98"/>
      <c r="E28" s="98"/>
      <c r="F28" s="98"/>
      <c r="G28" s="98"/>
      <c r="H28" s="98"/>
      <c r="I28" s="98"/>
      <c r="J28" t="s">
        <v>261</v>
      </c>
    </row>
    <row r="29" spans="1:21" x14ac:dyDescent="0.2">
      <c r="A29" s="87" t="s">
        <v>255</v>
      </c>
      <c r="B29" s="88">
        <f>'Three Statements'!I36</f>
        <v>8920</v>
      </c>
      <c r="C29" s="99"/>
      <c r="D29" s="99"/>
      <c r="E29" s="99"/>
      <c r="F29" s="99"/>
      <c r="G29" s="99"/>
      <c r="H29" s="99"/>
      <c r="I29" s="99"/>
      <c r="J29" s="101" t="s">
        <v>265</v>
      </c>
    </row>
    <row r="30" spans="1:21" x14ac:dyDescent="0.2">
      <c r="A30" s="87" t="s">
        <v>256</v>
      </c>
      <c r="B30" s="91">
        <f>B28-B29</f>
        <v>30905.878546284141</v>
      </c>
      <c r="C30" s="99"/>
      <c r="D30" s="99"/>
      <c r="E30" s="99"/>
      <c r="F30" s="99"/>
      <c r="G30" s="99"/>
      <c r="H30" s="99"/>
      <c r="I30" s="99"/>
      <c r="J30" s="101" t="s">
        <v>262</v>
      </c>
    </row>
    <row r="31" spans="1:21" ht="16" thickBot="1" x14ac:dyDescent="0.25">
      <c r="A31" s="89" t="s">
        <v>257</v>
      </c>
      <c r="B31" s="103">
        <f>B30/'Three Statements'!I15</f>
        <v>19.186664108693904</v>
      </c>
      <c r="C31" s="100"/>
      <c r="D31" s="100"/>
      <c r="E31" s="100"/>
      <c r="F31" s="100"/>
      <c r="G31" s="100"/>
      <c r="H31" s="100"/>
      <c r="I31" s="100"/>
      <c r="J31" s="10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2024-02-06T00:54:02Z</dcterms:modified>
</cp:coreProperties>
</file>