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1383A6DF-121B-4DFA-89E8-7232477DB0B0}" xr6:coauthVersionLast="47" xr6:coauthVersionMax="47" xr10:uidLastSave="{00000000-0000-0000-0000-000000000000}"/>
  <bookViews>
    <workbookView xWindow="-108" yWindow="-108" windowWidth="23256" windowHeight="13896" activeTab="1"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1" i="1" l="1"/>
  <c r="D211" i="1"/>
  <c r="C211" i="1"/>
  <c r="C3" i="3"/>
  <c r="D3" i="3"/>
  <c r="E3" i="3"/>
  <c r="A5" i="3"/>
  <c r="A6" i="3" s="1"/>
  <c r="A7" i="3" s="1"/>
  <c r="A8" i="3" s="1"/>
  <c r="A9" i="3" s="1"/>
  <c r="A10" i="3" s="1"/>
  <c r="A11" i="3" s="1"/>
  <c r="A12" i="3" s="1"/>
  <c r="A13" i="3" s="1"/>
  <c r="A16" i="3"/>
  <c r="A17" i="3" s="1"/>
  <c r="A18" i="3" s="1"/>
  <c r="A20" i="3" s="1"/>
  <c r="A22" i="3" s="1"/>
  <c r="A24" i="3"/>
  <c r="A25" i="3" s="1"/>
  <c r="A26" i="3" s="1"/>
  <c r="A27" i="3" s="1"/>
  <c r="A28" i="3" s="1"/>
  <c r="A29" i="3" s="1"/>
  <c r="A30" i="3" s="1"/>
  <c r="A47" i="3"/>
  <c r="A49" i="3"/>
  <c r="E205" i="1"/>
  <c r="D205" i="1"/>
  <c r="C205" i="1"/>
  <c r="E206" i="1"/>
  <c r="D206" i="1"/>
  <c r="C206" i="1"/>
  <c r="I203" i="1"/>
  <c r="H203" i="1"/>
  <c r="G203" i="1"/>
  <c r="E185" i="1"/>
  <c r="D185" i="1"/>
  <c r="C185" i="1"/>
  <c r="E186" i="1"/>
  <c r="D186" i="1"/>
  <c r="C186" i="1"/>
  <c r="I177" i="1"/>
  <c r="H177" i="1"/>
  <c r="G177" i="1"/>
  <c r="E190" i="1"/>
  <c r="D190" i="1"/>
  <c r="C190" i="1"/>
  <c r="E223" i="1"/>
  <c r="D223" i="1"/>
  <c r="C223" i="1"/>
  <c r="E222" i="1"/>
  <c r="D222" i="1"/>
  <c r="C222" i="1"/>
  <c r="E220" i="1"/>
  <c r="D220" i="1"/>
  <c r="C220" i="1"/>
  <c r="E219" i="1"/>
  <c r="D219" i="1"/>
  <c r="C219" i="1"/>
  <c r="E216" i="1"/>
  <c r="D216" i="1"/>
  <c r="C216" i="1"/>
  <c r="E215" i="1"/>
  <c r="D215" i="1"/>
  <c r="C215" i="1"/>
  <c r="E210" i="1"/>
  <c r="D210" i="1"/>
  <c r="C210" i="1"/>
  <c r="C168" i="1"/>
  <c r="E187" i="1"/>
  <c r="C187" i="1"/>
  <c r="D187" i="1"/>
  <c r="E201" i="1"/>
  <c r="D201" i="1"/>
  <c r="C201" i="1"/>
  <c r="F76" i="1"/>
  <c r="E199" i="1"/>
  <c r="D199" i="1"/>
  <c r="C199" i="1"/>
  <c r="E196" i="1"/>
  <c r="D196" i="1"/>
  <c r="C196" i="1"/>
  <c r="E200" i="1"/>
  <c r="D200" i="1"/>
  <c r="C200" i="1"/>
  <c r="D195" i="1"/>
  <c r="E195" i="1"/>
  <c r="E197" i="1"/>
  <c r="D197" i="1"/>
  <c r="C197" i="1"/>
  <c r="C195" i="1"/>
  <c r="A202" i="1"/>
  <c r="A204" i="1" s="1"/>
  <c r="A171" i="1"/>
  <c r="A172" i="1" s="1"/>
  <c r="A173" i="1" s="1"/>
  <c r="A175" i="1" s="1"/>
  <c r="A177" i="1" s="1"/>
  <c r="A160" i="1"/>
  <c r="A161" i="1" s="1"/>
  <c r="A162" i="1" s="1"/>
  <c r="A163" i="1" s="1"/>
  <c r="A164" i="1" s="1"/>
  <c r="A165" i="1" s="1"/>
  <c r="A166" i="1" s="1"/>
  <c r="A167" i="1" s="1"/>
  <c r="A168" i="1" s="1"/>
  <c r="D108" i="1"/>
  <c r="C108" i="1"/>
  <c r="B108" i="1"/>
  <c r="D99" i="1"/>
  <c r="C99" i="1"/>
  <c r="B99" i="1"/>
  <c r="A33" i="3" l="1"/>
  <c r="A179" i="1"/>
  <c r="D68" i="1"/>
  <c r="E182" i="1" s="1"/>
  <c r="C68" i="1"/>
  <c r="D182" i="1" s="1"/>
  <c r="B68" i="1"/>
  <c r="C182" i="1" s="1"/>
  <c r="D61" i="1"/>
  <c r="C61" i="1"/>
  <c r="B61" i="1"/>
  <c r="D56" i="1"/>
  <c r="C56" i="1"/>
  <c r="D162" i="1" s="1"/>
  <c r="B56" i="1"/>
  <c r="D47" i="1"/>
  <c r="C47" i="1"/>
  <c r="B47" i="1"/>
  <c r="D42" i="1"/>
  <c r="C42" i="1"/>
  <c r="B42" i="1"/>
  <c r="D17" i="1"/>
  <c r="C17" i="1"/>
  <c r="B17" i="1"/>
  <c r="D12" i="1"/>
  <c r="C12" i="1"/>
  <c r="B12" i="1"/>
  <c r="D8" i="1"/>
  <c r="C8" i="1"/>
  <c r="B8" i="1"/>
  <c r="D33" i="1"/>
  <c r="D73" i="1" s="1"/>
  <c r="C33" i="1"/>
  <c r="C73" i="1" s="1"/>
  <c r="B33" i="1"/>
  <c r="B73" i="1" s="1"/>
  <c r="A39" i="3" l="1"/>
  <c r="A40" i="3" s="1"/>
  <c r="A41" i="3" s="1"/>
  <c r="A42" i="3" s="1"/>
  <c r="A43" i="3" s="1"/>
  <c r="A44" i="3" s="1"/>
  <c r="A46" i="3" s="1"/>
  <c r="A48" i="3" s="1"/>
  <c r="A50" i="3" s="1"/>
  <c r="A34" i="3"/>
  <c r="A35" i="3" s="1"/>
  <c r="A36" i="3" s="1"/>
  <c r="A37" i="3" s="1"/>
  <c r="C164" i="1"/>
  <c r="C165" i="1"/>
  <c r="C191" i="1"/>
  <c r="E169" i="1"/>
  <c r="E163" i="1"/>
  <c r="E161" i="1"/>
  <c r="E160" i="1"/>
  <c r="D164" i="1"/>
  <c r="D165" i="1"/>
  <c r="D191" i="1"/>
  <c r="D13" i="1"/>
  <c r="E168" i="1"/>
  <c r="E189" i="1"/>
  <c r="E166" i="1"/>
  <c r="E172" i="1"/>
  <c r="E176" i="1"/>
  <c r="D161" i="1"/>
  <c r="D160" i="1"/>
  <c r="D169" i="1"/>
  <c r="D168" i="1" s="1"/>
  <c r="D163" i="1"/>
  <c r="E164" i="1"/>
  <c r="E165" i="1"/>
  <c r="E191" i="1"/>
  <c r="C172" i="1"/>
  <c r="C176" i="1"/>
  <c r="C166" i="1"/>
  <c r="C162" i="1"/>
  <c r="D176" i="1"/>
  <c r="D166" i="1"/>
  <c r="D172" i="1"/>
  <c r="C161" i="1"/>
  <c r="C160" i="1"/>
  <c r="C169" i="1"/>
  <c r="C163" i="1"/>
  <c r="E162" i="1"/>
  <c r="A180" i="1"/>
  <c r="A181" i="1" s="1"/>
  <c r="A182" i="1" s="1"/>
  <c r="A183" i="1" s="1"/>
  <c r="A184" i="1" s="1"/>
  <c r="A185" i="1" s="1"/>
  <c r="A188" i="1"/>
  <c r="B48" i="1"/>
  <c r="C189" i="1" s="1"/>
  <c r="D18" i="1"/>
  <c r="C62" i="1"/>
  <c r="B13" i="1"/>
  <c r="B18" i="1" s="1"/>
  <c r="C13" i="1"/>
  <c r="C18" i="1" s="1"/>
  <c r="B62" i="1"/>
  <c r="C48" i="1"/>
  <c r="D189" i="1" s="1"/>
  <c r="D62" i="1"/>
  <c r="D48" i="1"/>
  <c r="B20" i="1" l="1"/>
  <c r="B22" i="1" s="1"/>
  <c r="C174" i="1"/>
  <c r="C173" i="1" s="1"/>
  <c r="D20" i="1"/>
  <c r="D22" i="1" s="1"/>
  <c r="E174" i="1"/>
  <c r="E173" i="1" s="1"/>
  <c r="D183" i="1"/>
  <c r="D175" i="1"/>
  <c r="D203" i="1"/>
  <c r="E167" i="1"/>
  <c r="D69" i="1"/>
  <c r="E180" i="1"/>
  <c r="E181" i="1"/>
  <c r="C20" i="1"/>
  <c r="C22" i="1" s="1"/>
  <c r="D174" i="1"/>
  <c r="D173" i="1" s="1"/>
  <c r="A189" i="1"/>
  <c r="A190" i="1" s="1"/>
  <c r="A191" i="1" s="1"/>
  <c r="A192" i="1" s="1"/>
  <c r="A194" i="1"/>
  <c r="A195" i="1" s="1"/>
  <c r="A196" i="1" s="1"/>
  <c r="A197" i="1" s="1"/>
  <c r="A198" i="1" s="1"/>
  <c r="A199" i="1" s="1"/>
  <c r="A201" i="1" s="1"/>
  <c r="A203" i="1" s="1"/>
  <c r="A205" i="1" s="1"/>
  <c r="C203" i="1"/>
  <c r="C175" i="1"/>
  <c r="C183" i="1"/>
  <c r="C167" i="1"/>
  <c r="B69" i="1"/>
  <c r="C181" i="1"/>
  <c r="C180" i="1"/>
  <c r="C69" i="1"/>
  <c r="D181" i="1"/>
  <c r="D180" i="1"/>
  <c r="E183" i="1"/>
  <c r="E175" i="1"/>
  <c r="E203" i="1"/>
  <c r="D167" i="1"/>
  <c r="D76" i="1" l="1"/>
  <c r="E202" i="1"/>
  <c r="E177" i="1"/>
  <c r="E192" i="1"/>
  <c r="E184" i="1"/>
  <c r="C76" i="1"/>
  <c r="D202" i="1"/>
  <c r="D192" i="1"/>
  <c r="D177" i="1"/>
  <c r="D184" i="1"/>
  <c r="B76" i="1"/>
  <c r="C184" i="1"/>
  <c r="C177" i="1"/>
  <c r="C192" i="1"/>
  <c r="C202" i="1"/>
  <c r="C91" i="1" l="1"/>
  <c r="C109" i="1" s="1"/>
  <c r="D204" i="1"/>
  <c r="B91" i="1"/>
  <c r="B109" i="1" s="1"/>
  <c r="C204" i="1"/>
  <c r="D91" i="1"/>
  <c r="D109" i="1" s="1"/>
  <c r="E204" i="1"/>
</calcChain>
</file>

<file path=xl/sharedStrings.xml><?xml version="1.0" encoding="utf-8"?>
<sst xmlns="http://schemas.openxmlformats.org/spreadsheetml/2006/main" count="258" uniqueCount="182">
  <si>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</si>
  <si>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</si>
  <si>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</si>
  <si>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</si>
  <si>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</si>
  <si>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</si>
  <si>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</si>
  <si>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</si>
  <si>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</si>
  <si>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</si>
  <si>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</si>
  <si>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</si>
  <si>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</si>
  <si>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</si>
  <si>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</si>
  <si>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</si>
  <si>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</si>
  <si>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</si>
  <si>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</si>
  <si>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</si>
  <si>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</si>
  <si>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</si>
  <si>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</si>
  <si>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</si>
  <si>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</si>
  <si>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</si>
  <si>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</si>
  <si>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</si>
  <si>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</si>
  <si>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</si>
  <si>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</si>
  <si>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</si>
  <si>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</si>
  <si>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</si>
  <si>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</si>
  <si>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</si>
  <si>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</si>
  <si>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</si>
  <si>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</si>
  <si>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</si>
  <si>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</si>
  <si>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</si>
  <si>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</si>
  <si>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</si>
  <si>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</si>
  <si>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</si>
  <si>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</si>
  <si>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</si>
  <si>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</si>
  <si>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</si>
  <si>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</si>
  <si>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</si>
  <si>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</si>
  <si>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</si>
  <si>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</si>
  <si>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</si>
  <si>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</si>
  <si>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</si>
  <si>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</si>
  <si>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</si>
  <si>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</si>
  <si>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</si>
  <si>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</si>
  <si>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</si>
  <si>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</si>
  <si>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</si>
  <si>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</si>
  <si>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</si>
  <si>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</si>
  <si>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</si>
  <si>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</si>
  <si>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</si>
  <si>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</si>
  <si>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</si>
  <si>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</si>
  <si>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</si>
  <si>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</si>
  <si>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</si>
  <si>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</si>
  <si>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</si>
  <si>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</si>
  <si>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</si>
  <si>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</si>
  <si>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</si>
  <si>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</si>
  <si>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</si>
  <si>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</si>
  <si>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</si>
  <si>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</si>
  <si>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</si>
  <si>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</si>
  <si>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</si>
  <si>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</si>
  <si>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</si>
  <si>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</si>
  <si>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</si>
  <si>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</si>
  <si>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</si>
  <si>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</si>
  <si>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</si>
  <si>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</si>
  <si>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</si>
  <si>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</si>
  <si>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</si>
  <si>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</si>
  <si>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</si>
  <si>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</si>
  <si>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</si>
  <si>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</si>
  <si>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</si>
  <si>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</si>
  <si>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</si>
  <si>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</si>
  <si>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</si>
  <si>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</si>
  <si>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</si>
  <si>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</si>
  <si>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</si>
  <si>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</si>
  <si>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</si>
  <si>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</si>
  <si>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</si>
  <si>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</si>
  <si>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</si>
  <si>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</si>
  <si>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</si>
  <si>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</si>
  <si>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</si>
  <si>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</si>
  <si>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</si>
  <si>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</si>
  <si>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</si>
  <si>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</si>
  <si>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</si>
  <si>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</si>
  <si>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</si>
  <si>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</si>
  <si>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</si>
  <si>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</si>
  <si>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</si>
  <si>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</si>
  <si>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</si>
  <si>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</si>
  <si>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</si>
  <si>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</si>
  <si>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</si>
  <si>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</si>
  <si>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</si>
  <si>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</si>
  <si>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</si>
  <si>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Inventory days (DIO)</t>
  </si>
  <si>
    <t>Receivable Days (DSO)</t>
  </si>
  <si>
    <t>Payable Days (DPO)</t>
  </si>
  <si>
    <t>Capex</t>
  </si>
  <si>
    <t>capex as % of sales</t>
  </si>
  <si>
    <t>margins as a % of net sales</t>
  </si>
  <si>
    <t>cogs</t>
  </si>
  <si>
    <t>gross profit</t>
  </si>
  <si>
    <t>operating income</t>
  </si>
  <si>
    <t>each operating expense:</t>
  </si>
  <si>
    <t>research and development</t>
  </si>
  <si>
    <t>selling, general</t>
  </si>
  <si>
    <t>net income</t>
  </si>
  <si>
    <t>net debt 2022</t>
  </si>
  <si>
    <t>market cap 2022</t>
  </si>
  <si>
    <t>capex as a % of fixed assets</t>
  </si>
  <si>
    <t>Current Assets / Daily Operational Expenses where Daily Operational Expenses = (Annual Operating Expenses - Noncash Charges) / 365</t>
  </si>
  <si>
    <t>Remove multiplication by 100 and use the % formatting instead</t>
  </si>
  <si>
    <t>For the numerator include only term debt (under non-current liabilities), since differed revenue is not an actual form of capital</t>
  </si>
  <si>
    <t>Long-term Debt / (Long-term Debt + Shareholders' Equity)</t>
  </si>
  <si>
    <t>Capex can be found in cash flow statement</t>
  </si>
  <si>
    <t>FCFE/Diluted number of shares. Diluted number of shares can be found at the bottom of income statement. Note that the three statements are reported in millions while the share count is reported in absolute number, so divide share count by 1000 within brackets</t>
  </si>
  <si>
    <t>EPS/Share price</t>
  </si>
  <si>
    <t>Bvper share/Share price</t>
  </si>
  <si>
    <t>Total shareholder equity/Diluted number of shares. Diluted number of shares can be found at the bottom of income statement. Note that the three statements are reported in millions while the share count is reported in absolute number, so divide share count by 1000 within brackets</t>
  </si>
  <si>
    <t>Dividends paid/Diluted number of shares. Diluted number of shares can be found at the bottom of income statement. Note that the three statements are reported in millions while the share count is reported in absolute number, so divide share count by 1000 within brackets. Link dividends paid with - sign to make the negative number positive</t>
  </si>
  <si>
    <t>EBIT / (Term debt + total equity)</t>
  </si>
  <si>
    <t>Net income/Total Assets</t>
  </si>
  <si>
    <t>Market Cap + Total Debt - (Cash + Cash Equivalents), Where market cap=Share price* (diluted number of shares/1000)</t>
  </si>
  <si>
    <t>Capex can be found in cash flow statement, link it with - sign to make the negative figure positive</t>
  </si>
  <si>
    <t>Please calculate the growth rates mentioned in the instructions sheet</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</si>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</sst>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000000"/>
      <name val="Calibri"/>
      <family val="2"/>
      <charset val="1"/>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39997558519241921"/>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8" fillId="0" borderId="0"/>
  </cellStyleXfs>
  <cellXfs count="34">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5" fontId="0" fillId="0" borderId="0" xfId="0" applyNumberFormat="1"/>
    <xf numFmtId="165" fontId="2" fillId="5" borderId="1" xfId="1" applyNumberFormat="1" applyFont="1" applyFill="1" applyBorder="1"/>
    <xf numFmtId="0" fontId="0" fillId="5" borderId="0" xfId="0" applyFill="1" applyAlignment="1">
      <alignment horizontal="left" indent="1"/>
    </xf>
    <xf numFmtId="164" fontId="0" fillId="0" borderId="0" xfId="0" applyNumberFormat="1"/>
    <xf numFmtId="165" fontId="2" fillId="6" borderId="1" xfId="1" applyNumberFormat="1" applyFont="1" applyFill="1" applyBorder="1"/>
    <xf numFmtId="0" fontId="0" fillId="7" borderId="0" xfId="0" applyFill="1" applyAlignment="1">
      <alignment horizontal="left" indent="1"/>
    </xf>
    <xf numFmtId="0" fontId="0" fillId="8" borderId="0" xfId="0" applyFill="1" applyAlignment="1">
      <alignment horizontal="left" indent="2"/>
    </xf>
    <xf numFmtId="0" fontId="2" fillId="0" borderId="0" xfId="0" applyFont="1" applyAlignment="1">
      <alignment horizontal="center"/>
    </xf>
    <xf numFmtId="0" fontId="2" fillId="3" borderId="0" xfId="0" applyFont="1" applyFill="1" applyAlignment="1">
      <alignment horizontal="center"/>
    </xf>
    <xf numFmtId="164" fontId="0" fillId="0" borderId="0" xfId="1" applyFont="1"/>
    <xf numFmtId="0" fontId="8" fillId="0" borderId="0" xfId="3"/>
  </cellXfs>
  <cellStyles count="4">
    <cellStyle name="Comma" xfId="1" builtinId="3"/>
    <cellStyle name="Hyperlink" xfId="2" builtinId="8"/>
    <cellStyle name="Normal" xfId="0" builtinId="0"/>
    <cellStyle name="Normal 2" xfId="3" xr:uid="{2D5F8F40-9366-4516-A204-A0949A076A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3" zoomScale="105" workbookViewId="0">
      <selection activeCell="A36" sqref="A36"/>
    </sheetView>
  </sheetViews>
  <sheetFormatPr defaultColWidth="8.77734375" defaultRowHeight="14.4" x14ac:dyDescent="0.3"/>
  <cols>
    <col min="1" max="1" width="104.4414062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25" t="s">
        <v>146</v>
      </c>
    </row>
    <row r="16" spans="1:1" x14ac:dyDescent="0.3">
      <c r="A16" s="25" t="s">
        <v>89</v>
      </c>
    </row>
    <row r="17" spans="1:1" x14ac:dyDescent="0.3">
      <c r="A17" s="25" t="s">
        <v>90</v>
      </c>
    </row>
    <row r="18" spans="1:1" x14ac:dyDescent="0.3">
      <c r="A18" s="25" t="s">
        <v>14</v>
      </c>
    </row>
    <row r="19" spans="1:1" x14ac:dyDescent="0.3">
      <c r="A19" s="25" t="s">
        <v>93</v>
      </c>
    </row>
    <row r="20" spans="1:1" x14ac:dyDescent="0.3">
      <c r="A20" s="1"/>
    </row>
    <row r="21" spans="1:1" x14ac:dyDescent="0.3">
      <c r="A21" s="17" t="s">
        <v>98</v>
      </c>
    </row>
    <row r="22" spans="1:1" x14ac:dyDescent="0.3">
      <c r="A22" s="1" t="s">
        <v>94</v>
      </c>
    </row>
    <row r="23" spans="1:1" x14ac:dyDescent="0.3">
      <c r="A23" s="25"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5"/>
  <sheetViews>
    <sheetView tabSelected="1" zoomScaleNormal="100" workbookViewId="0">
      <selection activeCell="F2" sqref="F2"/>
    </sheetView>
  </sheetViews>
  <sheetFormatPr defaultColWidth="8.77734375" defaultRowHeight="14.4" x14ac:dyDescent="0.3"/>
  <cols>
    <col min="1" max="1" width="51.6640625" customWidth="1"/>
    <col min="2" max="2" width="31" customWidth="1"/>
    <col min="3" max="3" width="21.109375" customWidth="1"/>
    <col min="4" max="4" width="15.6640625" customWidth="1"/>
    <col min="5" max="5" width="19.77734375" customWidth="1"/>
    <col min="6" max="6" width="28.44140625" customWidth="1"/>
    <col min="7" max="7" width="14.44140625" customWidth="1"/>
    <col min="8" max="8" width="12.44140625" customWidth="1"/>
    <col min="9" max="9" width="16.77734375" customWidth="1"/>
  </cols>
  <sheetData>
    <row r="1" spans="1:10" ht="60" customHeight="1" x14ac:dyDescent="0.3">
      <c r="A1" s="6" t="s">
        <v>0</v>
      </c>
      <c r="B1" s="4" t="s">
        <v>2</v>
      </c>
      <c r="C1" s="4"/>
      <c r="D1" s="4"/>
      <c r="E1" s="4"/>
      <c r="F1" s="4" t="s">
        <v>181</v>
      </c>
      <c r="G1" s="4"/>
      <c r="H1" s="4"/>
      <c r="I1" s="4"/>
      <c r="J1" s="4"/>
    </row>
    <row r="2" spans="1:10" x14ac:dyDescent="0.3">
      <c r="A2" s="31" t="s">
        <v>1</v>
      </c>
      <c r="B2" s="31"/>
      <c r="C2" s="31"/>
      <c r="D2" s="31"/>
    </row>
    <row r="3" spans="1:10" x14ac:dyDescent="0.3">
      <c r="B3" s="30" t="s">
        <v>23</v>
      </c>
      <c r="C3" s="30"/>
      <c r="D3" s="30"/>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row>
    <row r="10" spans="1:10" x14ac:dyDescent="0.3">
      <c r="A10" s="1" t="s">
        <v>4</v>
      </c>
      <c r="B10" s="12">
        <v>201471</v>
      </c>
      <c r="C10" s="12">
        <v>192266</v>
      </c>
      <c r="D10" s="12">
        <v>151286</v>
      </c>
    </row>
    <row r="11" spans="1:10" x14ac:dyDescent="0.3">
      <c r="A11" s="1" t="s">
        <v>5</v>
      </c>
      <c r="B11" s="12">
        <v>22075</v>
      </c>
      <c r="C11" s="12">
        <v>20715</v>
      </c>
      <c r="D11" s="12">
        <v>18273</v>
      </c>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row>
    <row r="14" spans="1:10" x14ac:dyDescent="0.3">
      <c r="A14" t="s">
        <v>10</v>
      </c>
      <c r="B14" s="12"/>
      <c r="C14" s="12"/>
      <c r="D14" s="12"/>
    </row>
    <row r="15" spans="1:10" x14ac:dyDescent="0.3">
      <c r="A15" s="1" t="s">
        <v>11</v>
      </c>
      <c r="B15" s="12">
        <v>26251</v>
      </c>
      <c r="C15" s="12">
        <v>21914</v>
      </c>
      <c r="D15" s="12">
        <v>18752</v>
      </c>
    </row>
    <row r="16" spans="1:10" x14ac:dyDescent="0.3">
      <c r="A16" s="1" t="s">
        <v>12</v>
      </c>
      <c r="B16" s="12">
        <v>25094</v>
      </c>
      <c r="C16" s="12">
        <v>21973</v>
      </c>
      <c r="D16" s="12">
        <v>19916</v>
      </c>
    </row>
    <row r="17" spans="1:4" x14ac:dyDescent="0.3">
      <c r="A17" s="8" t="s">
        <v>13</v>
      </c>
      <c r="B17" s="13">
        <f>+B15+B16</f>
        <v>51345</v>
      </c>
      <c r="C17" s="13">
        <f t="shared" ref="C17" si="3">+C15+C16</f>
        <v>43887</v>
      </c>
      <c r="D17" s="13">
        <f t="shared" ref="D17" si="4">+D15+D16</f>
        <v>38668</v>
      </c>
    </row>
    <row r="18" spans="1:4" s="7" customFormat="1" x14ac:dyDescent="0.3">
      <c r="A18" s="8" t="s">
        <v>14</v>
      </c>
      <c r="B18" s="13">
        <f>+B13-B17</f>
        <v>119437</v>
      </c>
      <c r="C18" s="13">
        <f t="shared" ref="C18:D18" si="5">+C13-C17</f>
        <v>108949</v>
      </c>
      <c r="D18" s="13">
        <f t="shared" si="5"/>
        <v>66288</v>
      </c>
    </row>
    <row r="19" spans="1:4" x14ac:dyDescent="0.3">
      <c r="A19" t="s">
        <v>15</v>
      </c>
      <c r="B19" s="12">
        <v>-334</v>
      </c>
      <c r="C19" s="12">
        <v>258</v>
      </c>
      <c r="D19" s="12">
        <v>803</v>
      </c>
    </row>
    <row r="20" spans="1:4" x14ac:dyDescent="0.3">
      <c r="A20" s="8" t="s">
        <v>16</v>
      </c>
      <c r="B20" s="13">
        <f>+B18+B19</f>
        <v>119103</v>
      </c>
      <c r="C20" s="13">
        <f t="shared" ref="C20:D20" si="6">+C18+C19</f>
        <v>109207</v>
      </c>
      <c r="D20" s="13">
        <f t="shared" si="6"/>
        <v>67091</v>
      </c>
    </row>
    <row r="21" spans="1:4" x14ac:dyDescent="0.3">
      <c r="A21" t="s">
        <v>17</v>
      </c>
      <c r="B21" s="12">
        <v>19300</v>
      </c>
      <c r="C21" s="12">
        <v>14527</v>
      </c>
      <c r="D21" s="12">
        <v>9680</v>
      </c>
    </row>
    <row r="22" spans="1:4" ht="15" thickBot="1" x14ac:dyDescent="0.35">
      <c r="A22" s="9" t="s">
        <v>18</v>
      </c>
      <c r="B22" s="14">
        <f>+B20-B21</f>
        <v>99803</v>
      </c>
      <c r="C22" s="14">
        <f t="shared" ref="C22:D22" si="7">+C20-C21</f>
        <v>94680</v>
      </c>
      <c r="D22" s="14">
        <f t="shared" si="7"/>
        <v>57411</v>
      </c>
    </row>
    <row r="23" spans="1:4" ht="15" thickTop="1" x14ac:dyDescent="0.3">
      <c r="A23" t="s">
        <v>19</v>
      </c>
    </row>
    <row r="24" spans="1:4" x14ac:dyDescent="0.3">
      <c r="A24" s="1" t="s">
        <v>20</v>
      </c>
      <c r="B24" s="10">
        <v>6.15</v>
      </c>
      <c r="C24" s="10">
        <v>5.67</v>
      </c>
      <c r="D24" s="10">
        <v>3.31</v>
      </c>
    </row>
    <row r="25" spans="1:4" x14ac:dyDescent="0.3">
      <c r="A25" s="1" t="s">
        <v>21</v>
      </c>
      <c r="B25" s="10">
        <v>6.11</v>
      </c>
      <c r="C25" s="10">
        <v>5.61</v>
      </c>
      <c r="D25" s="10">
        <v>3.28</v>
      </c>
    </row>
    <row r="26" spans="1:4" x14ac:dyDescent="0.3">
      <c r="A26" t="s">
        <v>22</v>
      </c>
    </row>
    <row r="27" spans="1:4" x14ac:dyDescent="0.3">
      <c r="A27" s="1" t="s">
        <v>20</v>
      </c>
      <c r="B27" s="2">
        <v>16215963</v>
      </c>
      <c r="C27" s="2">
        <v>16701272</v>
      </c>
      <c r="D27" s="2">
        <v>17352119</v>
      </c>
    </row>
    <row r="28" spans="1:4" x14ac:dyDescent="0.3">
      <c r="A28" s="1" t="s">
        <v>21</v>
      </c>
      <c r="B28" s="2">
        <v>16325819</v>
      </c>
      <c r="C28" s="2">
        <v>16864919</v>
      </c>
      <c r="D28" s="2">
        <v>17528214</v>
      </c>
    </row>
    <row r="31" spans="1:4" x14ac:dyDescent="0.3">
      <c r="A31" s="31" t="s">
        <v>24</v>
      </c>
      <c r="B31" s="31"/>
      <c r="C31" s="31"/>
      <c r="D31" s="31"/>
    </row>
    <row r="32" spans="1:4" x14ac:dyDescent="0.3">
      <c r="B32" s="30" t="s">
        <v>142</v>
      </c>
      <c r="C32" s="30"/>
      <c r="D32" s="30"/>
    </row>
    <row r="33" spans="1:7" x14ac:dyDescent="0.3">
      <c r="B33" s="7">
        <f>+B4</f>
        <v>2022</v>
      </c>
      <c r="C33" s="7">
        <f t="shared" ref="C33:D33" si="8">+C4</f>
        <v>2021</v>
      </c>
      <c r="D33" s="7">
        <f t="shared" si="8"/>
        <v>2020</v>
      </c>
    </row>
    <row r="35" spans="1:7" x14ac:dyDescent="0.3">
      <c r="A35" t="s">
        <v>25</v>
      </c>
    </row>
    <row r="36" spans="1:7" x14ac:dyDescent="0.3">
      <c r="A36" s="28" t="s">
        <v>26</v>
      </c>
      <c r="B36" s="12">
        <v>23646</v>
      </c>
      <c r="C36" s="12">
        <v>34940</v>
      </c>
      <c r="D36" s="12">
        <v>38016</v>
      </c>
    </row>
    <row r="37" spans="1:7" x14ac:dyDescent="0.3">
      <c r="A37" s="1" t="s">
        <v>27</v>
      </c>
      <c r="B37" s="12">
        <v>24658</v>
      </c>
      <c r="C37" s="12">
        <v>27699</v>
      </c>
      <c r="D37" s="12">
        <v>52927</v>
      </c>
      <c r="F37" s="23"/>
    </row>
    <row r="38" spans="1:7" x14ac:dyDescent="0.3">
      <c r="A38" s="1" t="s">
        <v>28</v>
      </c>
      <c r="B38" s="12">
        <v>28184</v>
      </c>
      <c r="C38" s="12">
        <v>26278</v>
      </c>
      <c r="D38" s="12">
        <v>16120</v>
      </c>
    </row>
    <row r="39" spans="1:7" x14ac:dyDescent="0.3">
      <c r="A39" s="1" t="s">
        <v>29</v>
      </c>
      <c r="B39" s="12">
        <v>4946</v>
      </c>
      <c r="C39" s="12">
        <v>6580</v>
      </c>
      <c r="D39" s="12">
        <v>4061</v>
      </c>
    </row>
    <row r="40" spans="1:7" x14ac:dyDescent="0.3">
      <c r="A40" s="1" t="s">
        <v>47</v>
      </c>
      <c r="B40" s="12">
        <v>32748</v>
      </c>
      <c r="C40" s="12">
        <v>25228</v>
      </c>
      <c r="D40" s="12">
        <v>21325</v>
      </c>
    </row>
    <row r="41" spans="1:7" x14ac:dyDescent="0.3">
      <c r="A41" s="1" t="s">
        <v>30</v>
      </c>
      <c r="B41" s="12">
        <v>21223</v>
      </c>
      <c r="C41" s="12">
        <v>14111</v>
      </c>
      <c r="D41" s="12">
        <v>11264</v>
      </c>
      <c r="F41" s="23"/>
      <c r="G41" s="23"/>
    </row>
    <row r="42" spans="1:7" x14ac:dyDescent="0.3">
      <c r="A42" s="8" t="s">
        <v>31</v>
      </c>
      <c r="B42" s="24">
        <f>+SUM(B36:B41)</f>
        <v>135405</v>
      </c>
      <c r="C42" s="13">
        <f t="shared" ref="C42:D42" si="9">+SUM(C36:C41)</f>
        <v>134836</v>
      </c>
      <c r="D42" s="13">
        <f t="shared" si="9"/>
        <v>143713</v>
      </c>
    </row>
    <row r="43" spans="1:7" x14ac:dyDescent="0.3">
      <c r="A43" t="s">
        <v>48</v>
      </c>
      <c r="B43" s="12"/>
      <c r="C43" s="12"/>
      <c r="D43" s="12"/>
    </row>
    <row r="44" spans="1:7" x14ac:dyDescent="0.3">
      <c r="A44" s="1" t="s">
        <v>27</v>
      </c>
      <c r="B44" s="12">
        <v>120805</v>
      </c>
      <c r="C44" s="12">
        <v>127877</v>
      </c>
      <c r="D44" s="12">
        <v>100887</v>
      </c>
    </row>
    <row r="45" spans="1:7" x14ac:dyDescent="0.3">
      <c r="A45" s="1" t="s">
        <v>32</v>
      </c>
      <c r="B45" s="12">
        <v>42117</v>
      </c>
      <c r="C45" s="12">
        <v>39440</v>
      </c>
      <c r="D45" s="12">
        <v>36766</v>
      </c>
    </row>
    <row r="46" spans="1:7" x14ac:dyDescent="0.3">
      <c r="A46" s="1" t="s">
        <v>49</v>
      </c>
      <c r="B46" s="12">
        <v>54428</v>
      </c>
      <c r="C46" s="12">
        <v>48849</v>
      </c>
      <c r="D46" s="12">
        <v>42522</v>
      </c>
    </row>
    <row r="47" spans="1:7" x14ac:dyDescent="0.3">
      <c r="A47" s="8" t="s">
        <v>50</v>
      </c>
      <c r="B47" s="13">
        <f>+SUM(B44:B46)</f>
        <v>217350</v>
      </c>
      <c r="C47" s="13">
        <f t="shared" ref="C47:D47" si="10">+SUM(C44:C46)</f>
        <v>216166</v>
      </c>
      <c r="D47" s="13">
        <f t="shared" si="10"/>
        <v>180175</v>
      </c>
    </row>
    <row r="48" spans="1:7" ht="15" thickBot="1" x14ac:dyDescent="0.35">
      <c r="A48" s="9" t="s">
        <v>33</v>
      </c>
      <c r="B48" s="14">
        <f>+B42+B47</f>
        <v>352755</v>
      </c>
      <c r="C48" s="14">
        <f t="shared" ref="C48:D48" si="11">+C42+C47</f>
        <v>351002</v>
      </c>
      <c r="D48" s="14">
        <f t="shared" si="11"/>
        <v>323888</v>
      </c>
    </row>
    <row r="49" spans="1:4" ht="15" thickTop="1" x14ac:dyDescent="0.3"/>
    <row r="50" spans="1:4" x14ac:dyDescent="0.3">
      <c r="A50" t="s">
        <v>34</v>
      </c>
    </row>
    <row r="51" spans="1:4" x14ac:dyDescent="0.3">
      <c r="A51" s="1" t="s">
        <v>35</v>
      </c>
      <c r="B51" s="12">
        <v>64115</v>
      </c>
      <c r="C51" s="12">
        <v>54763</v>
      </c>
      <c r="D51" s="12">
        <v>42296</v>
      </c>
    </row>
    <row r="52" spans="1:4" x14ac:dyDescent="0.3">
      <c r="A52" s="1" t="s">
        <v>36</v>
      </c>
      <c r="B52" s="12">
        <v>60845</v>
      </c>
      <c r="C52" s="12">
        <v>47493</v>
      </c>
      <c r="D52" s="12">
        <v>42684</v>
      </c>
    </row>
    <row r="53" spans="1:4" x14ac:dyDescent="0.3">
      <c r="A53" s="1" t="s">
        <v>37</v>
      </c>
      <c r="B53" s="12">
        <v>7912</v>
      </c>
      <c r="C53" s="12">
        <v>7612</v>
      </c>
      <c r="D53" s="12">
        <v>6643</v>
      </c>
    </row>
    <row r="54" spans="1:4" x14ac:dyDescent="0.3">
      <c r="A54" s="1" t="s">
        <v>38</v>
      </c>
      <c r="B54" s="12">
        <v>9982</v>
      </c>
      <c r="C54" s="12">
        <v>6000</v>
      </c>
      <c r="D54" s="12">
        <v>4996</v>
      </c>
    </row>
    <row r="55" spans="1:4" x14ac:dyDescent="0.3">
      <c r="A55" s="28" t="s">
        <v>39</v>
      </c>
      <c r="B55" s="12">
        <v>11128</v>
      </c>
      <c r="C55" s="12">
        <v>9613</v>
      </c>
      <c r="D55" s="12">
        <v>8773</v>
      </c>
    </row>
    <row r="56" spans="1:4" x14ac:dyDescent="0.3">
      <c r="A56" s="8" t="s">
        <v>40</v>
      </c>
      <c r="B56" s="24">
        <f>+SUM(B51:B55)</f>
        <v>153982</v>
      </c>
      <c r="C56" s="13">
        <f t="shared" ref="C56:D56" si="12">+SUM(C51:C55)</f>
        <v>125481</v>
      </c>
      <c r="D56" s="13">
        <f t="shared" si="12"/>
        <v>105392</v>
      </c>
    </row>
    <row r="57" spans="1:4" x14ac:dyDescent="0.3">
      <c r="A57" t="s">
        <v>51</v>
      </c>
      <c r="B57" s="12"/>
      <c r="C57" s="12"/>
      <c r="D57" s="12"/>
    </row>
    <row r="58" spans="1:4" x14ac:dyDescent="0.3">
      <c r="A58" s="1" t="s">
        <v>37</v>
      </c>
      <c r="B58" s="12"/>
      <c r="C58" s="12"/>
      <c r="D58" s="12"/>
    </row>
    <row r="59" spans="1:4" x14ac:dyDescent="0.3">
      <c r="A59" s="28" t="s">
        <v>39</v>
      </c>
      <c r="B59" s="12">
        <v>98959</v>
      </c>
      <c r="C59" s="12">
        <v>109106</v>
      </c>
      <c r="D59" s="12">
        <v>98667</v>
      </c>
    </row>
    <row r="60" spans="1:4" x14ac:dyDescent="0.3">
      <c r="A60" s="1" t="s">
        <v>52</v>
      </c>
      <c r="B60" s="12">
        <v>49142</v>
      </c>
      <c r="C60" s="12">
        <v>53325</v>
      </c>
      <c r="D60" s="12">
        <v>54490</v>
      </c>
    </row>
    <row r="61" spans="1:4" x14ac:dyDescent="0.3">
      <c r="A61" s="22" t="s">
        <v>53</v>
      </c>
      <c r="B61" s="21">
        <f>+B59+B60</f>
        <v>148101</v>
      </c>
      <c r="C61" s="21">
        <f t="shared" ref="C61:D61" si="13">+C59+C60</f>
        <v>162431</v>
      </c>
      <c r="D61" s="21">
        <f t="shared" si="13"/>
        <v>153157</v>
      </c>
    </row>
    <row r="62" spans="1:4" x14ac:dyDescent="0.3">
      <c r="A62" s="8" t="s">
        <v>41</v>
      </c>
      <c r="B62" s="13">
        <f>+B56+B61</f>
        <v>302083</v>
      </c>
      <c r="C62" s="13">
        <f t="shared" ref="C62:D62" si="14">+C56+C61</f>
        <v>287912</v>
      </c>
      <c r="D62" s="13">
        <f t="shared" si="14"/>
        <v>258549</v>
      </c>
    </row>
    <row r="63" spans="1:4" x14ac:dyDescent="0.3">
      <c r="B63" s="12"/>
      <c r="C63" s="12"/>
      <c r="D63" s="12"/>
    </row>
    <row r="64" spans="1:4" x14ac:dyDescent="0.3">
      <c r="A64" t="s">
        <v>42</v>
      </c>
      <c r="B64" s="12"/>
      <c r="C64" s="12"/>
      <c r="D64" s="12"/>
    </row>
    <row r="65" spans="1:6" x14ac:dyDescent="0.3">
      <c r="A65" s="1" t="s">
        <v>54</v>
      </c>
      <c r="B65" s="12">
        <v>64849</v>
      </c>
      <c r="C65" s="12">
        <v>57365</v>
      </c>
      <c r="D65" s="12">
        <v>50779</v>
      </c>
    </row>
    <row r="66" spans="1:6" x14ac:dyDescent="0.3">
      <c r="A66" s="1" t="s">
        <v>43</v>
      </c>
      <c r="B66" s="12">
        <v>-3068</v>
      </c>
      <c r="C66" s="12">
        <v>5562</v>
      </c>
      <c r="D66" s="12">
        <v>14966</v>
      </c>
    </row>
    <row r="67" spans="1:6" x14ac:dyDescent="0.3">
      <c r="A67" s="1" t="s">
        <v>44</v>
      </c>
      <c r="B67" s="12">
        <v>-11109</v>
      </c>
      <c r="C67" s="12">
        <v>163</v>
      </c>
      <c r="D67" s="12">
        <v>-406</v>
      </c>
      <c r="F67" s="23"/>
    </row>
    <row r="68" spans="1:6" x14ac:dyDescent="0.3">
      <c r="A68" s="8" t="s">
        <v>45</v>
      </c>
      <c r="B68" s="13">
        <f>+SUM(B65:B67)</f>
        <v>50672</v>
      </c>
      <c r="C68" s="13">
        <f t="shared" ref="C68:D68" si="15">+SUM(C65:C67)</f>
        <v>63090</v>
      </c>
      <c r="D68" s="13">
        <f t="shared" si="15"/>
        <v>65339</v>
      </c>
    </row>
    <row r="69" spans="1:6" ht="15" thickBot="1" x14ac:dyDescent="0.35">
      <c r="A69" s="9" t="s">
        <v>46</v>
      </c>
      <c r="B69" s="14">
        <f>+B68+B62</f>
        <v>352755</v>
      </c>
      <c r="C69" s="14">
        <f t="shared" ref="C69:D69" si="16">+C68+C62</f>
        <v>351002</v>
      </c>
      <c r="D69" s="14">
        <f t="shared" si="16"/>
        <v>323888</v>
      </c>
    </row>
    <row r="70" spans="1:6" ht="15" thickTop="1" x14ac:dyDescent="0.3"/>
    <row r="71" spans="1:6" x14ac:dyDescent="0.3">
      <c r="A71" s="31" t="s">
        <v>55</v>
      </c>
      <c r="B71" s="31"/>
      <c r="C71" s="31"/>
      <c r="D71" s="31"/>
    </row>
    <row r="72" spans="1:6" x14ac:dyDescent="0.3">
      <c r="B72" s="30" t="s">
        <v>23</v>
      </c>
      <c r="C72" s="30"/>
      <c r="D72" s="30"/>
    </row>
    <row r="73" spans="1:6" x14ac:dyDescent="0.3">
      <c r="B73" s="7">
        <f>+B33</f>
        <v>2022</v>
      </c>
      <c r="C73" s="7">
        <f t="shared" ref="C73:D73" si="17">+C33</f>
        <v>2021</v>
      </c>
      <c r="D73" s="7">
        <f t="shared" si="17"/>
        <v>2020</v>
      </c>
    </row>
    <row r="75" spans="1:6" x14ac:dyDescent="0.3">
      <c r="A75" s="7" t="s">
        <v>56</v>
      </c>
      <c r="B75" s="15"/>
      <c r="C75" s="15"/>
      <c r="D75" s="15"/>
    </row>
    <row r="76" spans="1:6" x14ac:dyDescent="0.3">
      <c r="A76" t="s">
        <v>57</v>
      </c>
      <c r="B76" s="12">
        <f>+B22</f>
        <v>99803</v>
      </c>
      <c r="C76" s="12">
        <f t="shared" ref="C76:D76" si="18">+C22</f>
        <v>94680</v>
      </c>
      <c r="D76" s="12">
        <f t="shared" si="18"/>
        <v>57411</v>
      </c>
      <c r="F76" t="b">
        <f>G88=F8</f>
        <v>1</v>
      </c>
    </row>
    <row r="77" spans="1:6" x14ac:dyDescent="0.3">
      <c r="A77" s="11" t="s">
        <v>18</v>
      </c>
      <c r="B77" s="15"/>
      <c r="C77" s="15"/>
      <c r="D77" s="15"/>
    </row>
    <row r="78" spans="1:6" x14ac:dyDescent="0.3">
      <c r="A78" s="1" t="s">
        <v>58</v>
      </c>
      <c r="B78" s="12"/>
      <c r="C78" s="12"/>
      <c r="D78" s="12"/>
    </row>
    <row r="79" spans="1:6" x14ac:dyDescent="0.3">
      <c r="A79" s="3" t="s">
        <v>59</v>
      </c>
      <c r="B79" s="12">
        <v>11104</v>
      </c>
      <c r="C79" s="12">
        <v>11284</v>
      </c>
      <c r="D79" s="12">
        <v>11056</v>
      </c>
    </row>
    <row r="80" spans="1:6" x14ac:dyDescent="0.3">
      <c r="A80" s="3" t="s">
        <v>83</v>
      </c>
      <c r="B80" s="12">
        <v>9038</v>
      </c>
      <c r="C80" s="12">
        <v>7906</v>
      </c>
      <c r="D80" s="12">
        <v>6829</v>
      </c>
    </row>
    <row r="81" spans="1:7" x14ac:dyDescent="0.3">
      <c r="A81" s="3" t="s">
        <v>60</v>
      </c>
      <c r="B81" s="12">
        <v>895</v>
      </c>
      <c r="C81" s="12">
        <v>-4774</v>
      </c>
      <c r="D81" s="12">
        <v>-215</v>
      </c>
      <c r="G81" s="23"/>
    </row>
    <row r="82" spans="1:7" x14ac:dyDescent="0.3">
      <c r="A82" s="3" t="s">
        <v>61</v>
      </c>
      <c r="B82" s="12">
        <v>111</v>
      </c>
      <c r="C82" s="12">
        <v>-147</v>
      </c>
      <c r="D82" s="12">
        <v>-97</v>
      </c>
    </row>
    <row r="83" spans="1:7" x14ac:dyDescent="0.3">
      <c r="A83" t="s">
        <v>62</v>
      </c>
      <c r="B83" s="12"/>
      <c r="C83" s="12"/>
      <c r="D83" s="12"/>
    </row>
    <row r="84" spans="1:7" x14ac:dyDescent="0.3">
      <c r="A84" s="1" t="s">
        <v>28</v>
      </c>
      <c r="B84" s="12">
        <v>-1823</v>
      </c>
      <c r="C84" s="12">
        <v>-10125</v>
      </c>
      <c r="D84" s="12">
        <v>6917</v>
      </c>
    </row>
    <row r="85" spans="1:7" x14ac:dyDescent="0.3">
      <c r="A85" s="1" t="s">
        <v>29</v>
      </c>
      <c r="B85" s="12">
        <v>1484</v>
      </c>
      <c r="C85" s="12">
        <v>-2642</v>
      </c>
      <c r="D85" s="12">
        <v>-127</v>
      </c>
    </row>
    <row r="86" spans="1:7" x14ac:dyDescent="0.3">
      <c r="A86" s="1" t="s">
        <v>47</v>
      </c>
      <c r="B86" s="12">
        <v>-7520</v>
      </c>
      <c r="C86" s="12">
        <v>-3903</v>
      </c>
      <c r="D86" s="12">
        <v>1553</v>
      </c>
    </row>
    <row r="87" spans="1:7" x14ac:dyDescent="0.3">
      <c r="A87" s="1" t="s">
        <v>84</v>
      </c>
      <c r="B87" s="12">
        <v>-6499</v>
      </c>
      <c r="C87" s="12">
        <v>-8042</v>
      </c>
      <c r="D87" s="12">
        <v>-9588</v>
      </c>
    </row>
    <row r="88" spans="1:7" x14ac:dyDescent="0.3">
      <c r="A88" s="1" t="s">
        <v>35</v>
      </c>
      <c r="B88" s="12">
        <v>9448</v>
      </c>
      <c r="C88" s="12">
        <v>12326</v>
      </c>
      <c r="D88" s="12">
        <v>-4062</v>
      </c>
    </row>
    <row r="89" spans="1:7" x14ac:dyDescent="0.3">
      <c r="A89" s="1" t="s">
        <v>37</v>
      </c>
      <c r="B89" s="12">
        <v>478</v>
      </c>
      <c r="C89" s="12">
        <v>1676</v>
      </c>
      <c r="D89" s="12">
        <v>2081</v>
      </c>
    </row>
    <row r="90" spans="1:7" x14ac:dyDescent="0.3">
      <c r="A90" s="1" t="s">
        <v>85</v>
      </c>
      <c r="B90" s="12">
        <v>5632</v>
      </c>
      <c r="C90" s="12">
        <v>5799</v>
      </c>
      <c r="D90" s="12">
        <v>8916</v>
      </c>
    </row>
    <row r="91" spans="1:7" x14ac:dyDescent="0.3">
      <c r="A91" s="8" t="s">
        <v>63</v>
      </c>
      <c r="B91" s="27">
        <f>+SUM(B76:B90)</f>
        <v>122151</v>
      </c>
      <c r="C91" s="13">
        <f t="shared" ref="C91:D91" si="19">+SUM(C76:C90)</f>
        <v>104038</v>
      </c>
      <c r="D91" s="13">
        <f t="shared" si="19"/>
        <v>80674</v>
      </c>
      <c r="F91" s="26"/>
    </row>
    <row r="92" spans="1:7" x14ac:dyDescent="0.3">
      <c r="A92" s="7" t="s">
        <v>64</v>
      </c>
      <c r="B92" s="12"/>
      <c r="C92" s="12"/>
      <c r="D92" s="12"/>
    </row>
    <row r="93" spans="1:7" x14ac:dyDescent="0.3">
      <c r="A93" s="1" t="s">
        <v>65</v>
      </c>
      <c r="B93" s="12">
        <v>-76923</v>
      </c>
      <c r="C93" s="12">
        <v>-109558</v>
      </c>
      <c r="D93" s="12">
        <v>-114938</v>
      </c>
    </row>
    <row r="94" spans="1:7" x14ac:dyDescent="0.3">
      <c r="A94" s="1" t="s">
        <v>66</v>
      </c>
      <c r="B94" s="12">
        <v>29917</v>
      </c>
      <c r="C94" s="12">
        <v>59023</v>
      </c>
      <c r="D94" s="12">
        <v>69918</v>
      </c>
    </row>
    <row r="95" spans="1:7" x14ac:dyDescent="0.3">
      <c r="A95" s="1" t="s">
        <v>67</v>
      </c>
      <c r="B95" s="12">
        <v>37446</v>
      </c>
      <c r="C95" s="12">
        <v>47460</v>
      </c>
      <c r="D95" s="12">
        <v>50473</v>
      </c>
    </row>
    <row r="96" spans="1:7"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row r="156" spans="1:10" ht="25.8" x14ac:dyDescent="0.5">
      <c r="A156" s="6"/>
      <c r="B156" s="20" t="s">
        <v>0</v>
      </c>
      <c r="C156" s="19"/>
      <c r="D156" s="19"/>
      <c r="E156" s="19"/>
      <c r="F156" s="19"/>
      <c r="G156" s="19"/>
      <c r="H156" s="19"/>
      <c r="I156" s="19"/>
      <c r="J156" s="19"/>
    </row>
    <row r="157" spans="1:10" x14ac:dyDescent="0.3">
      <c r="C157" s="30" t="s">
        <v>23</v>
      </c>
      <c r="D157" s="30"/>
      <c r="E157" s="30"/>
    </row>
    <row r="158" spans="1:10" x14ac:dyDescent="0.3">
      <c r="C158" s="7">
        <v>2022</v>
      </c>
      <c r="D158" s="7">
        <v>2021</v>
      </c>
      <c r="E158" s="7">
        <v>2020</v>
      </c>
    </row>
    <row r="159" spans="1:10" x14ac:dyDescent="0.3">
      <c r="A159" s="18">
        <v>1</v>
      </c>
      <c r="B159" s="7" t="s">
        <v>99</v>
      </c>
    </row>
    <row r="160" spans="1:10" x14ac:dyDescent="0.3">
      <c r="A160" s="18">
        <f>+A159+0.1</f>
        <v>1.1000000000000001</v>
      </c>
      <c r="B160" s="1" t="s">
        <v>100</v>
      </c>
      <c r="C160" s="32">
        <f>B42/B56</f>
        <v>0.87935602862672257</v>
      </c>
      <c r="D160" s="32">
        <f>C42/C56</f>
        <v>1.0745531195957954</v>
      </c>
      <c r="E160" s="32">
        <f>D42/D56</f>
        <v>1.3636044481554577</v>
      </c>
    </row>
    <row r="161" spans="1:9" x14ac:dyDescent="0.3">
      <c r="A161" s="18">
        <f t="shared" ref="A161:A168" si="23">+A160+0.1</f>
        <v>1.2000000000000002</v>
      </c>
      <c r="B161" s="1" t="s">
        <v>101</v>
      </c>
      <c r="C161" s="32">
        <f>(B42-B39)/B56</f>
        <v>0.84723539114961488</v>
      </c>
      <c r="D161" s="32">
        <f>(C42-C39)/C56</f>
        <v>1.0221149018576519</v>
      </c>
      <c r="E161" s="32">
        <f>(D42-D39)/D56</f>
        <v>1.325072111735236</v>
      </c>
    </row>
    <row r="162" spans="1:9" x14ac:dyDescent="0.3">
      <c r="A162" s="18">
        <f t="shared" si="23"/>
        <v>1.3000000000000003</v>
      </c>
      <c r="B162" s="1" t="s">
        <v>102</v>
      </c>
      <c r="C162" s="32">
        <f>B36/B56</f>
        <v>0.15356340351469652</v>
      </c>
      <c r="D162" s="32">
        <f>C36/C56</f>
        <v>0.27844853005634318</v>
      </c>
      <c r="E162" s="32">
        <f>D36/D56</f>
        <v>0.36071049035979963</v>
      </c>
    </row>
    <row r="163" spans="1:9" x14ac:dyDescent="0.3">
      <c r="A163" s="18">
        <f t="shared" si="23"/>
        <v>1.4000000000000004</v>
      </c>
      <c r="B163" s="1" t="s">
        <v>103</v>
      </c>
      <c r="C163" s="32">
        <f>B42/(B17-B79)/365</f>
        <v>9.2187719673896273E-3</v>
      </c>
      <c r="D163" s="32">
        <f>C42/(C17-C79)/365</f>
        <v>1.1330665847625586E-2</v>
      </c>
      <c r="E163" s="32">
        <f>D42/(D17-D79)/365</f>
        <v>1.4259533774277215E-2</v>
      </c>
      <c r="F163" t="s">
        <v>166</v>
      </c>
    </row>
    <row r="164" spans="1:9" x14ac:dyDescent="0.3">
      <c r="A164" s="18">
        <f t="shared" si="23"/>
        <v>1.5000000000000004</v>
      </c>
      <c r="B164" s="1" t="s">
        <v>150</v>
      </c>
      <c r="C164" s="32">
        <f>B39/B12*365</f>
        <v>8.0756980666171607</v>
      </c>
      <c r="D164" s="32">
        <f>C39/C12*365</f>
        <v>11.27659274770989</v>
      </c>
      <c r="E164" s="32">
        <f>D39/D12*365</f>
        <v>8.7418833562358831</v>
      </c>
    </row>
    <row r="165" spans="1:9" x14ac:dyDescent="0.3">
      <c r="A165" s="18">
        <f t="shared" si="23"/>
        <v>1.6000000000000005</v>
      </c>
      <c r="B165" s="1" t="s">
        <v>152</v>
      </c>
      <c r="C165" s="32">
        <f>(B51/B12)*365</f>
        <v>104.68527730310539</v>
      </c>
      <c r="D165" s="32">
        <f>(C51/C12)*365</f>
        <v>93.851071222315596</v>
      </c>
      <c r="E165" s="32">
        <f>(D51/D12)*365</f>
        <v>91.048189715674198</v>
      </c>
    </row>
    <row r="166" spans="1:9" x14ac:dyDescent="0.3">
      <c r="A166" s="18">
        <f t="shared" si="23"/>
        <v>1.7000000000000006</v>
      </c>
      <c r="B166" s="1" t="s">
        <v>151</v>
      </c>
      <c r="C166" s="32">
        <f>(B38/B8)*365</f>
        <v>26.087825363656648</v>
      </c>
      <c r="D166" s="32">
        <f>(C38/C8)*100</f>
        <v>7.1833731073186868</v>
      </c>
      <c r="E166" s="32">
        <f>(D38/D8)*365</f>
        <v>21.433437152796749</v>
      </c>
    </row>
    <row r="167" spans="1:9" x14ac:dyDescent="0.3">
      <c r="A167" s="18">
        <f t="shared" si="23"/>
        <v>1.8000000000000007</v>
      </c>
      <c r="B167" s="1" t="s">
        <v>107</v>
      </c>
      <c r="C167" s="32">
        <f>C164+C166-C165</f>
        <v>-70.521753872831582</v>
      </c>
      <c r="D167" s="32">
        <f>D164+D166-D165</f>
        <v>-75.391105367287025</v>
      </c>
      <c r="E167" s="32">
        <f>E164+E166-E165</f>
        <v>-60.872869206641568</v>
      </c>
    </row>
    <row r="168" spans="1:9" x14ac:dyDescent="0.3">
      <c r="A168" s="18">
        <f t="shared" si="23"/>
        <v>1.9000000000000008</v>
      </c>
      <c r="B168" s="1" t="s">
        <v>108</v>
      </c>
      <c r="C168" s="32">
        <f>B8/C169*100</f>
        <v>-2122.6678150401031</v>
      </c>
      <c r="D168" s="32">
        <f>C8/D169*100</f>
        <v>3910.3901656867984</v>
      </c>
      <c r="E168" s="32">
        <f>D8/E169*100</f>
        <v>716.356566895436</v>
      </c>
      <c r="F168" t="s">
        <v>167</v>
      </c>
    </row>
    <row r="169" spans="1:9" x14ac:dyDescent="0.3">
      <c r="A169" s="18"/>
      <c r="B169" s="3" t="s">
        <v>109</v>
      </c>
      <c r="C169" s="23">
        <f>B42-B56</f>
        <v>-18577</v>
      </c>
      <c r="D169" s="23">
        <f>C42-C56</f>
        <v>9355</v>
      </c>
      <c r="E169" s="23">
        <f>D42-D56</f>
        <v>38321</v>
      </c>
    </row>
    <row r="170" spans="1:9" x14ac:dyDescent="0.3">
      <c r="A170" s="18"/>
    </row>
    <row r="171" spans="1:9" x14ac:dyDescent="0.3">
      <c r="A171" s="18">
        <f>+A159+1</f>
        <v>2</v>
      </c>
      <c r="B171" s="17" t="s">
        <v>110</v>
      </c>
    </row>
    <row r="172" spans="1:9" x14ac:dyDescent="0.3">
      <c r="A172" s="18">
        <f>+A171+0.1</f>
        <v>2.1</v>
      </c>
      <c r="B172" s="1" t="s">
        <v>9</v>
      </c>
      <c r="C172">
        <f>((B8-B12)/(B8))*100</f>
        <v>43.309630561360088</v>
      </c>
      <c r="D172">
        <f>(C8-C12)/C8*100</f>
        <v>41.779359625167778</v>
      </c>
      <c r="E172">
        <f>(D8-D12)/D8*100</f>
        <v>38.233247727810863</v>
      </c>
      <c r="F172" t="s">
        <v>167</v>
      </c>
    </row>
    <row r="173" spans="1:9" x14ac:dyDescent="0.3">
      <c r="A173" s="18">
        <f>+A172+0.1</f>
        <v>2.2000000000000002</v>
      </c>
      <c r="B173" s="1" t="s">
        <v>111</v>
      </c>
      <c r="C173">
        <f>C174/B8*100</f>
        <v>33.104674281308959</v>
      </c>
      <c r="D173">
        <f>D174/C8*100</f>
        <v>32.86697993805646</v>
      </c>
      <c r="E173">
        <f>E174/D8*100</f>
        <v>28.174780977360069</v>
      </c>
      <c r="F173" t="s">
        <v>167</v>
      </c>
    </row>
    <row r="174" spans="1:9" x14ac:dyDescent="0.3">
      <c r="A174" s="18"/>
      <c r="B174" s="29" t="s">
        <v>112</v>
      </c>
      <c r="C174" s="23">
        <f>B18+B79</f>
        <v>130541</v>
      </c>
      <c r="D174" s="23">
        <f>C18+C79</f>
        <v>120233</v>
      </c>
      <c r="E174" s="23">
        <f>D18+D79</f>
        <v>77344</v>
      </c>
    </row>
    <row r="175" spans="1:9" x14ac:dyDescent="0.3">
      <c r="A175" s="18">
        <f>+A173+0.1</f>
        <v>2.3000000000000003</v>
      </c>
      <c r="B175" s="1" t="s">
        <v>113</v>
      </c>
      <c r="C175">
        <f>C176/B8*100</f>
        <v>30.288744395528592</v>
      </c>
      <c r="D175">
        <f>D176/C8*100</f>
        <v>29.782377527561593</v>
      </c>
      <c r="E175">
        <f>E176/D8*100</f>
        <v>24.147314354406863</v>
      </c>
      <c r="F175" t="s">
        <v>167</v>
      </c>
    </row>
    <row r="176" spans="1:9" x14ac:dyDescent="0.3">
      <c r="A176" s="18"/>
      <c r="B176" s="3" t="s">
        <v>114</v>
      </c>
      <c r="C176" s="23">
        <f>B8-B12-B17</f>
        <v>119437</v>
      </c>
      <c r="D176" s="23">
        <f>C8-C12-C17</f>
        <v>108949</v>
      </c>
      <c r="E176" s="23">
        <f>D8-D12-D17</f>
        <v>66288</v>
      </c>
      <c r="G176" t="s">
        <v>163</v>
      </c>
      <c r="H176">
        <v>2021</v>
      </c>
      <c r="I176">
        <v>2020</v>
      </c>
    </row>
    <row r="177" spans="1:9" x14ac:dyDescent="0.3">
      <c r="A177" s="18">
        <f>+A175+0.1</f>
        <v>2.4000000000000004</v>
      </c>
      <c r="B177" s="1" t="s">
        <v>115</v>
      </c>
      <c r="C177">
        <f>B22/B8*100</f>
        <v>25.309640705199733</v>
      </c>
      <c r="D177">
        <f>C22/C8*100</f>
        <v>25.881793355694239</v>
      </c>
      <c r="E177">
        <f>D22/D8*100</f>
        <v>20.913611278072235</v>
      </c>
      <c r="F177" t="s">
        <v>167</v>
      </c>
      <c r="G177" s="23">
        <f>B55+B59-B36</f>
        <v>86441</v>
      </c>
      <c r="H177" s="23">
        <f>C55+C59-C36</f>
        <v>83779</v>
      </c>
      <c r="I177" s="23">
        <f>D55+D59-D36</f>
        <v>69424</v>
      </c>
    </row>
    <row r="178" spans="1:9" x14ac:dyDescent="0.3">
      <c r="A178" s="18"/>
    </row>
    <row r="179" spans="1:9" x14ac:dyDescent="0.3">
      <c r="A179" s="18">
        <f>+A171+1</f>
        <v>3</v>
      </c>
      <c r="B179" s="7" t="s">
        <v>116</v>
      </c>
    </row>
    <row r="180" spans="1:9" x14ac:dyDescent="0.3">
      <c r="A180" s="18">
        <f>+A179+0.1</f>
        <v>3.1</v>
      </c>
      <c r="B180" s="1" t="s">
        <v>117</v>
      </c>
      <c r="C180" s="32">
        <f>B62/B68</f>
        <v>5.9615369434796337</v>
      </c>
      <c r="D180" s="32">
        <f>C62/C68</f>
        <v>4.5635124425423994</v>
      </c>
      <c r="E180" s="32">
        <f>D62/D68</f>
        <v>3.9570394404566951</v>
      </c>
      <c r="F180" t="s">
        <v>168</v>
      </c>
    </row>
    <row r="181" spans="1:9" x14ac:dyDescent="0.3">
      <c r="A181" s="18">
        <f t="shared" ref="A181:A185" si="24">+A180+0.1</f>
        <v>3.2</v>
      </c>
      <c r="B181" s="1" t="s">
        <v>118</v>
      </c>
      <c r="C181" s="32">
        <f>B62/B48</f>
        <v>0.85635355983614692</v>
      </c>
      <c r="D181" s="32">
        <f>C62/C48</f>
        <v>0.82025743443057308</v>
      </c>
      <c r="E181" s="32">
        <f>D62/D48</f>
        <v>0.79826668477992391</v>
      </c>
      <c r="F181" t="s">
        <v>168</v>
      </c>
    </row>
    <row r="182" spans="1:9" x14ac:dyDescent="0.3">
      <c r="A182" s="18">
        <f t="shared" si="24"/>
        <v>3.3000000000000003</v>
      </c>
      <c r="B182" s="1" t="s">
        <v>119</v>
      </c>
      <c r="C182" s="23">
        <f>(B59)/B59+B68</f>
        <v>50673</v>
      </c>
      <c r="D182" s="23">
        <f>(C59)/C59+C68</f>
        <v>63091</v>
      </c>
      <c r="E182" s="23">
        <f>(D59)/D59+D68</f>
        <v>65340</v>
      </c>
      <c r="F182" t="s">
        <v>169</v>
      </c>
    </row>
    <row r="183" spans="1:9" x14ac:dyDescent="0.3">
      <c r="A183" s="18">
        <f t="shared" si="24"/>
        <v>3.4000000000000004</v>
      </c>
      <c r="B183" s="1" t="s">
        <v>120</v>
      </c>
      <c r="C183">
        <f>C176/B114</f>
        <v>41.68830715532286</v>
      </c>
      <c r="D183">
        <f>D176/C114</f>
        <v>40.546706363974693</v>
      </c>
      <c r="E183">
        <f>E176/D114</f>
        <v>22.081279147235175</v>
      </c>
    </row>
    <row r="184" spans="1:9" x14ac:dyDescent="0.3">
      <c r="A184" s="18">
        <f t="shared" si="24"/>
        <v>3.5000000000000004</v>
      </c>
      <c r="B184" s="1" t="s">
        <v>121</v>
      </c>
      <c r="C184" s="26">
        <f>B22/(B104-B105-B114)</f>
        <v>8.2189738944247708</v>
      </c>
      <c r="D184" s="26">
        <f>C22/(C104-C105-C114)</f>
        <v>3.5787723011793164</v>
      </c>
      <c r="E184">
        <f>D22/(D104-D105-D114)</f>
        <v>2.2323275526868342</v>
      </c>
    </row>
    <row r="185" spans="1:9" x14ac:dyDescent="0.3">
      <c r="A185" s="18">
        <f t="shared" si="24"/>
        <v>3.6000000000000005</v>
      </c>
      <c r="B185" s="1" t="s">
        <v>122</v>
      </c>
      <c r="C185" s="26">
        <f>C186/B28</f>
        <v>1.1932693851377379E-2</v>
      </c>
      <c r="D185" s="26">
        <f>D186/C28</f>
        <v>1.0509211458412578E-2</v>
      </c>
      <c r="E185" s="26">
        <f>E186/D28</f>
        <v>8.5981378365188824E-3</v>
      </c>
      <c r="F185" t="s">
        <v>171</v>
      </c>
    </row>
    <row r="186" spans="1:9" x14ac:dyDescent="0.3">
      <c r="A186" s="18"/>
      <c r="B186" s="3" t="s">
        <v>123</v>
      </c>
      <c r="C186" s="23">
        <f>B91-C187+G177</f>
        <v>194811</v>
      </c>
      <c r="D186" s="23">
        <f>C91-D187+H177</f>
        <v>177237</v>
      </c>
      <c r="E186" s="23">
        <f>D91-E187+I177</f>
        <v>150710</v>
      </c>
    </row>
    <row r="187" spans="1:9" x14ac:dyDescent="0.3">
      <c r="A187" s="18"/>
      <c r="B187" s="1" t="s">
        <v>153</v>
      </c>
      <c r="C187" s="23">
        <f>(B45-C45)+B79</f>
        <v>13781</v>
      </c>
      <c r="D187" s="23">
        <f>(C45-D45)+C80</f>
        <v>10580</v>
      </c>
      <c r="E187" s="23">
        <f>D45-37378</f>
        <v>-612</v>
      </c>
      <c r="F187" t="s">
        <v>170</v>
      </c>
    </row>
    <row r="188" spans="1:9" x14ac:dyDescent="0.3">
      <c r="A188" s="18">
        <f>+A179+1</f>
        <v>4</v>
      </c>
      <c r="B188" s="17" t="s">
        <v>124</v>
      </c>
    </row>
    <row r="189" spans="1:9" x14ac:dyDescent="0.3">
      <c r="A189" s="18">
        <f>+A188+0.1</f>
        <v>4.0999999999999996</v>
      </c>
      <c r="B189" s="1" t="s">
        <v>125</v>
      </c>
      <c r="C189" s="32">
        <f>B8/B48</f>
        <v>1.1178523337727317</v>
      </c>
      <c r="D189" s="32">
        <f>C8/C48</f>
        <v>1.0422077367080529</v>
      </c>
      <c r="E189" s="32">
        <f>D8/D48</f>
        <v>0.84756150274168851</v>
      </c>
    </row>
    <row r="190" spans="1:9" x14ac:dyDescent="0.3">
      <c r="A190" s="18">
        <f t="shared" ref="A190:A192" si="25">+A189+0.1</f>
        <v>4.1999999999999993</v>
      </c>
      <c r="B190" s="1" t="s">
        <v>126</v>
      </c>
      <c r="C190" s="32">
        <f>B8/B45</f>
        <v>9.3626801529073767</v>
      </c>
      <c r="D190" s="32">
        <f>C8/C45</f>
        <v>9.2752789046653152</v>
      </c>
      <c r="E190" s="32">
        <f>D8/D45</f>
        <v>7.4665451776097482</v>
      </c>
    </row>
    <row r="191" spans="1:9" x14ac:dyDescent="0.3">
      <c r="A191" s="18">
        <f t="shared" si="25"/>
        <v>4.2999999999999989</v>
      </c>
      <c r="B191" s="1" t="s">
        <v>127</v>
      </c>
      <c r="C191" s="32">
        <f>B12/B39</f>
        <v>45.197331176708452</v>
      </c>
      <c r="D191" s="32">
        <f>C12/C39</f>
        <v>32.367933130699086</v>
      </c>
      <c r="E191" s="32">
        <f>D12/D39</f>
        <v>41.753016498399411</v>
      </c>
    </row>
    <row r="192" spans="1:9" x14ac:dyDescent="0.3">
      <c r="A192" s="18">
        <f t="shared" si="25"/>
        <v>4.3999999999999986</v>
      </c>
      <c r="B192" s="1" t="s">
        <v>128</v>
      </c>
      <c r="C192" s="32">
        <f>(B22/B48)*100</f>
        <v>28.292440929256852</v>
      </c>
      <c r="D192" s="32">
        <f>(C22/C48)*100</f>
        <v>26.974205275183614</v>
      </c>
      <c r="E192" s="32">
        <f>(D22/D48)*100</f>
        <v>17.725571802598431</v>
      </c>
      <c r="F192" t="s">
        <v>167</v>
      </c>
    </row>
    <row r="193" spans="1:9" x14ac:dyDescent="0.3">
      <c r="A193" s="18"/>
    </row>
    <row r="194" spans="1:9" x14ac:dyDescent="0.3">
      <c r="A194" s="18">
        <f>+A188+1</f>
        <v>5</v>
      </c>
      <c r="B194" s="17" t="s">
        <v>129</v>
      </c>
    </row>
    <row r="195" spans="1:9" x14ac:dyDescent="0.3">
      <c r="A195" s="18">
        <f>+A194+0.1</f>
        <v>5.0999999999999996</v>
      </c>
      <c r="B195" s="1" t="s">
        <v>130</v>
      </c>
      <c r="C195" s="32">
        <f>137.38/6.11</f>
        <v>22.48445171849427</v>
      </c>
      <c r="D195" s="32">
        <f>139.88/5.61</f>
        <v>24.934046345811048</v>
      </c>
      <c r="E195" s="32">
        <f>113.75/3.28</f>
        <v>34.679878048780488</v>
      </c>
      <c r="F195" t="s">
        <v>172</v>
      </c>
    </row>
    <row r="196" spans="1:9" x14ac:dyDescent="0.3">
      <c r="A196" s="18">
        <f t="shared" ref="A196:A199" si="26">+A195+0.1</f>
        <v>5.1999999999999993</v>
      </c>
      <c r="B196" s="3" t="s">
        <v>131</v>
      </c>
      <c r="C196">
        <f>B25</f>
        <v>6.11</v>
      </c>
      <c r="D196">
        <f>C25</f>
        <v>5.61</v>
      </c>
      <c r="E196">
        <f>D25</f>
        <v>3.28</v>
      </c>
    </row>
    <row r="197" spans="1:9" x14ac:dyDescent="0.3">
      <c r="A197" s="18">
        <f t="shared" si="26"/>
        <v>5.2999999999999989</v>
      </c>
      <c r="B197" s="1" t="s">
        <v>132</v>
      </c>
      <c r="C197">
        <f>137.38/3.18</f>
        <v>43.201257861635213</v>
      </c>
      <c r="D197">
        <f>139.88/3.84</f>
        <v>36.427083333333336</v>
      </c>
      <c r="E197">
        <f>113.75/3.85</f>
        <v>29.545454545454543</v>
      </c>
      <c r="F197" t="s">
        <v>173</v>
      </c>
    </row>
    <row r="198" spans="1:9" x14ac:dyDescent="0.3">
      <c r="A198" s="18">
        <f t="shared" si="26"/>
        <v>5.3999999999999986</v>
      </c>
      <c r="B198" s="3" t="s">
        <v>133</v>
      </c>
      <c r="C198">
        <v>3.18</v>
      </c>
      <c r="D198">
        <v>3.84</v>
      </c>
      <c r="E198">
        <v>3.85</v>
      </c>
      <c r="F198" s="33" t="s">
        <v>174</v>
      </c>
    </row>
    <row r="199" spans="1:9" x14ac:dyDescent="0.3">
      <c r="A199" s="18">
        <f t="shared" si="26"/>
        <v>5.4999999999999982</v>
      </c>
      <c r="B199" s="1" t="s">
        <v>134</v>
      </c>
      <c r="C199" s="26">
        <f>C200/C196</f>
        <v>-397.53991872945801</v>
      </c>
      <c r="D199" s="26">
        <f>D200/D196</f>
        <v>-459.6769837411548</v>
      </c>
      <c r="E199" s="26">
        <f>E200/E196</f>
        <v>-1308.8377453896492</v>
      </c>
    </row>
    <row r="200" spans="1:9" x14ac:dyDescent="0.3">
      <c r="A200" s="18"/>
      <c r="B200" s="3" t="s">
        <v>135</v>
      </c>
      <c r="C200" s="26">
        <f>B102/B25</f>
        <v>-2428.9689034369885</v>
      </c>
      <c r="D200" s="26">
        <f>C102/C25</f>
        <v>-2578.7878787878785</v>
      </c>
      <c r="E200" s="26">
        <f>D102/D25</f>
        <v>-4292.9878048780492</v>
      </c>
      <c r="F200" t="s">
        <v>175</v>
      </c>
    </row>
    <row r="201" spans="1:9" x14ac:dyDescent="0.3">
      <c r="A201" s="18">
        <f>+A199+0.1</f>
        <v>5.5999999999999979</v>
      </c>
      <c r="B201" s="1" t="s">
        <v>136</v>
      </c>
      <c r="C201" s="26">
        <f>B102/175.46</f>
        <v>-84.583380827539031</v>
      </c>
      <c r="D201" s="26">
        <f>C102/175.46</f>
        <v>-82.451840875413197</v>
      </c>
      <c r="E201" s="26">
        <f>D102/175.46</f>
        <v>-80.251909267069408</v>
      </c>
    </row>
    <row r="202" spans="1:9" x14ac:dyDescent="0.3">
      <c r="A202" s="18">
        <f t="shared" ref="A202:A205" si="27">+A200+0.1</f>
        <v>0.1</v>
      </c>
      <c r="B202" s="1" t="s">
        <v>137</v>
      </c>
      <c r="C202" s="32">
        <f>B22/B68*100</f>
        <v>196.95887275023682</v>
      </c>
      <c r="D202" s="32">
        <f>C22/C68*100</f>
        <v>150.07132667617688</v>
      </c>
      <c r="E202" s="32">
        <f>D22/D68*100</f>
        <v>87.866358530127485</v>
      </c>
      <c r="F202" t="s">
        <v>167</v>
      </c>
      <c r="G202" t="s">
        <v>164</v>
      </c>
      <c r="H202">
        <v>2021</v>
      </c>
      <c r="I202">
        <v>2020</v>
      </c>
    </row>
    <row r="203" spans="1:9" x14ac:dyDescent="0.3">
      <c r="A203" s="18">
        <f t="shared" si="27"/>
        <v>5.6999999999999975</v>
      </c>
      <c r="B203" s="1" t="s">
        <v>138</v>
      </c>
      <c r="C203" s="32">
        <f>C176/(B48-B56)</f>
        <v>0.60087134570590572</v>
      </c>
      <c r="D203" s="32">
        <f>D176/(C48-C56)</f>
        <v>0.48309913489209433</v>
      </c>
      <c r="E203" s="32">
        <f>E176/(D48-D56)</f>
        <v>0.30338312829525482</v>
      </c>
      <c r="F203" t="s">
        <v>176</v>
      </c>
      <c r="G203">
        <f>B25*137.39</f>
        <v>839.4529</v>
      </c>
      <c r="H203">
        <f>C25*139.88</f>
        <v>784.72680000000003</v>
      </c>
      <c r="I203">
        <f>D25*113.75</f>
        <v>373.09999999999997</v>
      </c>
    </row>
    <row r="204" spans="1:9" x14ac:dyDescent="0.3">
      <c r="A204" s="18">
        <f t="shared" si="27"/>
        <v>0.2</v>
      </c>
      <c r="B204" s="1" t="s">
        <v>128</v>
      </c>
      <c r="C204" s="32">
        <f>B76/B48*100</f>
        <v>28.292440929256852</v>
      </c>
      <c r="D204" s="32">
        <f>C76/C48*100</f>
        <v>26.974205275183614</v>
      </c>
      <c r="E204" s="32">
        <f>D76/D48*100</f>
        <v>17.725571802598431</v>
      </c>
      <c r="F204" t="s">
        <v>177</v>
      </c>
    </row>
    <row r="205" spans="1:9" x14ac:dyDescent="0.3">
      <c r="A205" s="18">
        <f t="shared" si="27"/>
        <v>5.7999999999999972</v>
      </c>
      <c r="B205" s="1" t="s">
        <v>139</v>
      </c>
      <c r="C205" s="32">
        <f>C206/C174</f>
        <v>0.84029885553197847</v>
      </c>
      <c r="D205" s="32">
        <f>D206/D174</f>
        <v>0.85121993795380635</v>
      </c>
      <c r="E205" s="32">
        <f>E206/E174</f>
        <v>1.0945529064956558</v>
      </c>
    </row>
    <row r="206" spans="1:9" x14ac:dyDescent="0.3">
      <c r="A206" s="18"/>
      <c r="B206" s="3" t="s">
        <v>140</v>
      </c>
      <c r="C206" s="26">
        <f>G203+132500-B36</f>
        <v>109693.4529</v>
      </c>
      <c r="D206" s="26">
        <f>H203+136500-C36</f>
        <v>102344.7268</v>
      </c>
      <c r="E206" s="26">
        <f>I203+122300-D36</f>
        <v>84657.1</v>
      </c>
      <c r="F206" t="s">
        <v>178</v>
      </c>
    </row>
    <row r="209" spans="2:6" x14ac:dyDescent="0.3">
      <c r="F209" t="s">
        <v>167</v>
      </c>
    </row>
    <row r="210" spans="2:6" x14ac:dyDescent="0.3">
      <c r="B210" t="s">
        <v>154</v>
      </c>
      <c r="C210" s="32">
        <f>(C187/B8)*100</f>
        <v>3.4948063541011543</v>
      </c>
      <c r="D210" s="32">
        <f>(D187/C8)*100</f>
        <v>2.8921564607440331</v>
      </c>
      <c r="E210" s="32">
        <f>(E187/D8)*100</f>
        <v>-0.22293863723293808</v>
      </c>
      <c r="F210" t="s">
        <v>179</v>
      </c>
    </row>
    <row r="211" spans="2:6" x14ac:dyDescent="0.3">
      <c r="B211" t="s">
        <v>165</v>
      </c>
      <c r="C211" s="32">
        <f>(C187/B45)*100</f>
        <v>32.720754089797474</v>
      </c>
      <c r="D211" s="32">
        <f>(D187/C45)*100</f>
        <v>26.825557809330629</v>
      </c>
      <c r="E211" s="32">
        <f>(E187/D45)*100</f>
        <v>-1.6645814067344828</v>
      </c>
      <c r="F211" t="s">
        <v>179</v>
      </c>
    </row>
    <row r="212" spans="2:6" x14ac:dyDescent="0.3">
      <c r="C212" s="32"/>
      <c r="D212" s="32"/>
      <c r="E212" s="32"/>
    </row>
    <row r="213" spans="2:6" x14ac:dyDescent="0.3">
      <c r="C213" s="32"/>
      <c r="D213" s="32"/>
      <c r="E213" s="32"/>
    </row>
    <row r="214" spans="2:6" x14ac:dyDescent="0.3">
      <c r="B214" t="s">
        <v>155</v>
      </c>
      <c r="C214" s="32"/>
      <c r="D214" s="32"/>
      <c r="E214" s="32"/>
    </row>
    <row r="215" spans="2:6" x14ac:dyDescent="0.3">
      <c r="B215" t="s">
        <v>156</v>
      </c>
      <c r="C215" s="32">
        <f>(B12/B8)*100</f>
        <v>56.690369438639912</v>
      </c>
      <c r="D215" s="32">
        <f>(C12/C8)*100</f>
        <v>58.220640374832222</v>
      </c>
      <c r="E215" s="32">
        <f>(D12/D8)*100</f>
        <v>61.76675227218913</v>
      </c>
    </row>
    <row r="216" spans="2:6" x14ac:dyDescent="0.3">
      <c r="B216" t="s">
        <v>157</v>
      </c>
      <c r="C216" s="32">
        <f>(B13/B8)*100</f>
        <v>43.309630561360088</v>
      </c>
      <c r="D216" s="32">
        <f>(C13/C8)*100</f>
        <v>41.779359625167778</v>
      </c>
      <c r="E216" s="32">
        <f>(D13/D8)*100</f>
        <v>38.233247727810863</v>
      </c>
    </row>
    <row r="217" spans="2:6" x14ac:dyDescent="0.3">
      <c r="B217" t="s">
        <v>159</v>
      </c>
      <c r="C217" s="32"/>
      <c r="D217" s="32"/>
      <c r="E217" s="32"/>
    </row>
    <row r="218" spans="2:6" x14ac:dyDescent="0.3">
      <c r="C218" s="32"/>
      <c r="D218" s="32"/>
      <c r="E218" s="32"/>
    </row>
    <row r="219" spans="2:6" x14ac:dyDescent="0.3">
      <c r="B219" t="s">
        <v>160</v>
      </c>
      <c r="C219" s="32">
        <f>(B15/B8)*100</f>
        <v>6.6571483637986653</v>
      </c>
      <c r="D219" s="32">
        <f>(C15/C8)*100</f>
        <v>5.9904269074427923</v>
      </c>
      <c r="E219" s="32">
        <f>(D15/D8)*100</f>
        <v>6.8309564140393064</v>
      </c>
    </row>
    <row r="220" spans="2:6" x14ac:dyDescent="0.3">
      <c r="B220" t="s">
        <v>161</v>
      </c>
      <c r="C220" s="32">
        <f>(B16/B8)*100</f>
        <v>6.3637378020328264</v>
      </c>
      <c r="D220" s="32">
        <f>(C16/C8)*100</f>
        <v>6.0065551901633878</v>
      </c>
      <c r="E220" s="32">
        <f>(D16/D8)*100</f>
        <v>7.254976959364698</v>
      </c>
    </row>
    <row r="221" spans="2:6" x14ac:dyDescent="0.3">
      <c r="C221" s="32"/>
      <c r="D221" s="32"/>
      <c r="E221" s="32"/>
    </row>
    <row r="222" spans="2:6" x14ac:dyDescent="0.3">
      <c r="B222" t="s">
        <v>158</v>
      </c>
      <c r="C222" s="32">
        <f>(B18/B8)*100</f>
        <v>30.288744395528592</v>
      </c>
      <c r="D222" s="32">
        <f>(C18/C8)*100</f>
        <v>29.782377527561593</v>
      </c>
      <c r="E222" s="32">
        <f>(D18/D8)*100</f>
        <v>24.147314354406863</v>
      </c>
    </row>
    <row r="223" spans="2:6" x14ac:dyDescent="0.3">
      <c r="B223" t="s">
        <v>162</v>
      </c>
      <c r="C223" s="32">
        <f>(B22/B8)*100</f>
        <v>25.309640705199733</v>
      </c>
      <c r="D223" s="32">
        <f>(C22/C8)*100</f>
        <v>25.881793355694239</v>
      </c>
      <c r="E223" s="32">
        <f>(D22/D8)*100</f>
        <v>20.913611278072235</v>
      </c>
    </row>
    <row r="224" spans="2:6" x14ac:dyDescent="0.3">
      <c r="F224" t="s">
        <v>94</v>
      </c>
    </row>
    <row r="225" spans="6:6" x14ac:dyDescent="0.3">
      <c r="F225" t="s">
        <v>180</v>
      </c>
    </row>
  </sheetData>
  <mergeCells count="7">
    <mergeCell ref="C157:E157"/>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topLeftCell="A14" workbookViewId="0">
      <selection activeCell="D51" sqref="B1:E51"/>
    </sheetView>
  </sheetViews>
  <sheetFormatPr defaultColWidth="8.77734375" defaultRowHeight="14.4" x14ac:dyDescent="0.3"/>
  <cols>
    <col min="1" max="1" width="4.6640625" customWidth="1"/>
    <col min="2" max="2" width="44.77734375" customWidth="1"/>
    <col min="4" max="4" width="8.77734375" customWidth="1"/>
  </cols>
  <sheetData>
    <row r="1" spans="1:10" ht="60" customHeight="1" x14ac:dyDescent="0.5">
      <c r="A1" s="6"/>
      <c r="B1" s="20" t="s">
        <v>0</v>
      </c>
      <c r="C1" s="19"/>
      <c r="D1" s="19"/>
      <c r="E1" s="19"/>
      <c r="F1" s="19"/>
      <c r="G1" s="19"/>
      <c r="H1" s="19"/>
      <c r="I1" s="19"/>
      <c r="J1" s="19"/>
    </row>
    <row r="2" spans="1:10" x14ac:dyDescent="0.3">
      <c r="C2" s="30" t="s">
        <v>23</v>
      </c>
      <c r="D2" s="30"/>
      <c r="E2" s="30"/>
    </row>
    <row r="3" spans="1:10" x14ac:dyDescent="0.3">
      <c r="C3" s="7">
        <f>+'Financial Statements'!B4</f>
        <v>2022</v>
      </c>
      <c r="D3" s="7">
        <f>+'Financial Statements'!C4</f>
        <v>2021</v>
      </c>
      <c r="E3" s="7">
        <f>+'Financial Statements'!D4</f>
        <v>2020</v>
      </c>
    </row>
    <row r="4" spans="1:10" x14ac:dyDescent="0.3">
      <c r="A4" s="18">
        <v>1</v>
      </c>
      <c r="B4" s="7" t="s">
        <v>99</v>
      </c>
    </row>
    <row r="5" spans="1:10" x14ac:dyDescent="0.3">
      <c r="A5" s="18">
        <f>+A4+0.1</f>
        <v>1.1000000000000001</v>
      </c>
      <c r="B5" s="25" t="s">
        <v>100</v>
      </c>
    </row>
    <row r="6" spans="1:10" x14ac:dyDescent="0.3">
      <c r="A6" s="18">
        <f t="shared" ref="A6:A13" si="0">+A5+0.1</f>
        <v>1.2000000000000002</v>
      </c>
      <c r="B6" s="1" t="s">
        <v>101</v>
      </c>
    </row>
    <row r="7" spans="1:10" x14ac:dyDescent="0.3">
      <c r="A7" s="18">
        <f t="shared" si="0"/>
        <v>1.3000000000000003</v>
      </c>
      <c r="B7" s="25" t="s">
        <v>102</v>
      </c>
      <c r="D7" s="7"/>
    </row>
    <row r="8" spans="1:10" x14ac:dyDescent="0.3">
      <c r="A8" s="18">
        <f t="shared" si="0"/>
        <v>1.4000000000000004</v>
      </c>
      <c r="B8" s="1" t="s">
        <v>103</v>
      </c>
    </row>
    <row r="9" spans="1:10" x14ac:dyDescent="0.3">
      <c r="A9" s="18">
        <f t="shared" si="0"/>
        <v>1.5000000000000004</v>
      </c>
      <c r="B9" s="1" t="s">
        <v>104</v>
      </c>
    </row>
    <row r="10" spans="1:10" x14ac:dyDescent="0.3">
      <c r="A10" s="18">
        <f t="shared" si="0"/>
        <v>1.6000000000000005</v>
      </c>
      <c r="B10" s="1" t="s">
        <v>105</v>
      </c>
    </row>
    <row r="11" spans="1:10" x14ac:dyDescent="0.3">
      <c r="A11" s="18">
        <f t="shared" si="0"/>
        <v>1.7000000000000006</v>
      </c>
      <c r="B11" s="1" t="s">
        <v>106</v>
      </c>
    </row>
    <row r="12" spans="1:10" x14ac:dyDescent="0.3">
      <c r="A12" s="18">
        <f t="shared" si="0"/>
        <v>1.8000000000000007</v>
      </c>
      <c r="B12" s="1" t="s">
        <v>107</v>
      </c>
    </row>
    <row r="13" spans="1:10" x14ac:dyDescent="0.3">
      <c r="A13" s="18">
        <f t="shared" si="0"/>
        <v>1.9000000000000008</v>
      </c>
      <c r="B13" s="1" t="s">
        <v>108</v>
      </c>
    </row>
    <row r="14" spans="1:10" x14ac:dyDescent="0.3">
      <c r="A14" s="18"/>
      <c r="B14" s="3" t="s">
        <v>109</v>
      </c>
    </row>
    <row r="15" spans="1:10" x14ac:dyDescent="0.3">
      <c r="A15" s="18"/>
    </row>
    <row r="16" spans="1:10" x14ac:dyDescent="0.3">
      <c r="A16" s="18">
        <f>+A4+1</f>
        <v>2</v>
      </c>
      <c r="B16" s="17" t="s">
        <v>110</v>
      </c>
    </row>
    <row r="17" spans="1:2" x14ac:dyDescent="0.3">
      <c r="A17" s="18">
        <f>+A16+0.1</f>
        <v>2.1</v>
      </c>
      <c r="B17" s="1" t="s">
        <v>9</v>
      </c>
    </row>
    <row r="18" spans="1:2" x14ac:dyDescent="0.3">
      <c r="A18" s="18">
        <f>+A17+0.1</f>
        <v>2.2000000000000002</v>
      </c>
      <c r="B18" s="1" t="s">
        <v>111</v>
      </c>
    </row>
    <row r="19" spans="1:2" x14ac:dyDescent="0.3">
      <c r="A19" s="18"/>
      <c r="B19" s="3" t="s">
        <v>112</v>
      </c>
    </row>
    <row r="20" spans="1:2" x14ac:dyDescent="0.3">
      <c r="A20" s="18">
        <f>+A18+0.1</f>
        <v>2.3000000000000003</v>
      </c>
      <c r="B20" s="1" t="s">
        <v>113</v>
      </c>
    </row>
    <row r="21" spans="1:2" x14ac:dyDescent="0.3">
      <c r="A21" s="18"/>
      <c r="B21" s="3" t="s">
        <v>114</v>
      </c>
    </row>
    <row r="22" spans="1:2" x14ac:dyDescent="0.3">
      <c r="A22" s="18">
        <f>+A20+0.1</f>
        <v>2.4000000000000004</v>
      </c>
      <c r="B22" s="1" t="s">
        <v>115</v>
      </c>
    </row>
    <row r="23" spans="1:2" x14ac:dyDescent="0.3">
      <c r="A23" s="18"/>
    </row>
    <row r="24" spans="1:2" x14ac:dyDescent="0.3">
      <c r="A24" s="18">
        <f>+A16+1</f>
        <v>3</v>
      </c>
      <c r="B24" s="7" t="s">
        <v>116</v>
      </c>
    </row>
    <row r="25" spans="1:2" x14ac:dyDescent="0.3">
      <c r="A25" s="18">
        <f>+A24+0.1</f>
        <v>3.1</v>
      </c>
      <c r="B25" s="1" t="s">
        <v>117</v>
      </c>
    </row>
    <row r="26" spans="1:2" x14ac:dyDescent="0.3">
      <c r="A26" s="18">
        <f t="shared" ref="A26:A30" si="1">+A25+0.1</f>
        <v>3.2</v>
      </c>
      <c r="B26" s="1" t="s">
        <v>118</v>
      </c>
    </row>
    <row r="27" spans="1:2" x14ac:dyDescent="0.3">
      <c r="A27" s="18">
        <f t="shared" si="1"/>
        <v>3.3000000000000003</v>
      </c>
      <c r="B27" s="1" t="s">
        <v>119</v>
      </c>
    </row>
    <row r="28" spans="1:2" x14ac:dyDescent="0.3">
      <c r="A28" s="18">
        <f t="shared" si="1"/>
        <v>3.4000000000000004</v>
      </c>
      <c r="B28" s="1" t="s">
        <v>120</v>
      </c>
    </row>
    <row r="29" spans="1:2" x14ac:dyDescent="0.3">
      <c r="A29" s="18">
        <f t="shared" si="1"/>
        <v>3.5000000000000004</v>
      </c>
      <c r="B29" s="1" t="s">
        <v>121</v>
      </c>
    </row>
    <row r="30" spans="1:2" x14ac:dyDescent="0.3">
      <c r="A30" s="18">
        <f t="shared" si="1"/>
        <v>3.6000000000000005</v>
      </c>
      <c r="B30" s="1" t="s">
        <v>122</v>
      </c>
    </row>
    <row r="31" spans="1:2" x14ac:dyDescent="0.3">
      <c r="A31" s="18"/>
      <c r="B31" s="3" t="s">
        <v>123</v>
      </c>
    </row>
    <row r="32" spans="1:2" x14ac:dyDescent="0.3">
      <c r="A32" s="18"/>
    </row>
    <row r="33" spans="1:2" x14ac:dyDescent="0.3">
      <c r="A33" s="18">
        <f>+A24+1</f>
        <v>4</v>
      </c>
      <c r="B33" s="17" t="s">
        <v>124</v>
      </c>
    </row>
    <row r="34" spans="1:2" x14ac:dyDescent="0.3">
      <c r="A34" s="18">
        <f>+A33+0.1</f>
        <v>4.0999999999999996</v>
      </c>
      <c r="B34" s="1" t="s">
        <v>125</v>
      </c>
    </row>
    <row r="35" spans="1:2" x14ac:dyDescent="0.3">
      <c r="A35" s="18">
        <f t="shared" ref="A35:A37" si="2">+A34+0.1</f>
        <v>4.1999999999999993</v>
      </c>
      <c r="B35" s="1" t="s">
        <v>126</v>
      </c>
    </row>
    <row r="36" spans="1:2" x14ac:dyDescent="0.3">
      <c r="A36" s="18">
        <f t="shared" si="2"/>
        <v>4.2999999999999989</v>
      </c>
      <c r="B36" s="1" t="s">
        <v>127</v>
      </c>
    </row>
    <row r="37" spans="1:2" x14ac:dyDescent="0.3">
      <c r="A37" s="18">
        <f t="shared" si="2"/>
        <v>4.3999999999999986</v>
      </c>
      <c r="B37" s="1" t="s">
        <v>128</v>
      </c>
    </row>
    <row r="38" spans="1:2" x14ac:dyDescent="0.3">
      <c r="A38" s="18"/>
    </row>
    <row r="39" spans="1:2" x14ac:dyDescent="0.3">
      <c r="A39" s="18">
        <f>+A33+1</f>
        <v>5</v>
      </c>
      <c r="B39" s="17" t="s">
        <v>129</v>
      </c>
    </row>
    <row r="40" spans="1:2" x14ac:dyDescent="0.3">
      <c r="A40" s="18">
        <f>+A39+0.1</f>
        <v>5.0999999999999996</v>
      </c>
      <c r="B40" s="1" t="s">
        <v>130</v>
      </c>
    </row>
    <row r="41" spans="1:2" x14ac:dyDescent="0.3">
      <c r="A41" s="18">
        <f t="shared" ref="A41:A44" si="3">+A40+0.1</f>
        <v>5.1999999999999993</v>
      </c>
      <c r="B41" s="3" t="s">
        <v>131</v>
      </c>
    </row>
    <row r="42" spans="1:2" x14ac:dyDescent="0.3">
      <c r="A42" s="18">
        <f t="shared" si="3"/>
        <v>5.2999999999999989</v>
      </c>
      <c r="B42" s="1" t="s">
        <v>132</v>
      </c>
    </row>
    <row r="43" spans="1:2" x14ac:dyDescent="0.3">
      <c r="A43" s="18">
        <f t="shared" si="3"/>
        <v>5.3999999999999986</v>
      </c>
      <c r="B43" s="3" t="s">
        <v>133</v>
      </c>
    </row>
    <row r="44" spans="1:2" x14ac:dyDescent="0.3">
      <c r="A44" s="18">
        <f t="shared" si="3"/>
        <v>5.4999999999999982</v>
      </c>
      <c r="B44" s="1" t="s">
        <v>134</v>
      </c>
    </row>
    <row r="45" spans="1:2" x14ac:dyDescent="0.3">
      <c r="A45" s="18"/>
      <c r="B45" s="3" t="s">
        <v>135</v>
      </c>
    </row>
    <row r="46" spans="1:2" x14ac:dyDescent="0.3">
      <c r="A46" s="18">
        <f>+A44+0.1</f>
        <v>5.5999999999999979</v>
      </c>
      <c r="B46" s="1" t="s">
        <v>136</v>
      </c>
    </row>
    <row r="47" spans="1:2" x14ac:dyDescent="0.3">
      <c r="A47" s="18">
        <f t="shared" ref="A47:A50" si="4">+A45+0.1</f>
        <v>0.1</v>
      </c>
      <c r="B47" s="1" t="s">
        <v>137</v>
      </c>
    </row>
    <row r="48" spans="1:2" x14ac:dyDescent="0.3">
      <c r="A48" s="18">
        <f t="shared" si="4"/>
        <v>5.6999999999999975</v>
      </c>
      <c r="B48" s="1" t="s">
        <v>138</v>
      </c>
    </row>
    <row r="49" spans="1:2" x14ac:dyDescent="0.3">
      <c r="A49" s="18">
        <f t="shared" si="4"/>
        <v>0.2</v>
      </c>
      <c r="B49" s="1" t="s">
        <v>128</v>
      </c>
    </row>
    <row r="50" spans="1:2" x14ac:dyDescent="0.3">
      <c r="A50" s="18">
        <f t="shared" si="4"/>
        <v>5.7999999999999972</v>
      </c>
      <c r="B50" s="1" t="s">
        <v>139</v>
      </c>
    </row>
    <row r="51" spans="1:2" x14ac:dyDescent="0.3">
      <c r="A51" s="18"/>
      <c r="B51" s="3" t="s">
        <v>140</v>
      </c>
    </row>
  </sheetData>
  <mergeCells count="1">
    <mergeCell ref="C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2020-05-18T16:32:37Z</dcterms:created>
  <dcterms:modified xsi:type="dcterms:W3CDTF">2023-11-20T18:44:20Z</dcterms:modified>
</cp:coreProperties>
</file>