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zainabanwar/Documents/"/>
    </mc:Choice>
  </mc:AlternateContent>
  <xr:revisionPtr revIDLastSave="0" documentId="8_{C279EFAF-1EBF-8449-8864-95472CA06EF6}" xr6:coauthVersionLast="47" xr6:coauthVersionMax="47" xr10:uidLastSave="{00000000-0000-0000-0000-000000000000}"/>
  <bookViews>
    <workbookView xWindow="1480" yWindow="740" windowWidth="27920" windowHeight="17060" activeTab="2" xr2:uid="{00000000-000D-0000-FFFF-FFFF00000000}"/>
  </bookViews>
  <sheets>
    <sheet name="Instructions" sheetId="2" r:id="rId1"/>
    <sheet name="Financial Statements (2)" sheetId="5" r:id="rId2"/>
    <sheet name="List of ratio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5" i="6" l="1"/>
  <c r="D235" i="6"/>
  <c r="C235" i="6"/>
  <c r="C225" i="6"/>
  <c r="C226" i="6"/>
  <c r="E225" i="6"/>
  <c r="E8" i="6"/>
  <c r="E13" i="6" s="1"/>
  <c r="D246" i="6"/>
  <c r="D244" i="6"/>
  <c r="D243" i="6"/>
  <c r="E239" i="6"/>
  <c r="C239" i="6"/>
  <c r="E237" i="6"/>
  <c r="E230" i="6"/>
  <c r="D230" i="6"/>
  <c r="C230" i="6"/>
  <c r="E229" i="6"/>
  <c r="D229" i="6"/>
  <c r="C229" i="6"/>
  <c r="E227" i="6"/>
  <c r="D227" i="6"/>
  <c r="C227" i="6"/>
  <c r="E226" i="6"/>
  <c r="D226" i="6"/>
  <c r="D225" i="6"/>
  <c r="E208" i="6"/>
  <c r="E206" i="6" s="1"/>
  <c r="D208" i="6"/>
  <c r="D206" i="6" s="1"/>
  <c r="C208" i="6"/>
  <c r="C206" i="6" s="1"/>
  <c r="A202" i="6"/>
  <c r="A204" i="6" s="1"/>
  <c r="E201" i="6"/>
  <c r="D201" i="6"/>
  <c r="C201" i="6"/>
  <c r="E200" i="6"/>
  <c r="D200" i="6"/>
  <c r="C200" i="6"/>
  <c r="C199" i="6" s="1"/>
  <c r="D199" i="6"/>
  <c r="E198" i="6"/>
  <c r="E196" i="6"/>
  <c r="E199" i="6" s="1"/>
  <c r="D196" i="6"/>
  <c r="C196" i="6"/>
  <c r="D195" i="6"/>
  <c r="C195" i="6"/>
  <c r="E187" i="6"/>
  <c r="D187" i="6"/>
  <c r="D237" i="6" s="1"/>
  <c r="C187" i="6"/>
  <c r="C237" i="6" s="1"/>
  <c r="A179" i="6"/>
  <c r="A188" i="6" s="1"/>
  <c r="A171" i="6"/>
  <c r="A172" i="6" s="1"/>
  <c r="A173" i="6" s="1"/>
  <c r="A175" i="6" s="1"/>
  <c r="A177" i="6" s="1"/>
  <c r="E169" i="6"/>
  <c r="E168" i="6" s="1"/>
  <c r="E166" i="6"/>
  <c r="C166" i="6"/>
  <c r="D165" i="6"/>
  <c r="E163" i="6"/>
  <c r="D163" i="6"/>
  <c r="D161" i="6"/>
  <c r="A160" i="6"/>
  <c r="A161" i="6" s="1"/>
  <c r="A162" i="6" s="1"/>
  <c r="A163" i="6" s="1"/>
  <c r="A164" i="6" s="1"/>
  <c r="A165" i="6" s="1"/>
  <c r="A166" i="6" s="1"/>
  <c r="A167" i="6" s="1"/>
  <c r="A168" i="6" s="1"/>
  <c r="D108" i="6"/>
  <c r="C108" i="6"/>
  <c r="B108" i="6"/>
  <c r="D99" i="6"/>
  <c r="C99" i="6"/>
  <c r="B99" i="6"/>
  <c r="D68" i="6"/>
  <c r="D69" i="6" s="1"/>
  <c r="C68" i="6"/>
  <c r="D198" i="6" s="1"/>
  <c r="B68" i="6"/>
  <c r="C198" i="6" s="1"/>
  <c r="C197" i="6" s="1"/>
  <c r="D62" i="6"/>
  <c r="C62" i="6"/>
  <c r="D61" i="6"/>
  <c r="C61" i="6"/>
  <c r="B61" i="6"/>
  <c r="D56" i="6"/>
  <c r="E162" i="6" s="1"/>
  <c r="C56" i="6"/>
  <c r="D162" i="6" s="1"/>
  <c r="B56" i="6"/>
  <c r="B62" i="6" s="1"/>
  <c r="B69" i="6" s="1"/>
  <c r="D48" i="6"/>
  <c r="E181" i="6" s="1"/>
  <c r="D47" i="6"/>
  <c r="C47" i="6"/>
  <c r="B47" i="6"/>
  <c r="D42" i="6"/>
  <c r="C42" i="6"/>
  <c r="D169" i="6" s="1"/>
  <c r="B42" i="6"/>
  <c r="C163" i="6" s="1"/>
  <c r="D33" i="6"/>
  <c r="D73" i="6" s="1"/>
  <c r="C33" i="6"/>
  <c r="C73" i="6" s="1"/>
  <c r="B33" i="6"/>
  <c r="B73" i="6" s="1"/>
  <c r="E17" i="6"/>
  <c r="E231" i="6" s="1"/>
  <c r="D17" i="6"/>
  <c r="E248" i="6" s="1"/>
  <c r="C17" i="6"/>
  <c r="D231" i="6" s="1"/>
  <c r="B17" i="6"/>
  <c r="C231" i="6" s="1"/>
  <c r="C13" i="6"/>
  <c r="C18" i="6" s="1"/>
  <c r="D12" i="6"/>
  <c r="E243" i="6" s="1"/>
  <c r="C12" i="6"/>
  <c r="D164" i="6" s="1"/>
  <c r="B12" i="6"/>
  <c r="C165" i="6" s="1"/>
  <c r="D8" i="6"/>
  <c r="E247" i="6" s="1"/>
  <c r="C8" i="6"/>
  <c r="D247" i="6" s="1"/>
  <c r="B8" i="6"/>
  <c r="C247" i="6" s="1"/>
  <c r="D246" i="5"/>
  <c r="C246" i="5"/>
  <c r="E239" i="5"/>
  <c r="D239" i="5"/>
  <c r="C239" i="5"/>
  <c r="E230" i="5"/>
  <c r="D230" i="5"/>
  <c r="C230" i="5"/>
  <c r="E229" i="5"/>
  <c r="D229" i="5"/>
  <c r="C229" i="5"/>
  <c r="E227" i="5"/>
  <c r="D227" i="5"/>
  <c r="C227" i="5"/>
  <c r="E226" i="5"/>
  <c r="D226" i="5"/>
  <c r="C226" i="5"/>
  <c r="D225" i="5"/>
  <c r="E208" i="5"/>
  <c r="E206" i="5" s="1"/>
  <c r="D208" i="5"/>
  <c r="C208" i="5"/>
  <c r="C206" i="5" s="1"/>
  <c r="D206" i="5"/>
  <c r="A202" i="5"/>
  <c r="A204" i="5" s="1"/>
  <c r="E201" i="5"/>
  <c r="D201" i="5"/>
  <c r="C201" i="5"/>
  <c r="E200" i="5"/>
  <c r="E199" i="5" s="1"/>
  <c r="D200" i="5"/>
  <c r="C200" i="5"/>
  <c r="D199" i="5"/>
  <c r="C199" i="5"/>
  <c r="E196" i="5"/>
  <c r="E195" i="5" s="1"/>
  <c r="D196" i="5"/>
  <c r="C196" i="5"/>
  <c r="D195" i="5"/>
  <c r="C195" i="5"/>
  <c r="E187" i="5"/>
  <c r="E237" i="5" s="1"/>
  <c r="D187" i="5"/>
  <c r="D237" i="5" s="1"/>
  <c r="C187" i="5"/>
  <c r="A171" i="5"/>
  <c r="A179" i="5" s="1"/>
  <c r="E166" i="5"/>
  <c r="C166" i="5"/>
  <c r="E165" i="5"/>
  <c r="E163" i="5"/>
  <c r="E161" i="5"/>
  <c r="A160" i="5"/>
  <c r="A161" i="5" s="1"/>
  <c r="A162" i="5" s="1"/>
  <c r="A163" i="5" s="1"/>
  <c r="A164" i="5" s="1"/>
  <c r="A165" i="5" s="1"/>
  <c r="A166" i="5" s="1"/>
  <c r="A167" i="5" s="1"/>
  <c r="A168" i="5" s="1"/>
  <c r="D108" i="5"/>
  <c r="C108" i="5"/>
  <c r="B108" i="5"/>
  <c r="D99" i="5"/>
  <c r="C99" i="5"/>
  <c r="B99" i="5"/>
  <c r="D73" i="5"/>
  <c r="C73" i="5"/>
  <c r="D68" i="5"/>
  <c r="E198" i="5" s="1"/>
  <c r="C68" i="5"/>
  <c r="D198" i="5" s="1"/>
  <c r="D197" i="5" s="1"/>
  <c r="B68" i="5"/>
  <c r="C180" i="5" s="1"/>
  <c r="D62" i="5"/>
  <c r="D61" i="5"/>
  <c r="C61" i="5"/>
  <c r="B61" i="5"/>
  <c r="D56" i="5"/>
  <c r="E162" i="5" s="1"/>
  <c r="C56" i="5"/>
  <c r="C62" i="5" s="1"/>
  <c r="B56" i="5"/>
  <c r="B62" i="5" s="1"/>
  <c r="D47" i="5"/>
  <c r="C47" i="5"/>
  <c r="B47" i="5"/>
  <c r="D42" i="5"/>
  <c r="E169" i="5" s="1"/>
  <c r="E168" i="5" s="1"/>
  <c r="C42" i="5"/>
  <c r="D163" i="5" s="1"/>
  <c r="B42" i="5"/>
  <c r="C163" i="5" s="1"/>
  <c r="D33" i="5"/>
  <c r="C33" i="5"/>
  <c r="B33" i="5"/>
  <c r="B73" i="5" s="1"/>
  <c r="E17" i="5"/>
  <c r="D17" i="5"/>
  <c r="E231" i="5" s="1"/>
  <c r="C17" i="5"/>
  <c r="D248" i="5" s="1"/>
  <c r="B17" i="5"/>
  <c r="C248" i="5" s="1"/>
  <c r="D12" i="5"/>
  <c r="E243" i="5" s="1"/>
  <c r="C12" i="5"/>
  <c r="D165" i="5" s="1"/>
  <c r="B12" i="5"/>
  <c r="C165" i="5" s="1"/>
  <c r="E8" i="5"/>
  <c r="E13" i="5" s="1"/>
  <c r="D8" i="5"/>
  <c r="E247" i="5" s="1"/>
  <c r="C8" i="5"/>
  <c r="D247" i="5" s="1"/>
  <c r="B8" i="5"/>
  <c r="C247" i="5" s="1"/>
  <c r="D249" i="6" l="1"/>
  <c r="D174" i="6"/>
  <c r="D173" i="6" s="1"/>
  <c r="C20" i="6"/>
  <c r="C22" i="6" s="1"/>
  <c r="A189" i="6"/>
  <c r="A190" i="6" s="1"/>
  <c r="A191" i="6" s="1"/>
  <c r="A192" i="6" s="1"/>
  <c r="A194" i="6"/>
  <c r="A195" i="6" s="1"/>
  <c r="A196" i="6" s="1"/>
  <c r="A197" i="6" s="1"/>
  <c r="A198" i="6" s="1"/>
  <c r="A199" i="6" s="1"/>
  <c r="A201" i="6" s="1"/>
  <c r="A203" i="6" s="1"/>
  <c r="A205" i="6" s="1"/>
  <c r="D205" i="6"/>
  <c r="E161" i="6"/>
  <c r="E165" i="6"/>
  <c r="C176" i="6"/>
  <c r="A180" i="6"/>
  <c r="A181" i="6" s="1"/>
  <c r="A182" i="6" s="1"/>
  <c r="A183" i="6" s="1"/>
  <c r="A184" i="6" s="1"/>
  <c r="A185" i="6" s="1"/>
  <c r="C189" i="6"/>
  <c r="C191" i="6"/>
  <c r="D248" i="6"/>
  <c r="D176" i="6"/>
  <c r="C180" i="6"/>
  <c r="C182" i="6"/>
  <c r="D189" i="6"/>
  <c r="D191" i="6"/>
  <c r="D239" i="6"/>
  <c r="C246" i="6"/>
  <c r="C248" i="6"/>
  <c r="C160" i="6"/>
  <c r="C172" i="6"/>
  <c r="E176" i="6"/>
  <c r="D180" i="6"/>
  <c r="D182" i="6"/>
  <c r="E189" i="6"/>
  <c r="E191" i="6"/>
  <c r="D197" i="6"/>
  <c r="B13" i="6"/>
  <c r="D160" i="6"/>
  <c r="D166" i="6"/>
  <c r="D167" i="6" s="1"/>
  <c r="D168" i="6"/>
  <c r="D172" i="6"/>
  <c r="E180" i="6"/>
  <c r="E182" i="6"/>
  <c r="E195" i="6"/>
  <c r="E197" i="6"/>
  <c r="C243" i="6"/>
  <c r="E246" i="6"/>
  <c r="C162" i="6"/>
  <c r="E160" i="6"/>
  <c r="E164" i="6"/>
  <c r="E167" i="6" s="1"/>
  <c r="E172" i="6"/>
  <c r="D13" i="6"/>
  <c r="B48" i="6"/>
  <c r="C181" i="6" s="1"/>
  <c r="C69" i="6"/>
  <c r="C169" i="6"/>
  <c r="C168" i="6" s="1"/>
  <c r="D190" i="6"/>
  <c r="C164" i="6"/>
  <c r="C167" i="6" s="1"/>
  <c r="C190" i="6"/>
  <c r="C48" i="6"/>
  <c r="D181" i="6" s="1"/>
  <c r="C161" i="6"/>
  <c r="E190" i="6"/>
  <c r="A188" i="5"/>
  <c r="A180" i="5"/>
  <c r="A181" i="5" s="1"/>
  <c r="A182" i="5" s="1"/>
  <c r="A183" i="5" s="1"/>
  <c r="A184" i="5" s="1"/>
  <c r="A185" i="5" s="1"/>
  <c r="E248" i="5"/>
  <c r="C191" i="5"/>
  <c r="D176" i="5"/>
  <c r="D191" i="5"/>
  <c r="C160" i="5"/>
  <c r="C172" i="5"/>
  <c r="E176" i="5"/>
  <c r="D180" i="5"/>
  <c r="D182" i="5"/>
  <c r="E191" i="5"/>
  <c r="C231" i="5"/>
  <c r="B13" i="5"/>
  <c r="D160" i="5"/>
  <c r="D162" i="5"/>
  <c r="D164" i="5"/>
  <c r="D166" i="5"/>
  <c r="D168" i="5"/>
  <c r="D172" i="5"/>
  <c r="E180" i="5"/>
  <c r="E182" i="5"/>
  <c r="E197" i="5"/>
  <c r="D231" i="5"/>
  <c r="C243" i="5"/>
  <c r="E246" i="5"/>
  <c r="D243" i="5"/>
  <c r="C182" i="5"/>
  <c r="C164" i="5"/>
  <c r="C167" i="5" s="1"/>
  <c r="C13" i="5"/>
  <c r="B69" i="5"/>
  <c r="E160" i="5"/>
  <c r="E164" i="5"/>
  <c r="E167" i="5" s="1"/>
  <c r="E172" i="5"/>
  <c r="C190" i="5"/>
  <c r="D13" i="5"/>
  <c r="B48" i="5"/>
  <c r="C69" i="5"/>
  <c r="C169" i="5"/>
  <c r="C168" i="5" s="1"/>
  <c r="D190" i="5"/>
  <c r="C198" i="5"/>
  <c r="C197" i="5" s="1"/>
  <c r="E225" i="5"/>
  <c r="C237" i="5"/>
  <c r="C176" i="5"/>
  <c r="A172" i="5"/>
  <c r="A173" i="5" s="1"/>
  <c r="A175" i="5" s="1"/>
  <c r="A177" i="5" s="1"/>
  <c r="C162" i="5"/>
  <c r="C48" i="5"/>
  <c r="D69" i="5"/>
  <c r="C161" i="5"/>
  <c r="D169" i="5"/>
  <c r="E190" i="5"/>
  <c r="D48" i="5"/>
  <c r="D161" i="5"/>
  <c r="E183" i="6" l="1"/>
  <c r="E203" i="6"/>
  <c r="E175" i="6"/>
  <c r="D250" i="6"/>
  <c r="D204" i="6"/>
  <c r="D202" i="6"/>
  <c r="D192" i="6"/>
  <c r="D177" i="6"/>
  <c r="C76" i="6"/>
  <c r="C91" i="6" s="1"/>
  <c r="D184" i="6"/>
  <c r="C244" i="6"/>
  <c r="B18" i="6"/>
  <c r="C223" i="6"/>
  <c r="C183" i="6"/>
  <c r="C175" i="6"/>
  <c r="C203" i="6"/>
  <c r="D18" i="6"/>
  <c r="E223" i="6"/>
  <c r="E244" i="6"/>
  <c r="D223" i="6"/>
  <c r="D183" i="6"/>
  <c r="D175" i="6"/>
  <c r="D203" i="6"/>
  <c r="C244" i="5"/>
  <c r="C223" i="5"/>
  <c r="B18" i="5"/>
  <c r="C189" i="5"/>
  <c r="C181" i="5"/>
  <c r="D183" i="5"/>
  <c r="D175" i="5"/>
  <c r="D203" i="5"/>
  <c r="E244" i="5"/>
  <c r="D18" i="5"/>
  <c r="E223" i="5"/>
  <c r="D244" i="5"/>
  <c r="C18" i="5"/>
  <c r="D223" i="5"/>
  <c r="E181" i="5"/>
  <c r="E189" i="5"/>
  <c r="C183" i="5"/>
  <c r="C175" i="5"/>
  <c r="C203" i="5"/>
  <c r="D167" i="5"/>
  <c r="E183" i="5"/>
  <c r="E175" i="5"/>
  <c r="E203" i="5"/>
  <c r="D181" i="5"/>
  <c r="D189" i="5"/>
  <c r="A194" i="5"/>
  <c r="A195" i="5" s="1"/>
  <c r="A196" i="5" s="1"/>
  <c r="A197" i="5" s="1"/>
  <c r="A198" i="5" s="1"/>
  <c r="A199" i="5" s="1"/>
  <c r="A201" i="5" s="1"/>
  <c r="A203" i="5" s="1"/>
  <c r="A205" i="5" s="1"/>
  <c r="A189" i="5"/>
  <c r="A190" i="5" s="1"/>
  <c r="A191" i="5" s="1"/>
  <c r="A192" i="5" s="1"/>
  <c r="B20" i="6" l="1"/>
  <c r="B22" i="6" s="1"/>
  <c r="C249" i="6"/>
  <c r="C174" i="6"/>
  <c r="E249" i="6"/>
  <c r="E174" i="6"/>
  <c r="D20" i="6"/>
  <c r="D22" i="6" s="1"/>
  <c r="C109" i="6"/>
  <c r="D186" i="6"/>
  <c r="D185" i="6" s="1"/>
  <c r="C20" i="5"/>
  <c r="C22" i="5" s="1"/>
  <c r="D249" i="5"/>
  <c r="D174" i="5"/>
  <c r="B20" i="5"/>
  <c r="B22" i="5" s="1"/>
  <c r="C174" i="5"/>
  <c r="C249" i="5"/>
  <c r="E249" i="5"/>
  <c r="E174" i="5"/>
  <c r="D20" i="5"/>
  <c r="D22" i="5" s="1"/>
  <c r="E173" i="6" l="1"/>
  <c r="E205" i="6"/>
  <c r="C173" i="6"/>
  <c r="C205" i="6"/>
  <c r="E250" i="6"/>
  <c r="E204" i="6"/>
  <c r="E202" i="6"/>
  <c r="E192" i="6"/>
  <c r="E177" i="6"/>
  <c r="D76" i="6"/>
  <c r="D91" i="6" s="1"/>
  <c r="E184" i="6"/>
  <c r="C204" i="6"/>
  <c r="C250" i="6"/>
  <c r="C202" i="6"/>
  <c r="C192" i="6"/>
  <c r="C177" i="6"/>
  <c r="B76" i="6"/>
  <c r="B91" i="6" s="1"/>
  <c r="C184" i="6"/>
  <c r="E173" i="5"/>
  <c r="E205" i="5"/>
  <c r="C173" i="5"/>
  <c r="C205" i="5"/>
  <c r="C204" i="5"/>
  <c r="C250" i="5"/>
  <c r="C202" i="5"/>
  <c r="C192" i="5"/>
  <c r="C177" i="5"/>
  <c r="B76" i="5"/>
  <c r="B91" i="5" s="1"/>
  <c r="C184" i="5"/>
  <c r="D173" i="5"/>
  <c r="D205" i="5"/>
  <c r="E250" i="5"/>
  <c r="E204" i="5"/>
  <c r="E202" i="5"/>
  <c r="E192" i="5"/>
  <c r="E177" i="5"/>
  <c r="D76" i="5"/>
  <c r="D91" i="5" s="1"/>
  <c r="E184" i="5"/>
  <c r="D250" i="5"/>
  <c r="D204" i="5"/>
  <c r="D202" i="5"/>
  <c r="D192" i="5"/>
  <c r="D177" i="5"/>
  <c r="C76" i="5"/>
  <c r="C91" i="5" s="1"/>
  <c r="D184" i="5"/>
  <c r="E186" i="6" l="1"/>
  <c r="E185" i="6" s="1"/>
  <c r="D109" i="6"/>
  <c r="B109" i="6"/>
  <c r="C186" i="6"/>
  <c r="C185" i="6" s="1"/>
  <c r="E186" i="5"/>
  <c r="E185" i="5" s="1"/>
  <c r="D109" i="5"/>
  <c r="C109" i="5"/>
  <c r="D186" i="5"/>
  <c r="D185" i="5" s="1"/>
  <c r="B109" i="5"/>
  <c r="C186" i="5"/>
  <c r="C185" i="5" s="1"/>
</calcChain>
</file>

<file path=xl/sharedStrings.xml><?xml version="1.0" encoding="utf-8"?>
<sst xmlns="http://schemas.openxmlformats.org/spreadsheetml/2006/main" count="389" uniqueCount="182">
  <si>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</si>
  <si>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</si>
  <si>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</si>
  <si>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</si>
  <si>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</si>
  <si>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</si>
  <si>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</si>
  <si>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</si>
  <si>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</si>
  <si>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</si>
  <si>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</si>
  <si>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</si>
  <si>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</si>
  <si>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</si>
  <si>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</si>
  <si>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</si>
  <si>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</si>
  <si>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</si>
  <si>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</si>
  <si>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</si>
  <si>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</si>
  <si>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</si>
  <si>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</si>
  <si>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</si>
  <si>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</si>
  <si>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</si>
  <si>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</si>
  <si>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</si>
  <si>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</si>
  <si>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</si>
  <si>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</si>
  <si>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</si>
  <si>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</si>
  <si>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</si>
  <si>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</si>
  <si>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</si>
  <si>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</si>
  <si>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</si>
  <si>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</si>
  <si>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</si>
  <si>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</si>
  <si>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</si>
  <si>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</si>
  <si>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</si>
  <si>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</si>
  <si>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</si>
  <si>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</si>
  <si>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</si>
  <si>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</si>
  <si>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</si>
  <si>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</si>
  <si>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</si>
  <si>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</si>
  <si>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</si>
  <si>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</si>
  <si>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</si>
  <si>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</si>
  <si>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</si>
  <si>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</si>
  <si>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</si>
  <si>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</si>
  <si>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</si>
  <si>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</si>
  <si>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</si>
  <si>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</si>
  <si>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</si>
  <si>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</si>
  <si>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</si>
  <si>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</si>
  <si>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</si>
  <si>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</si>
  <si>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</si>
  <si>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</si>
  <si>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</si>
  <si>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</si>
  <si>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</si>
  <si>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</si>
  <si>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</si>
  <si>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</si>
  <si>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</si>
  <si>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</si>
  <si>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</si>
  <si>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</si>
  <si>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</si>
  <si>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</si>
  <si>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</si>
  <si>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</si>
  <si>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</si>
  <si>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</si>
  <si>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</si>
  <si>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</si>
  <si>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</si>
  <si>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</si>
  <si>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</si>
  <si>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</si>
  <si>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</si>
  <si>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</si>
  <si>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</si>
  <si>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</si>
  <si>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</si>
  <si>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</si>
  <si>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</si>
  <si>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</si>
  <si>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</si>
  <si>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</si>
  <si>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</si>
  <si>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</si>
  <si>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</si>
  <si>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</si>
  <si>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</si>
  <si>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</si>
  <si>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</si>
  <si>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</si>
  <si>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</si>
  <si>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</si>
  <si>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</si>
  <si>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</si>
  <si>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</si>
  <si>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</si>
  <si>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</si>
  <si>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</si>
  <si>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</si>
  <si>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</si>
  <si>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</si>
  <si>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</si>
  <si>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</si>
  <si>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</si>
  <si>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</si>
  <si>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</si>
  <si>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</si>
  <si>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</si>
  <si>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</si>
  <si>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</si>
  <si>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</si>
  <si>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</si>
  <si>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</si>
  <si>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</si>
  <si>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</si>
  <si>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</si>
  <si>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</si>
  <si>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</si>
  <si>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</si>
  <si>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</si>
  <si>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</si>
  <si>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</si>
  <si>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</si>
  <si>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</si>
  <si>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Inventory days (DIO)</t>
  </si>
  <si>
    <t>Receivable Days (DSO)</t>
  </si>
  <si>
    <t>Payable Days (DPO)</t>
  </si>
  <si>
    <t>Capex</t>
  </si>
  <si>
    <t>cogs</t>
  </si>
  <si>
    <t>operating income</t>
  </si>
  <si>
    <t>research and development</t>
  </si>
  <si>
    <t>selling, general</t>
  </si>
  <si>
    <t>Current Assets / Daily Operational Expenses where Daily Operational Expenses = (Annual Operating Expenses - Noncash Charges) / 365</t>
  </si>
  <si>
    <t>Remove multiplication by 100 and use the % formatting instead</t>
  </si>
  <si>
    <t>For the numerator include only term debt (under non-current liabilities), since differed revenue is not an actual form of capital</t>
  </si>
  <si>
    <t>Long-term Debt / (Long-term Debt + Shareholders' Equity)</t>
  </si>
  <si>
    <t>Capex can be found in cash flow statement</t>
  </si>
  <si>
    <t>FCFE/Diluted number of shares. Diluted number of shares can be found at the bottom of income statement. Note that the three statements are reported in millions while the share count is reported in absolute number, so divide share count by 1000 within brackets</t>
  </si>
  <si>
    <t>EPS/Share price</t>
  </si>
  <si>
    <t>Bvper share/Share price</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</si>
  <si>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</si>
  <si>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 Link dividends paid with - sign to make the negative number positive</t>
  </si>
  <si>
    <t>EBIT / (Term debt + total equity)</t>
  </si>
  <si>
    <t>Net income/Total Assets</t>
  </si>
  <si>
    <t>Market Cap + Total Debt - (Cash + Cash Equivalents), Where market cap=Share price* (diluted number of shares/1000)</t>
  </si>
  <si>
    <t>Feedback</t>
  </si>
  <si>
    <t>capex as a percentage of sales</t>
  </si>
  <si>
    <t>capex as a percentage of fixed assets</t>
  </si>
  <si>
    <t>Margins as a % of sales:</t>
  </si>
  <si>
    <t>gross profits</t>
  </si>
  <si>
    <t>selling</t>
  </si>
  <si>
    <t>net profit</t>
  </si>
  <si>
    <t>growth rates:</t>
  </si>
  <si>
    <t>net sales</t>
  </si>
  <si>
    <t>products</t>
  </si>
  <si>
    <t>services</t>
  </si>
  <si>
    <t>Market cap</t>
  </si>
  <si>
    <t>2019 (for growth rates)</t>
  </si>
  <si>
    <t>total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</si>
</sst>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8" fillId="0" borderId="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164" fontId="0" fillId="0" borderId="0" xfId="0" applyNumberFormat="1"/>
    <xf numFmtId="164" fontId="2" fillId="5" borderId="1" xfId="1" applyNumberFormat="1" applyFont="1" applyFill="1" applyBorder="1"/>
    <xf numFmtId="0" fontId="0" fillId="5" borderId="0" xfId="0" applyFill="1" applyAlignment="1">
      <alignment horizontal="left" indent="1"/>
    </xf>
    <xf numFmtId="43" fontId="0" fillId="0" borderId="0" xfId="0" applyNumberFormat="1"/>
    <xf numFmtId="164" fontId="2" fillId="6" borderId="1" xfId="1" applyNumberFormat="1" applyFont="1" applyFill="1" applyBorder="1"/>
    <xf numFmtId="0" fontId="0" fillId="7" borderId="0" xfId="0" applyFill="1" applyAlignment="1">
      <alignment horizontal="left" indent="1"/>
    </xf>
    <xf numFmtId="43" fontId="0" fillId="0" borderId="0" xfId="1" applyFont="1"/>
    <xf numFmtId="0" fontId="0" fillId="5" borderId="0" xfId="0" applyFill="1"/>
    <xf numFmtId="0" fontId="8" fillId="5" borderId="0" xfId="3" applyFill="1"/>
    <xf numFmtId="0" fontId="2" fillId="0" borderId="0" xfId="0" applyFont="1" applyAlignment="1"/>
    <xf numFmtId="0" fontId="2" fillId="3" borderId="0" xfId="0" applyFont="1" applyFill="1" applyAlignment="1"/>
  </cellXfs>
  <cellStyles count="4">
    <cellStyle name="Comma" xfId="1" builtinId="3"/>
    <cellStyle name="Hyperlink" xfId="2" builtinId="8"/>
    <cellStyle name="Normal" xfId="0" builtinId="0"/>
    <cellStyle name="Normal 2" xfId="3" xr:uid="{2D5F8F40-9366-4516-A204-A0949A076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zoomScale="105" workbookViewId="0">
      <selection activeCell="A24" sqref="A24"/>
    </sheetView>
  </sheetViews>
  <sheetFormatPr baseColWidth="10" defaultColWidth="8.83203125" defaultRowHeight="15" x14ac:dyDescent="0.2"/>
  <cols>
    <col min="1" max="1" width="104.5" customWidth="1"/>
  </cols>
  <sheetData>
    <row r="1" spans="1:1" ht="24" x14ac:dyDescent="0.3">
      <c r="A1" s="5" t="s">
        <v>87</v>
      </c>
    </row>
    <row r="3" spans="1:1" x14ac:dyDescent="0.2">
      <c r="A3" s="7" t="s">
        <v>138</v>
      </c>
    </row>
    <row r="4" spans="1:1" x14ac:dyDescent="0.2">
      <c r="A4" s="16" t="s">
        <v>88</v>
      </c>
    </row>
    <row r="5" spans="1:1" x14ac:dyDescent="0.2">
      <c r="A5" s="7" t="s">
        <v>97</v>
      </c>
    </row>
    <row r="6" spans="1:1" x14ac:dyDescent="0.2">
      <c r="A6" s="1" t="s">
        <v>145</v>
      </c>
    </row>
    <row r="7" spans="1:1" x14ac:dyDescent="0.2">
      <c r="A7" s="1"/>
    </row>
    <row r="8" spans="1:1" x14ac:dyDescent="0.2">
      <c r="A8" s="17" t="s">
        <v>146</v>
      </c>
    </row>
    <row r="9" spans="1:1" x14ac:dyDescent="0.2">
      <c r="A9" s="1" t="s">
        <v>142</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25" t="s">
        <v>143</v>
      </c>
    </row>
    <row r="16" spans="1:1" x14ac:dyDescent="0.2">
      <c r="A16" s="25" t="s">
        <v>89</v>
      </c>
    </row>
    <row r="17" spans="1:1" x14ac:dyDescent="0.2">
      <c r="A17" s="25" t="s">
        <v>90</v>
      </c>
    </row>
    <row r="18" spans="1:1" x14ac:dyDescent="0.2">
      <c r="A18" s="25" t="s">
        <v>14</v>
      </c>
    </row>
    <row r="19" spans="1:1" x14ac:dyDescent="0.2">
      <c r="A19" s="25" t="s">
        <v>93</v>
      </c>
    </row>
    <row r="20" spans="1:1" x14ac:dyDescent="0.2">
      <c r="A20" s="1"/>
    </row>
    <row r="21" spans="1:1" x14ac:dyDescent="0.2">
      <c r="A21" s="17" t="s">
        <v>98</v>
      </c>
    </row>
    <row r="22" spans="1:1" x14ac:dyDescent="0.2">
      <c r="A22" s="1" t="s">
        <v>94</v>
      </c>
    </row>
    <row r="23" spans="1:1" x14ac:dyDescent="0.2">
      <c r="A23" s="25" t="s">
        <v>95</v>
      </c>
    </row>
    <row r="24" spans="1:1" x14ac:dyDescent="0.2">
      <c r="A24" s="25" t="s">
        <v>96</v>
      </c>
    </row>
    <row r="25" spans="1:1" x14ac:dyDescent="0.2">
      <c r="A25" s="1"/>
    </row>
    <row r="26" spans="1:1" x14ac:dyDescent="0.2">
      <c r="A26" s="17" t="s">
        <v>141</v>
      </c>
    </row>
    <row r="27" spans="1:1" x14ac:dyDescent="0.2">
      <c r="A27" s="16" t="s">
        <v>140</v>
      </c>
    </row>
    <row r="29" spans="1:1" x14ac:dyDescent="0.2">
      <c r="A29" s="7" t="s">
        <v>144</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99AA-AA08-2643-8950-B7C4D2DD850C}">
  <dimension ref="A1:J250"/>
  <sheetViews>
    <sheetView topLeftCell="A179" zoomScale="118" zoomScaleNormal="118" workbookViewId="0">
      <selection activeCell="C199" sqref="C199"/>
    </sheetView>
  </sheetViews>
  <sheetFormatPr baseColWidth="10" defaultColWidth="8.83203125" defaultRowHeight="15" x14ac:dyDescent="0.2"/>
  <cols>
    <col min="1" max="1" width="51.6640625" customWidth="1"/>
    <col min="2" max="2" width="31" customWidth="1"/>
    <col min="3" max="3" width="19.1640625" customWidth="1"/>
    <col min="4" max="4" width="17.5" customWidth="1"/>
    <col min="5" max="5" width="21.1640625" customWidth="1"/>
    <col min="6" max="6" width="38.1640625" customWidth="1"/>
    <col min="7" max="7" width="14.5" customWidth="1"/>
    <col min="8" max="8" width="12.5" customWidth="1"/>
    <col min="9" max="9" width="16.83203125" customWidth="1"/>
  </cols>
  <sheetData>
    <row r="1" spans="1:10" ht="60" customHeight="1" x14ac:dyDescent="0.2">
      <c r="A1" s="6" t="s">
        <v>0</v>
      </c>
      <c r="B1" s="4" t="s">
        <v>2</v>
      </c>
      <c r="C1" s="4"/>
      <c r="D1" s="4"/>
      <c r="E1" s="4"/>
      <c r="F1" s="4" t="s">
        <v>168</v>
      </c>
      <c r="G1" s="4"/>
      <c r="H1" s="4"/>
      <c r="I1" s="4"/>
      <c r="J1" s="4"/>
    </row>
    <row r="2" spans="1:10" x14ac:dyDescent="0.2">
      <c r="A2" s="33" t="s">
        <v>1</v>
      </c>
      <c r="B2" s="33"/>
      <c r="C2" s="33"/>
      <c r="D2" s="33"/>
    </row>
    <row r="3" spans="1:10" x14ac:dyDescent="0.2">
      <c r="B3" s="32" t="s">
        <v>23</v>
      </c>
      <c r="C3" s="32"/>
      <c r="D3" s="32"/>
    </row>
    <row r="4" spans="1:10" x14ac:dyDescent="0.2">
      <c r="B4" s="7">
        <v>2022</v>
      </c>
      <c r="C4" s="7">
        <v>2021</v>
      </c>
      <c r="D4" s="7">
        <v>2020</v>
      </c>
      <c r="E4" s="7" t="s">
        <v>180</v>
      </c>
    </row>
    <row r="5" spans="1:10" x14ac:dyDescent="0.2">
      <c r="A5" t="s">
        <v>3</v>
      </c>
    </row>
    <row r="6" spans="1:10" x14ac:dyDescent="0.2">
      <c r="A6" s="1" t="s">
        <v>4</v>
      </c>
      <c r="B6" s="12">
        <v>316199</v>
      </c>
      <c r="C6" s="12">
        <v>297392</v>
      </c>
      <c r="D6" s="12">
        <v>220747</v>
      </c>
      <c r="E6" s="12">
        <v>213883</v>
      </c>
    </row>
    <row r="7" spans="1:10" x14ac:dyDescent="0.2">
      <c r="A7" s="1" t="s">
        <v>5</v>
      </c>
      <c r="B7" s="12">
        <v>78129</v>
      </c>
      <c r="C7" s="12">
        <v>68425</v>
      </c>
      <c r="D7" s="12">
        <v>53768</v>
      </c>
      <c r="E7" s="12">
        <v>46291</v>
      </c>
    </row>
    <row r="8" spans="1:10" x14ac:dyDescent="0.2">
      <c r="A8" s="8" t="s">
        <v>6</v>
      </c>
      <c r="B8" s="13">
        <f>+B6+B7</f>
        <v>394328</v>
      </c>
      <c r="C8" s="13">
        <f t="shared" ref="C8:D8" si="0">+C6+C7</f>
        <v>365817</v>
      </c>
      <c r="D8" s="13">
        <f t="shared" si="0"/>
        <v>274515</v>
      </c>
      <c r="E8" s="2">
        <f>E6+E7</f>
        <v>260174</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c r="E12">
        <v>161782</v>
      </c>
    </row>
    <row r="13" spans="1:10" x14ac:dyDescent="0.2">
      <c r="A13" s="8" t="s">
        <v>9</v>
      </c>
      <c r="B13" s="13">
        <f>+B8-B12</f>
        <v>170782</v>
      </c>
      <c r="C13" s="13">
        <f t="shared" ref="C13:D13" si="2">+C8-C12</f>
        <v>152836</v>
      </c>
      <c r="D13" s="13">
        <f t="shared" si="2"/>
        <v>104956</v>
      </c>
      <c r="E13" s="2">
        <f>E8-E12</f>
        <v>98392</v>
      </c>
    </row>
    <row r="14" spans="1:10" x14ac:dyDescent="0.2">
      <c r="A14" t="s">
        <v>10</v>
      </c>
      <c r="B14" s="12"/>
      <c r="C14" s="12"/>
      <c r="D14" s="12"/>
    </row>
    <row r="15" spans="1:10" x14ac:dyDescent="0.2">
      <c r="A15" s="1" t="s">
        <v>11</v>
      </c>
      <c r="B15" s="12">
        <v>26251</v>
      </c>
      <c r="C15" s="12">
        <v>21914</v>
      </c>
      <c r="D15" s="12">
        <v>18752</v>
      </c>
      <c r="E15" s="12">
        <v>16217</v>
      </c>
    </row>
    <row r="16" spans="1:10" x14ac:dyDescent="0.2">
      <c r="A16" s="1" t="s">
        <v>12</v>
      </c>
      <c r="B16" s="12">
        <v>25094</v>
      </c>
      <c r="C16" s="12">
        <v>21973</v>
      </c>
      <c r="D16" s="12">
        <v>19916</v>
      </c>
      <c r="E16" s="12">
        <v>18245</v>
      </c>
    </row>
    <row r="17" spans="1:5" x14ac:dyDescent="0.2">
      <c r="A17" s="8" t="s">
        <v>13</v>
      </c>
      <c r="B17" s="13">
        <f>+B15+B16</f>
        <v>51345</v>
      </c>
      <c r="C17" s="13">
        <f t="shared" ref="C17:D17" si="3">+C15+C16</f>
        <v>43887</v>
      </c>
      <c r="D17" s="13">
        <f t="shared" si="3"/>
        <v>38668</v>
      </c>
      <c r="E17" s="23">
        <f>E15+E16</f>
        <v>34462</v>
      </c>
    </row>
    <row r="18" spans="1:5" s="7" customFormat="1" x14ac:dyDescent="0.2">
      <c r="A18" s="8" t="s">
        <v>14</v>
      </c>
      <c r="B18" s="13">
        <f>+B13-B17</f>
        <v>119437</v>
      </c>
      <c r="C18" s="13">
        <f t="shared" ref="C18:D18" si="4">+C13-C17</f>
        <v>108949</v>
      </c>
      <c r="D18" s="13">
        <f t="shared" si="4"/>
        <v>66288</v>
      </c>
    </row>
    <row r="19" spans="1:5" x14ac:dyDescent="0.2">
      <c r="A19" t="s">
        <v>15</v>
      </c>
      <c r="B19" s="12">
        <v>-334</v>
      </c>
      <c r="C19" s="12">
        <v>258</v>
      </c>
      <c r="D19" s="12">
        <v>803</v>
      </c>
    </row>
    <row r="20" spans="1:5" x14ac:dyDescent="0.2">
      <c r="A20" s="8" t="s">
        <v>16</v>
      </c>
      <c r="B20" s="13">
        <f>+B18+B19</f>
        <v>119103</v>
      </c>
      <c r="C20" s="13">
        <f t="shared" ref="C20:D20" si="5">+C18+C19</f>
        <v>109207</v>
      </c>
      <c r="D20" s="13">
        <f t="shared" si="5"/>
        <v>67091</v>
      </c>
    </row>
    <row r="21" spans="1:5" x14ac:dyDescent="0.2">
      <c r="A21" t="s">
        <v>17</v>
      </c>
      <c r="B21" s="12">
        <v>19300</v>
      </c>
      <c r="C21" s="12">
        <v>14527</v>
      </c>
      <c r="D21" s="12">
        <v>9680</v>
      </c>
    </row>
    <row r="22" spans="1:5" ht="16" thickBot="1" x14ac:dyDescent="0.25">
      <c r="A22" s="9" t="s">
        <v>18</v>
      </c>
      <c r="B22" s="14">
        <f>+B20-B21</f>
        <v>99803</v>
      </c>
      <c r="C22" s="14">
        <f t="shared" ref="C22:D22" si="6">+C20-C21</f>
        <v>94680</v>
      </c>
      <c r="D22" s="14">
        <f t="shared" si="6"/>
        <v>57411</v>
      </c>
      <c r="E22">
        <v>55256</v>
      </c>
    </row>
    <row r="23" spans="1:5" ht="16" thickTop="1" x14ac:dyDescent="0.2">
      <c r="A23" t="s">
        <v>19</v>
      </c>
    </row>
    <row r="24" spans="1:5" x14ac:dyDescent="0.2">
      <c r="A24" s="1" t="s">
        <v>20</v>
      </c>
      <c r="B24" s="10">
        <v>6.15</v>
      </c>
      <c r="C24" s="10">
        <v>5.67</v>
      </c>
      <c r="D24" s="10">
        <v>3.31</v>
      </c>
    </row>
    <row r="25" spans="1:5" x14ac:dyDescent="0.2">
      <c r="A25" s="1" t="s">
        <v>21</v>
      </c>
      <c r="B25" s="10">
        <v>6.11</v>
      </c>
      <c r="C25" s="10">
        <v>5.61</v>
      </c>
      <c r="D25" s="10">
        <v>3.28</v>
      </c>
    </row>
    <row r="26" spans="1:5" x14ac:dyDescent="0.2">
      <c r="A26" t="s">
        <v>22</v>
      </c>
    </row>
    <row r="27" spans="1:5" x14ac:dyDescent="0.2">
      <c r="A27" s="1" t="s">
        <v>20</v>
      </c>
      <c r="B27" s="2">
        <v>16215963</v>
      </c>
      <c r="C27" s="2">
        <v>16701272</v>
      </c>
      <c r="D27" s="2">
        <v>17352119</v>
      </c>
    </row>
    <row r="28" spans="1:5" x14ac:dyDescent="0.2">
      <c r="A28" s="1" t="s">
        <v>21</v>
      </c>
      <c r="B28" s="2">
        <v>16325819</v>
      </c>
      <c r="C28" s="2">
        <v>16864919</v>
      </c>
      <c r="D28" s="2">
        <v>17528214</v>
      </c>
    </row>
    <row r="31" spans="1:5" x14ac:dyDescent="0.2">
      <c r="A31" s="33" t="s">
        <v>24</v>
      </c>
      <c r="B31" s="33"/>
      <c r="C31" s="33"/>
      <c r="D31" s="33"/>
    </row>
    <row r="32" spans="1:5" x14ac:dyDescent="0.2">
      <c r="B32" s="32" t="s">
        <v>139</v>
      </c>
      <c r="C32" s="32"/>
      <c r="D32" s="32"/>
    </row>
    <row r="33" spans="1:7" x14ac:dyDescent="0.2">
      <c r="B33" s="7">
        <f>+B4</f>
        <v>2022</v>
      </c>
      <c r="C33" s="7">
        <f t="shared" ref="C33:D33" si="7">+C4</f>
        <v>2021</v>
      </c>
      <c r="D33" s="7">
        <f t="shared" si="7"/>
        <v>2020</v>
      </c>
    </row>
    <row r="35" spans="1:7" x14ac:dyDescent="0.2">
      <c r="A35" t="s">
        <v>25</v>
      </c>
    </row>
    <row r="36" spans="1:7" x14ac:dyDescent="0.2">
      <c r="A36" s="28" t="s">
        <v>26</v>
      </c>
      <c r="B36" s="12">
        <v>23646</v>
      </c>
      <c r="C36" s="12">
        <v>34940</v>
      </c>
      <c r="D36" s="12">
        <v>38016</v>
      </c>
    </row>
    <row r="37" spans="1:7" x14ac:dyDescent="0.2">
      <c r="A37" s="1" t="s">
        <v>27</v>
      </c>
      <c r="B37" s="12">
        <v>24658</v>
      </c>
      <c r="C37" s="12">
        <v>27699</v>
      </c>
      <c r="D37" s="12">
        <v>52927</v>
      </c>
      <c r="F37" s="23"/>
    </row>
    <row r="38" spans="1:7" x14ac:dyDescent="0.2">
      <c r="A38" s="1" t="s">
        <v>28</v>
      </c>
      <c r="B38" s="12">
        <v>28184</v>
      </c>
      <c r="C38" s="12">
        <v>26278</v>
      </c>
      <c r="D38" s="12">
        <v>16120</v>
      </c>
    </row>
    <row r="39" spans="1:7" x14ac:dyDescent="0.2">
      <c r="A39" s="1" t="s">
        <v>29</v>
      </c>
      <c r="B39" s="12">
        <v>4946</v>
      </c>
      <c r="C39" s="12">
        <v>6580</v>
      </c>
      <c r="D39" s="12">
        <v>4061</v>
      </c>
    </row>
    <row r="40" spans="1:7" x14ac:dyDescent="0.2">
      <c r="A40" s="1" t="s">
        <v>47</v>
      </c>
      <c r="B40" s="12">
        <v>32748</v>
      </c>
      <c r="C40" s="12">
        <v>25228</v>
      </c>
      <c r="D40" s="12">
        <v>21325</v>
      </c>
    </row>
    <row r="41" spans="1:7" x14ac:dyDescent="0.2">
      <c r="A41" s="1" t="s">
        <v>30</v>
      </c>
      <c r="B41" s="12">
        <v>21223</v>
      </c>
      <c r="C41" s="12">
        <v>14111</v>
      </c>
      <c r="D41" s="12">
        <v>11264</v>
      </c>
      <c r="F41" s="23"/>
      <c r="G41" s="23"/>
    </row>
    <row r="42" spans="1:7" x14ac:dyDescent="0.2">
      <c r="A42" s="8" t="s">
        <v>31</v>
      </c>
      <c r="B42" s="24">
        <f>+SUM(B36:B41)</f>
        <v>135405</v>
      </c>
      <c r="C42" s="13">
        <f t="shared" ref="C42:D42" si="8">+SUM(C36:C41)</f>
        <v>134836</v>
      </c>
      <c r="D42" s="13">
        <f t="shared" si="8"/>
        <v>143713</v>
      </c>
    </row>
    <row r="43" spans="1:7" x14ac:dyDescent="0.2">
      <c r="A43" t="s">
        <v>48</v>
      </c>
      <c r="B43" s="12"/>
      <c r="C43" s="12"/>
      <c r="D43" s="12"/>
    </row>
    <row r="44" spans="1:7" x14ac:dyDescent="0.2">
      <c r="A44" s="1" t="s">
        <v>27</v>
      </c>
      <c r="B44" s="12">
        <v>120805</v>
      </c>
      <c r="C44" s="12">
        <v>127877</v>
      </c>
      <c r="D44" s="12">
        <v>100887</v>
      </c>
    </row>
    <row r="45" spans="1:7" x14ac:dyDescent="0.2">
      <c r="A45" s="1" t="s">
        <v>32</v>
      </c>
      <c r="B45" s="12">
        <v>42117</v>
      </c>
      <c r="C45" s="12">
        <v>39440</v>
      </c>
      <c r="D45" s="12">
        <v>36766</v>
      </c>
    </row>
    <row r="46" spans="1:7" x14ac:dyDescent="0.2">
      <c r="A46" s="1" t="s">
        <v>49</v>
      </c>
      <c r="B46" s="12">
        <v>54428</v>
      </c>
      <c r="C46" s="12">
        <v>48849</v>
      </c>
      <c r="D46" s="12">
        <v>42522</v>
      </c>
    </row>
    <row r="47" spans="1:7" x14ac:dyDescent="0.2">
      <c r="A47" s="8" t="s">
        <v>50</v>
      </c>
      <c r="B47" s="13">
        <f>+SUM(B44:B46)</f>
        <v>217350</v>
      </c>
      <c r="C47" s="13">
        <f t="shared" ref="C47:D47" si="9">+SUM(C44:C46)</f>
        <v>216166</v>
      </c>
      <c r="D47" s="13">
        <f t="shared" si="9"/>
        <v>180175</v>
      </c>
    </row>
    <row r="48" spans="1:7" ht="16" thickBot="1" x14ac:dyDescent="0.25">
      <c r="A48" s="9" t="s">
        <v>33</v>
      </c>
      <c r="B48" s="14">
        <f>+B42+B47</f>
        <v>352755</v>
      </c>
      <c r="C48" s="14">
        <f t="shared" ref="C48:D48" si="10">+C42+C47</f>
        <v>351002</v>
      </c>
      <c r="D48" s="14">
        <f t="shared" si="10"/>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28" t="s">
        <v>39</v>
      </c>
      <c r="B55" s="12">
        <v>11128</v>
      </c>
      <c r="C55" s="12">
        <v>9613</v>
      </c>
      <c r="D55" s="12">
        <v>8773</v>
      </c>
    </row>
    <row r="56" spans="1:4" x14ac:dyDescent="0.2">
      <c r="A56" s="8" t="s">
        <v>40</v>
      </c>
      <c r="B56" s="24">
        <f>+SUM(B51:B55)</f>
        <v>153982</v>
      </c>
      <c r="C56" s="13">
        <f t="shared" ref="C56:D56" si="11">+SUM(C51:C55)</f>
        <v>125481</v>
      </c>
      <c r="D56" s="13">
        <f t="shared" si="11"/>
        <v>105392</v>
      </c>
    </row>
    <row r="57" spans="1:4" x14ac:dyDescent="0.2">
      <c r="A57" t="s">
        <v>51</v>
      </c>
      <c r="B57" s="12"/>
      <c r="C57" s="12"/>
      <c r="D57" s="12"/>
    </row>
    <row r="58" spans="1:4" x14ac:dyDescent="0.2">
      <c r="A58" s="1" t="s">
        <v>37</v>
      </c>
      <c r="B58" s="12"/>
      <c r="C58" s="12"/>
      <c r="D58" s="12"/>
    </row>
    <row r="59" spans="1:4" x14ac:dyDescent="0.2">
      <c r="A59" s="28"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2">+C59+C60</f>
        <v>162431</v>
      </c>
      <c r="D61" s="21">
        <f t="shared" si="12"/>
        <v>153157</v>
      </c>
    </row>
    <row r="62" spans="1:4" x14ac:dyDescent="0.2">
      <c r="A62" s="8" t="s">
        <v>41</v>
      </c>
      <c r="B62" s="13">
        <f>+B56+B61</f>
        <v>302083</v>
      </c>
      <c r="C62" s="13">
        <f t="shared" ref="C62:D62" si="13">+C56+C61</f>
        <v>287912</v>
      </c>
      <c r="D62" s="13">
        <f t="shared" si="13"/>
        <v>258549</v>
      </c>
    </row>
    <row r="63" spans="1:4" x14ac:dyDescent="0.2">
      <c r="B63" s="12"/>
      <c r="C63" s="12"/>
      <c r="D63" s="12"/>
    </row>
    <row r="64" spans="1:4" x14ac:dyDescent="0.2">
      <c r="A64" t="s">
        <v>42</v>
      </c>
      <c r="B64" s="12"/>
      <c r="C64" s="12"/>
      <c r="D64" s="12"/>
    </row>
    <row r="65" spans="1:6" x14ac:dyDescent="0.2">
      <c r="A65" s="1" t="s">
        <v>54</v>
      </c>
      <c r="B65" s="12">
        <v>64849</v>
      </c>
      <c r="C65" s="12">
        <v>57365</v>
      </c>
      <c r="D65" s="12">
        <v>50779</v>
      </c>
    </row>
    <row r="66" spans="1:6" x14ac:dyDescent="0.2">
      <c r="A66" s="1" t="s">
        <v>43</v>
      </c>
      <c r="B66" s="12">
        <v>-3068</v>
      </c>
      <c r="C66" s="12">
        <v>5562</v>
      </c>
      <c r="D66" s="12">
        <v>14966</v>
      </c>
    </row>
    <row r="67" spans="1:6" x14ac:dyDescent="0.2">
      <c r="A67" s="1" t="s">
        <v>44</v>
      </c>
      <c r="B67" s="12">
        <v>-11109</v>
      </c>
      <c r="C67" s="12">
        <v>163</v>
      </c>
      <c r="D67" s="12">
        <v>-406</v>
      </c>
      <c r="F67" s="23"/>
    </row>
    <row r="68" spans="1:6" x14ac:dyDescent="0.2">
      <c r="A68" s="8" t="s">
        <v>45</v>
      </c>
      <c r="B68" s="13">
        <f>+SUM(B65:B67)</f>
        <v>50672</v>
      </c>
      <c r="C68" s="13">
        <f t="shared" ref="C68:D68" si="14">+SUM(C65:C67)</f>
        <v>63090</v>
      </c>
      <c r="D68" s="13">
        <f t="shared" si="14"/>
        <v>65339</v>
      </c>
    </row>
    <row r="69" spans="1:6" ht="16" thickBot="1" x14ac:dyDescent="0.25">
      <c r="A69" s="9" t="s">
        <v>46</v>
      </c>
      <c r="B69" s="14">
        <f>+B68+B62</f>
        <v>352755</v>
      </c>
      <c r="C69" s="14">
        <f t="shared" ref="C69:D69" si="15">+C68+C62</f>
        <v>351002</v>
      </c>
      <c r="D69" s="14">
        <f t="shared" si="15"/>
        <v>323888</v>
      </c>
    </row>
    <row r="70" spans="1:6" ht="16" thickTop="1" x14ac:dyDescent="0.2"/>
    <row r="71" spans="1:6" x14ac:dyDescent="0.2">
      <c r="A71" s="33" t="s">
        <v>55</v>
      </c>
      <c r="B71" s="33"/>
      <c r="C71" s="33"/>
      <c r="D71" s="33"/>
    </row>
    <row r="72" spans="1:6" x14ac:dyDescent="0.2">
      <c r="B72" s="32" t="s">
        <v>23</v>
      </c>
      <c r="C72" s="32"/>
      <c r="D72" s="32"/>
    </row>
    <row r="73" spans="1:6" x14ac:dyDescent="0.2">
      <c r="B73" s="7">
        <f>+B33</f>
        <v>2022</v>
      </c>
      <c r="C73" s="7">
        <f t="shared" ref="C73:D73" si="16">+C33</f>
        <v>2021</v>
      </c>
      <c r="D73" s="7">
        <f t="shared" si="16"/>
        <v>2020</v>
      </c>
    </row>
    <row r="75" spans="1:6" x14ac:dyDescent="0.2">
      <c r="A75" s="7" t="s">
        <v>56</v>
      </c>
      <c r="B75" s="15"/>
      <c r="C75" s="15"/>
      <c r="D75" s="15"/>
    </row>
    <row r="76" spans="1:6" x14ac:dyDescent="0.2">
      <c r="A76" t="s">
        <v>57</v>
      </c>
      <c r="B76" s="12">
        <f>+B22</f>
        <v>99803</v>
      </c>
      <c r="C76" s="12">
        <f t="shared" ref="C76:D76" si="17">+C22</f>
        <v>94680</v>
      </c>
      <c r="D76" s="12">
        <f t="shared" si="17"/>
        <v>57411</v>
      </c>
    </row>
    <row r="77" spans="1:6" x14ac:dyDescent="0.2">
      <c r="A77" s="11" t="s">
        <v>18</v>
      </c>
      <c r="B77" s="15"/>
      <c r="C77" s="15"/>
      <c r="D77" s="15"/>
    </row>
    <row r="78" spans="1:6" x14ac:dyDescent="0.2">
      <c r="A78" s="1" t="s">
        <v>58</v>
      </c>
      <c r="B78" s="12"/>
      <c r="C78" s="12"/>
      <c r="D78" s="12"/>
    </row>
    <row r="79" spans="1:6" x14ac:dyDescent="0.2">
      <c r="A79" s="3" t="s">
        <v>59</v>
      </c>
      <c r="B79" s="12">
        <v>11104</v>
      </c>
      <c r="C79" s="12">
        <v>11284</v>
      </c>
      <c r="D79" s="12">
        <v>11056</v>
      </c>
    </row>
    <row r="80" spans="1:6" x14ac:dyDescent="0.2">
      <c r="A80" s="3" t="s">
        <v>83</v>
      </c>
      <c r="B80" s="12">
        <v>9038</v>
      </c>
      <c r="C80" s="12">
        <v>7906</v>
      </c>
      <c r="D80" s="12">
        <v>6829</v>
      </c>
    </row>
    <row r="81" spans="1:7" x14ac:dyDescent="0.2">
      <c r="A81" s="3" t="s">
        <v>60</v>
      </c>
      <c r="B81" s="12">
        <v>895</v>
      </c>
      <c r="C81" s="12">
        <v>-4774</v>
      </c>
      <c r="D81" s="12">
        <v>-215</v>
      </c>
      <c r="G81" s="23"/>
    </row>
    <row r="82" spans="1:7" x14ac:dyDescent="0.2">
      <c r="A82" s="3" t="s">
        <v>61</v>
      </c>
      <c r="B82" s="12">
        <v>111</v>
      </c>
      <c r="C82" s="12">
        <v>-147</v>
      </c>
      <c r="D82" s="12">
        <v>-97</v>
      </c>
    </row>
    <row r="83" spans="1:7" x14ac:dyDescent="0.2">
      <c r="A83" t="s">
        <v>62</v>
      </c>
      <c r="B83" s="12"/>
      <c r="C83" s="12"/>
      <c r="D83" s="12"/>
    </row>
    <row r="84" spans="1:7" x14ac:dyDescent="0.2">
      <c r="A84" s="1" t="s">
        <v>28</v>
      </c>
      <c r="B84" s="12">
        <v>-1823</v>
      </c>
      <c r="C84" s="12">
        <v>-10125</v>
      </c>
      <c r="D84" s="12">
        <v>6917</v>
      </c>
    </row>
    <row r="85" spans="1:7" x14ac:dyDescent="0.2">
      <c r="A85" s="1" t="s">
        <v>29</v>
      </c>
      <c r="B85" s="12">
        <v>1484</v>
      </c>
      <c r="C85" s="12">
        <v>-2642</v>
      </c>
      <c r="D85" s="12">
        <v>-127</v>
      </c>
    </row>
    <row r="86" spans="1:7" x14ac:dyDescent="0.2">
      <c r="A86" s="1" t="s">
        <v>47</v>
      </c>
      <c r="B86" s="12">
        <v>-7520</v>
      </c>
      <c r="C86" s="12">
        <v>-3903</v>
      </c>
      <c r="D86" s="12">
        <v>1553</v>
      </c>
    </row>
    <row r="87" spans="1:7" x14ac:dyDescent="0.2">
      <c r="A87" s="1" t="s">
        <v>84</v>
      </c>
      <c r="B87" s="12">
        <v>-6499</v>
      </c>
      <c r="C87" s="12">
        <v>-8042</v>
      </c>
      <c r="D87" s="12">
        <v>-9588</v>
      </c>
    </row>
    <row r="88" spans="1:7" x14ac:dyDescent="0.2">
      <c r="A88" s="1" t="s">
        <v>35</v>
      </c>
      <c r="B88" s="12">
        <v>9448</v>
      </c>
      <c r="C88" s="12">
        <v>12326</v>
      </c>
      <c r="D88" s="12">
        <v>-4062</v>
      </c>
    </row>
    <row r="89" spans="1:7" x14ac:dyDescent="0.2">
      <c r="A89" s="1" t="s">
        <v>37</v>
      </c>
      <c r="B89" s="12">
        <v>478</v>
      </c>
      <c r="C89" s="12">
        <v>1676</v>
      </c>
      <c r="D89" s="12">
        <v>2081</v>
      </c>
    </row>
    <row r="90" spans="1:7" x14ac:dyDescent="0.2">
      <c r="A90" s="1" t="s">
        <v>85</v>
      </c>
      <c r="B90" s="12">
        <v>5632</v>
      </c>
      <c r="C90" s="12">
        <v>5799</v>
      </c>
      <c r="D90" s="12">
        <v>8916</v>
      </c>
    </row>
    <row r="91" spans="1:7" x14ac:dyDescent="0.2">
      <c r="A91" s="8" t="s">
        <v>63</v>
      </c>
      <c r="B91" s="27">
        <f>+SUM(B76:B90)</f>
        <v>122151</v>
      </c>
      <c r="C91" s="13">
        <f t="shared" ref="C91:D91" si="18">+SUM(C76:C90)</f>
        <v>104038</v>
      </c>
      <c r="D91" s="13">
        <f t="shared" si="18"/>
        <v>80674</v>
      </c>
      <c r="F91" s="26"/>
    </row>
    <row r="92" spans="1:7" x14ac:dyDescent="0.2">
      <c r="A92" s="7" t="s">
        <v>64</v>
      </c>
      <c r="B92" s="12"/>
      <c r="C92" s="12"/>
      <c r="D92" s="12"/>
    </row>
    <row r="93" spans="1:7" x14ac:dyDescent="0.2">
      <c r="A93" s="1" t="s">
        <v>65</v>
      </c>
      <c r="B93" s="12">
        <v>-76923</v>
      </c>
      <c r="C93" s="12">
        <v>-109558</v>
      </c>
      <c r="D93" s="12">
        <v>-114938</v>
      </c>
    </row>
    <row r="94" spans="1:7" x14ac:dyDescent="0.2">
      <c r="A94" s="1" t="s">
        <v>66</v>
      </c>
      <c r="B94" s="12">
        <v>29917</v>
      </c>
      <c r="C94" s="12">
        <v>59023</v>
      </c>
      <c r="D94" s="12">
        <v>69918</v>
      </c>
    </row>
    <row r="95" spans="1:7" x14ac:dyDescent="0.2">
      <c r="A95" s="1" t="s">
        <v>67</v>
      </c>
      <c r="B95" s="12">
        <v>37446</v>
      </c>
      <c r="C95" s="12">
        <v>47460</v>
      </c>
      <c r="D95" s="12">
        <v>50473</v>
      </c>
    </row>
    <row r="96" spans="1:7"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19">+SUM(C93:C98)</f>
        <v>-14545</v>
      </c>
      <c r="D99" s="13">
        <f t="shared" si="19"/>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0">+SUM(C101:C107)</f>
        <v>-93353</v>
      </c>
      <c r="D108" s="13">
        <f t="shared" si="20"/>
        <v>-86820</v>
      </c>
    </row>
    <row r="109" spans="1:4" x14ac:dyDescent="0.2">
      <c r="A109" s="8" t="s">
        <v>78</v>
      </c>
      <c r="B109" s="13">
        <f>+B91+B99+B108</f>
        <v>-10952</v>
      </c>
      <c r="C109" s="13">
        <f t="shared" ref="C109:D109" si="21">+C91+C99+C108</f>
        <v>-3860</v>
      </c>
      <c r="D109" s="13">
        <f t="shared" si="21"/>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row r="156" spans="1:10" ht="26" x14ac:dyDescent="0.3">
      <c r="A156" s="6"/>
      <c r="B156" s="20" t="s">
        <v>0</v>
      </c>
      <c r="C156" s="19"/>
      <c r="D156" s="19"/>
      <c r="E156" s="19"/>
      <c r="F156" s="19"/>
      <c r="G156" s="19"/>
      <c r="H156" s="19"/>
      <c r="I156" s="19"/>
      <c r="J156" s="19"/>
    </row>
    <row r="157" spans="1:10" x14ac:dyDescent="0.2">
      <c r="C157" s="32" t="s">
        <v>23</v>
      </c>
      <c r="D157" s="32"/>
      <c r="E157" s="32"/>
    </row>
    <row r="158" spans="1:10" x14ac:dyDescent="0.2">
      <c r="C158" s="7">
        <v>2022</v>
      </c>
      <c r="D158" s="7">
        <v>2021</v>
      </c>
      <c r="E158" s="7">
        <v>2020</v>
      </c>
    </row>
    <row r="159" spans="1:10" x14ac:dyDescent="0.2">
      <c r="A159" s="18">
        <v>1</v>
      </c>
      <c r="B159" s="7" t="s">
        <v>99</v>
      </c>
    </row>
    <row r="160" spans="1:10" x14ac:dyDescent="0.2">
      <c r="A160" s="18">
        <f>+A159+0.1</f>
        <v>1.1000000000000001</v>
      </c>
      <c r="B160" s="1" t="s">
        <v>100</v>
      </c>
      <c r="C160" s="29">
        <f>B42/B56</f>
        <v>0.87935602862672257</v>
      </c>
      <c r="D160" s="29">
        <f>C42/C56</f>
        <v>1.0745531195957954</v>
      </c>
      <c r="E160" s="29">
        <f>D42/D56</f>
        <v>1.3636044481554577</v>
      </c>
    </row>
    <row r="161" spans="1:6" x14ac:dyDescent="0.2">
      <c r="A161" s="18">
        <f t="shared" ref="A161:A168" si="22">+A160+0.1</f>
        <v>1.2000000000000002</v>
      </c>
      <c r="B161" s="1" t="s">
        <v>101</v>
      </c>
      <c r="C161" s="29">
        <f>(B42-B39)/B56</f>
        <v>0.84723539114961488</v>
      </c>
      <c r="D161" s="29">
        <f>(C42-C39)/C56</f>
        <v>1.0221149018576519</v>
      </c>
      <c r="E161" s="29">
        <f>(D42-D39)/D56</f>
        <v>1.325072111735236</v>
      </c>
    </row>
    <row r="162" spans="1:6" x14ac:dyDescent="0.2">
      <c r="A162" s="18">
        <f t="shared" si="22"/>
        <v>1.3000000000000003</v>
      </c>
      <c r="B162" s="1" t="s">
        <v>102</v>
      </c>
      <c r="C162" s="29">
        <f>B36/B56</f>
        <v>0.15356340351469652</v>
      </c>
      <c r="D162" s="29">
        <f>C36/C56</f>
        <v>0.27844853005634318</v>
      </c>
      <c r="E162" s="29">
        <f>D36/D56</f>
        <v>0.36071049035979963</v>
      </c>
    </row>
    <row r="163" spans="1:6" x14ac:dyDescent="0.2">
      <c r="A163" s="18">
        <f t="shared" si="22"/>
        <v>1.4000000000000004</v>
      </c>
      <c r="B163" s="1" t="s">
        <v>103</v>
      </c>
      <c r="C163" s="29">
        <f>B42/((B17-B79)/365)</f>
        <v>1228.1708953554833</v>
      </c>
      <c r="D163" s="29">
        <f>C42/((C17-C79)/365)</f>
        <v>1509.5279575499187</v>
      </c>
      <c r="E163" s="29">
        <f>D42/((D17-D79)/365)</f>
        <v>1899.7263870780819</v>
      </c>
      <c r="F163" s="30" t="s">
        <v>155</v>
      </c>
    </row>
    <row r="164" spans="1:6" x14ac:dyDescent="0.2">
      <c r="A164" s="18">
        <f t="shared" si="22"/>
        <v>1.5000000000000004</v>
      </c>
      <c r="B164" s="1" t="s">
        <v>147</v>
      </c>
      <c r="C164" s="29">
        <f>B39/B12*365</f>
        <v>8.0756980666171607</v>
      </c>
      <c r="D164" s="29">
        <f>C39/C12*365</f>
        <v>11.27659274770989</v>
      </c>
      <c r="E164" s="29">
        <f>D39/D12*365</f>
        <v>8.7418833562358831</v>
      </c>
    </row>
    <row r="165" spans="1:6" x14ac:dyDescent="0.2">
      <c r="A165" s="18">
        <f t="shared" si="22"/>
        <v>1.6000000000000005</v>
      </c>
      <c r="B165" s="1" t="s">
        <v>149</v>
      </c>
      <c r="C165" s="29">
        <f>(B51/B12)*365</f>
        <v>104.68527730310539</v>
      </c>
      <c r="D165" s="29">
        <f>(C51/C12)*365</f>
        <v>93.851071222315596</v>
      </c>
      <c r="E165" s="29">
        <f>(D51/D12)*365</f>
        <v>91.048189715674198</v>
      </c>
    </row>
    <row r="166" spans="1:6" x14ac:dyDescent="0.2">
      <c r="A166" s="18">
        <f t="shared" si="22"/>
        <v>1.7000000000000006</v>
      </c>
      <c r="B166" s="1" t="s">
        <v>148</v>
      </c>
      <c r="C166" s="29">
        <f>(B38/B8)*365</f>
        <v>26.087825363656648</v>
      </c>
      <c r="D166" s="29">
        <f>(C38/C8)*100</f>
        <v>7.1833731073186868</v>
      </c>
      <c r="E166" s="29">
        <f>(D38/D8)*365</f>
        <v>21.433437152796749</v>
      </c>
    </row>
    <row r="167" spans="1:6" x14ac:dyDescent="0.2">
      <c r="A167" s="18">
        <f t="shared" si="22"/>
        <v>1.8000000000000007</v>
      </c>
      <c r="B167" s="1" t="s">
        <v>104</v>
      </c>
      <c r="C167" s="29">
        <f>C164+C166-C165</f>
        <v>-70.521753872831582</v>
      </c>
      <c r="D167" s="29">
        <f>D164+D166-D165</f>
        <v>-75.391105367287025</v>
      </c>
      <c r="E167" s="29">
        <f>E164+E166-E165</f>
        <v>-60.872869206641568</v>
      </c>
    </row>
    <row r="168" spans="1:6" x14ac:dyDescent="0.2">
      <c r="A168" s="18">
        <f t="shared" si="22"/>
        <v>1.9000000000000008</v>
      </c>
      <c r="B168" s="1" t="s">
        <v>105</v>
      </c>
      <c r="C168" s="29">
        <f>B8/C169</f>
        <v>-21.226678150401032</v>
      </c>
      <c r="D168" s="29">
        <f>C8/D169</f>
        <v>39.103901656867983</v>
      </c>
      <c r="E168" s="29">
        <f>D8/E169</f>
        <v>7.1635656689543596</v>
      </c>
      <c r="F168" s="30" t="s">
        <v>156</v>
      </c>
    </row>
    <row r="169" spans="1:6" x14ac:dyDescent="0.2">
      <c r="A169" s="18"/>
      <c r="B169" s="3" t="s">
        <v>106</v>
      </c>
      <c r="C169" s="23">
        <f>B42-B56</f>
        <v>-18577</v>
      </c>
      <c r="D169" s="23">
        <f>C42-C56</f>
        <v>9355</v>
      </c>
      <c r="E169" s="23">
        <f>D42-D56</f>
        <v>38321</v>
      </c>
    </row>
    <row r="170" spans="1:6" x14ac:dyDescent="0.2">
      <c r="A170" s="18"/>
    </row>
    <row r="171" spans="1:6" x14ac:dyDescent="0.2">
      <c r="A171" s="18">
        <f>+A159+1</f>
        <v>2</v>
      </c>
      <c r="B171" s="17" t="s">
        <v>107</v>
      </c>
    </row>
    <row r="172" spans="1:6" x14ac:dyDescent="0.2">
      <c r="A172" s="18">
        <f>+A171+0.1</f>
        <v>2.1</v>
      </c>
      <c r="B172" s="1" t="s">
        <v>9</v>
      </c>
      <c r="C172">
        <f>((B8-B12)/(B8))</f>
        <v>0.43309630561360085</v>
      </c>
      <c r="D172">
        <f>(C8-C12)/C8</f>
        <v>0.41779359625167778</v>
      </c>
      <c r="E172">
        <f>(D8-D12)/D8</f>
        <v>0.38233247727810865</v>
      </c>
      <c r="F172" s="30" t="s">
        <v>156</v>
      </c>
    </row>
    <row r="173" spans="1:6" x14ac:dyDescent="0.2">
      <c r="A173" s="18">
        <f>+A172+0.1</f>
        <v>2.2000000000000002</v>
      </c>
      <c r="B173" s="1" t="s">
        <v>108</v>
      </c>
      <c r="C173">
        <f>C174/B8</f>
        <v>0.3310467428130896</v>
      </c>
      <c r="D173">
        <f>D174/C8</f>
        <v>0.32866979938056462</v>
      </c>
      <c r="E173">
        <f>E174/D8</f>
        <v>0.2817478097736007</v>
      </c>
      <c r="F173" s="30" t="s">
        <v>156</v>
      </c>
    </row>
    <row r="174" spans="1:6" x14ac:dyDescent="0.2">
      <c r="A174" s="18"/>
      <c r="B174" s="3" t="s">
        <v>109</v>
      </c>
      <c r="C174" s="23">
        <f>B18+B79</f>
        <v>130541</v>
      </c>
      <c r="D174" s="23">
        <f>C18+C79</f>
        <v>120233</v>
      </c>
      <c r="E174" s="23">
        <f>D18+D79</f>
        <v>77344</v>
      </c>
    </row>
    <row r="175" spans="1:6" x14ac:dyDescent="0.2">
      <c r="A175" s="18">
        <f>+A173+0.1</f>
        <v>2.3000000000000003</v>
      </c>
      <c r="B175" s="1" t="s">
        <v>110</v>
      </c>
      <c r="C175">
        <f>C176/B8</f>
        <v>0.30288744395528594</v>
      </c>
      <c r="D175">
        <f>D176/C8</f>
        <v>0.29782377527561593</v>
      </c>
      <c r="E175">
        <f>E176/D8</f>
        <v>0.24147314354406862</v>
      </c>
      <c r="F175" s="30" t="s">
        <v>156</v>
      </c>
    </row>
    <row r="176" spans="1:6" x14ac:dyDescent="0.2">
      <c r="A176" s="18"/>
      <c r="B176" s="3" t="s">
        <v>111</v>
      </c>
      <c r="C176" s="23">
        <f>B8-B12-B17</f>
        <v>119437</v>
      </c>
      <c r="D176" s="23">
        <f>C8-C12-C17</f>
        <v>108949</v>
      </c>
      <c r="E176" s="23">
        <f>D8-D12-D17</f>
        <v>66288</v>
      </c>
    </row>
    <row r="177" spans="1:9" x14ac:dyDescent="0.2">
      <c r="A177" s="18">
        <f>+A175+0.1</f>
        <v>2.4000000000000004</v>
      </c>
      <c r="B177" s="1" t="s">
        <v>112</v>
      </c>
      <c r="C177">
        <f>B22/B8</f>
        <v>0.25309640705199732</v>
      </c>
      <c r="D177">
        <f>C22/C8</f>
        <v>0.25881793355694238</v>
      </c>
      <c r="E177">
        <f>D22/D8</f>
        <v>0.20913611278072236</v>
      </c>
      <c r="F177" s="30" t="s">
        <v>156</v>
      </c>
      <c r="G177" s="23"/>
      <c r="H177" s="23"/>
      <c r="I177" s="23"/>
    </row>
    <row r="178" spans="1:9" x14ac:dyDescent="0.2">
      <c r="A178" s="18"/>
    </row>
    <row r="179" spans="1:9" x14ac:dyDescent="0.2">
      <c r="A179" s="18">
        <f>+A171+1</f>
        <v>3</v>
      </c>
      <c r="B179" s="7" t="s">
        <v>113</v>
      </c>
    </row>
    <row r="180" spans="1:9" x14ac:dyDescent="0.2">
      <c r="A180" s="18">
        <f>+A179+0.1</f>
        <v>3.1</v>
      </c>
      <c r="B180" s="1" t="s">
        <v>114</v>
      </c>
      <c r="C180" s="29">
        <f>B59/B68</f>
        <v>1.9529325860435744</v>
      </c>
      <c r="D180" s="29">
        <f>C59/C68</f>
        <v>1.729370740212395</v>
      </c>
      <c r="E180" s="29">
        <f>D59/D68</f>
        <v>1.5100782075024104</v>
      </c>
      <c r="F180" s="30" t="s">
        <v>157</v>
      </c>
    </row>
    <row r="181" spans="1:9" x14ac:dyDescent="0.2">
      <c r="A181" s="18">
        <f t="shared" ref="A181:A185" si="23">+A180+0.1</f>
        <v>3.2</v>
      </c>
      <c r="B181" s="1" t="s">
        <v>115</v>
      </c>
      <c r="C181" s="29">
        <f>B59/B48</f>
        <v>0.28053181386514719</v>
      </c>
      <c r="D181" s="29">
        <f>C59/C48</f>
        <v>0.31084153366647482</v>
      </c>
      <c r="E181" s="29">
        <f>D59/D48</f>
        <v>0.30463308304105124</v>
      </c>
      <c r="F181" s="30" t="s">
        <v>157</v>
      </c>
    </row>
    <row r="182" spans="1:9" x14ac:dyDescent="0.2">
      <c r="A182" s="18">
        <f t="shared" si="23"/>
        <v>3.3000000000000003</v>
      </c>
      <c r="B182" s="1" t="s">
        <v>116</v>
      </c>
      <c r="C182" s="23">
        <f>(B59)/B59+B68</f>
        <v>50673</v>
      </c>
      <c r="D182" s="23">
        <f>(C59)/C59+C68</f>
        <v>63091</v>
      </c>
      <c r="E182" s="23">
        <f>(D59)/D59+D68</f>
        <v>65340</v>
      </c>
      <c r="F182" s="30" t="s">
        <v>158</v>
      </c>
    </row>
    <row r="183" spans="1:9" x14ac:dyDescent="0.2">
      <c r="A183" s="18">
        <f t="shared" si="23"/>
        <v>3.4000000000000004</v>
      </c>
      <c r="B183" s="1" t="s">
        <v>117</v>
      </c>
      <c r="C183">
        <f>C176/B114</f>
        <v>41.68830715532286</v>
      </c>
      <c r="D183">
        <f>D176/C114</f>
        <v>40.546706363974693</v>
      </c>
      <c r="E183">
        <f>E176/D114</f>
        <v>22.081279147235175</v>
      </c>
    </row>
    <row r="184" spans="1:9" x14ac:dyDescent="0.2">
      <c r="A184" s="18">
        <f t="shared" si="23"/>
        <v>3.5000000000000004</v>
      </c>
      <c r="B184" s="1" t="s">
        <v>118</v>
      </c>
      <c r="C184" s="26">
        <f>B22/(B104-B105-B114)</f>
        <v>8.2189738944247708</v>
      </c>
      <c r="D184" s="26">
        <f>C22/(C104-C105-C114)</f>
        <v>3.5787723011793164</v>
      </c>
      <c r="E184">
        <f>D22/(D104-D105-D114)</f>
        <v>2.2323275526868342</v>
      </c>
    </row>
    <row r="185" spans="1:9" x14ac:dyDescent="0.2">
      <c r="A185" s="18">
        <f t="shared" si="23"/>
        <v>3.6000000000000005</v>
      </c>
      <c r="B185" s="1" t="s">
        <v>119</v>
      </c>
      <c r="C185" s="26">
        <f>C186/(B28/1000)</f>
        <v>8.1379684535275079</v>
      </c>
      <c r="D185" s="26">
        <f>D186/(C28/1000)</f>
        <v>6.8261816140356197</v>
      </c>
      <c r="E185" s="26">
        <f>E186/(D28/1000)</f>
        <v>5.0195074067443493</v>
      </c>
      <c r="F185" s="30" t="s">
        <v>160</v>
      </c>
    </row>
    <row r="186" spans="1:9" x14ac:dyDescent="0.2">
      <c r="A186" s="18"/>
      <c r="B186" s="3" t="s">
        <v>120</v>
      </c>
      <c r="C186" s="23">
        <f>B91-C187+G177</f>
        <v>132859</v>
      </c>
      <c r="D186" s="23">
        <f>C91-D187+H177</f>
        <v>115123</v>
      </c>
      <c r="E186" s="23">
        <f>D91-E187+I177</f>
        <v>87983</v>
      </c>
    </row>
    <row r="187" spans="1:9" x14ac:dyDescent="0.2">
      <c r="A187" s="18"/>
      <c r="B187" s="1" t="s">
        <v>150</v>
      </c>
      <c r="C187" s="23">
        <f>B96</f>
        <v>-10708</v>
      </c>
      <c r="D187" s="23">
        <f>C96</f>
        <v>-11085</v>
      </c>
      <c r="E187" s="23">
        <f>D96</f>
        <v>-7309</v>
      </c>
      <c r="F187" s="30" t="s">
        <v>159</v>
      </c>
    </row>
    <row r="188" spans="1:9" x14ac:dyDescent="0.2">
      <c r="A188" s="18">
        <f>+A179+1</f>
        <v>4</v>
      </c>
      <c r="B188" s="17" t="s">
        <v>121</v>
      </c>
    </row>
    <row r="189" spans="1:9" x14ac:dyDescent="0.2">
      <c r="A189" s="18">
        <f>+A188+0.1</f>
        <v>4.0999999999999996</v>
      </c>
      <c r="B189" s="1" t="s">
        <v>122</v>
      </c>
      <c r="C189" s="29">
        <f>B8/B48</f>
        <v>1.1178523337727317</v>
      </c>
      <c r="D189" s="29">
        <f>C8/C48</f>
        <v>1.0422077367080529</v>
      </c>
      <c r="E189" s="29">
        <f>D8/D48</f>
        <v>0.84756150274168851</v>
      </c>
    </row>
    <row r="190" spans="1:9" x14ac:dyDescent="0.2">
      <c r="A190" s="18">
        <f t="shared" ref="A190:A192" si="24">+A189+0.1</f>
        <v>4.1999999999999993</v>
      </c>
      <c r="B190" s="1" t="s">
        <v>123</v>
      </c>
      <c r="C190" s="29">
        <f>B8/B45</f>
        <v>9.3626801529073767</v>
      </c>
      <c r="D190" s="29">
        <f>C8/C45</f>
        <v>9.2752789046653152</v>
      </c>
      <c r="E190" s="29">
        <f>D8/D45</f>
        <v>7.4665451776097482</v>
      </c>
    </row>
    <row r="191" spans="1:9" x14ac:dyDescent="0.2">
      <c r="A191" s="18">
        <f t="shared" si="24"/>
        <v>4.2999999999999989</v>
      </c>
      <c r="B191" s="1" t="s">
        <v>124</v>
      </c>
      <c r="C191" s="29">
        <f>B12/B39</f>
        <v>45.197331176708452</v>
      </c>
      <c r="D191" s="29">
        <f>C12/C39</f>
        <v>32.367933130699086</v>
      </c>
      <c r="E191" s="29">
        <f>D12/D39</f>
        <v>41.753016498399411</v>
      </c>
    </row>
    <row r="192" spans="1:9" x14ac:dyDescent="0.2">
      <c r="A192" s="18">
        <f t="shared" si="24"/>
        <v>4.3999999999999986</v>
      </c>
      <c r="B192" s="1" t="s">
        <v>125</v>
      </c>
      <c r="C192" s="29">
        <f>(B22/B48)</f>
        <v>0.28292440929256851</v>
      </c>
      <c r="D192" s="29">
        <f>(C22/C48)</f>
        <v>0.26974205275183616</v>
      </c>
      <c r="E192" s="29">
        <f>(D22/D48)</f>
        <v>0.1772557180259843</v>
      </c>
      <c r="F192" s="30" t="s">
        <v>156</v>
      </c>
    </row>
    <row r="193" spans="1:6" x14ac:dyDescent="0.2">
      <c r="A193" s="18"/>
    </row>
    <row r="194" spans="1:6" x14ac:dyDescent="0.2">
      <c r="A194" s="18">
        <f>+A188+1</f>
        <v>5</v>
      </c>
      <c r="B194" s="17" t="s">
        <v>126</v>
      </c>
    </row>
    <row r="195" spans="1:6" x14ac:dyDescent="0.2">
      <c r="A195" s="18">
        <f>+A194+0.1</f>
        <v>5.0999999999999996</v>
      </c>
      <c r="B195" s="1" t="s">
        <v>127</v>
      </c>
      <c r="C195" s="29">
        <f>C196/137.2</f>
        <v>4.4533527696793009E-2</v>
      </c>
      <c r="D195" s="29">
        <f>D196/146.42</f>
        <v>3.8314437918317172E-2</v>
      </c>
      <c r="E195" s="29">
        <f>E196/113.6</f>
        <v>2.8873239436619718E-2</v>
      </c>
      <c r="F195" s="30" t="s">
        <v>161</v>
      </c>
    </row>
    <row r="196" spans="1:6" x14ac:dyDescent="0.2">
      <c r="A196" s="18">
        <f t="shared" ref="A196:A199" si="25">+A195+0.1</f>
        <v>5.1999999999999993</v>
      </c>
      <c r="B196" s="3" t="s">
        <v>128</v>
      </c>
      <c r="C196">
        <f>B25</f>
        <v>6.11</v>
      </c>
      <c r="D196">
        <f>C25</f>
        <v>5.61</v>
      </c>
      <c r="E196">
        <f>D25</f>
        <v>3.28</v>
      </c>
    </row>
    <row r="197" spans="1:6" x14ac:dyDescent="0.2">
      <c r="A197" s="18">
        <f t="shared" si="25"/>
        <v>5.2999999999999989</v>
      </c>
      <c r="B197" s="1" t="s">
        <v>129</v>
      </c>
      <c r="C197" s="26">
        <f>C208/C198</f>
        <v>721665.62634291931</v>
      </c>
      <c r="D197" s="26">
        <f>D208/D198</f>
        <v>660097.96587392723</v>
      </c>
      <c r="E197" s="26">
        <f>E208/E198</f>
        <v>534172.07629417069</v>
      </c>
      <c r="F197" s="30" t="s">
        <v>162</v>
      </c>
    </row>
    <row r="198" spans="1:6" x14ac:dyDescent="0.2">
      <c r="A198" s="18">
        <f t="shared" si="25"/>
        <v>5.3999999999999986</v>
      </c>
      <c r="B198" s="3" t="s">
        <v>130</v>
      </c>
      <c r="C198" s="26">
        <f>B68/(B28/1000)</f>
        <v>3.1037952827971451</v>
      </c>
      <c r="D198" s="26">
        <f>C68/(C28/1000)</f>
        <v>3.740901453484597</v>
      </c>
      <c r="E198" s="26">
        <f>D68/(D28/1000)</f>
        <v>3.7276473233382479</v>
      </c>
      <c r="F198" s="31" t="s">
        <v>163</v>
      </c>
    </row>
    <row r="199" spans="1:6" x14ac:dyDescent="0.2">
      <c r="A199" s="18">
        <f t="shared" si="25"/>
        <v>5.4999999999999982</v>
      </c>
      <c r="B199" s="1" t="s">
        <v>131</v>
      </c>
      <c r="C199" s="26">
        <f>C200/C196</f>
        <v>-0.14878083013397297</v>
      </c>
      <c r="D199" s="26">
        <f>D200/D196</f>
        <v>-0.15290840583271573</v>
      </c>
      <c r="E199" s="26">
        <f>E200/E196</f>
        <v>-0.24491872388584765</v>
      </c>
    </row>
    <row r="200" spans="1:6" x14ac:dyDescent="0.2">
      <c r="A200" s="18"/>
      <c r="B200" s="3" t="s">
        <v>132</v>
      </c>
      <c r="C200" s="26">
        <f>B102/(B28/1000)</f>
        <v>-0.90905087211857494</v>
      </c>
      <c r="D200" s="26">
        <f>C102/(C28/1000)</f>
        <v>-0.85781615672153533</v>
      </c>
      <c r="E200" s="26">
        <f>D102/(D28/1000)</f>
        <v>-0.80333341434558025</v>
      </c>
      <c r="F200" s="30" t="s">
        <v>164</v>
      </c>
    </row>
    <row r="201" spans="1:6" x14ac:dyDescent="0.2">
      <c r="A201" s="18">
        <f>+A199+0.1</f>
        <v>5.5999999999999979</v>
      </c>
      <c r="B201" s="1" t="s">
        <v>133</v>
      </c>
      <c r="C201" s="26">
        <f>B102/175.46</f>
        <v>-84.583380827539031</v>
      </c>
      <c r="D201" s="26">
        <f>C102/175.46</f>
        <v>-82.451840875413197</v>
      </c>
      <c r="E201" s="26">
        <f>D102/175.46</f>
        <v>-80.251909267069408</v>
      </c>
    </row>
    <row r="202" spans="1:6" x14ac:dyDescent="0.2">
      <c r="A202" s="18">
        <f t="shared" ref="A202:A205" si="26">+A200+0.1</f>
        <v>0.1</v>
      </c>
      <c r="B202" s="1" t="s">
        <v>134</v>
      </c>
      <c r="C202" s="29">
        <f>B22/B68</f>
        <v>1.9695887275023682</v>
      </c>
      <c r="D202" s="29">
        <f>C22/C68</f>
        <v>1.5007132667617689</v>
      </c>
      <c r="E202" s="29">
        <f>D22/D68</f>
        <v>0.87866358530127486</v>
      </c>
      <c r="F202" s="30" t="s">
        <v>156</v>
      </c>
    </row>
    <row r="203" spans="1:6" x14ac:dyDescent="0.2">
      <c r="A203" s="18">
        <f t="shared" si="26"/>
        <v>5.6999999999999975</v>
      </c>
      <c r="B203" s="1" t="s">
        <v>135</v>
      </c>
      <c r="C203" s="29">
        <f>C176/(B55+B68)</f>
        <v>1.9326375404530745</v>
      </c>
      <c r="D203" s="29">
        <f>D176/(C55+C68)</f>
        <v>1.4985488906922686</v>
      </c>
      <c r="E203" s="29">
        <f>E176/(D55+D68)</f>
        <v>0.89443005181347146</v>
      </c>
      <c r="F203" s="30" t="s">
        <v>165</v>
      </c>
    </row>
    <row r="204" spans="1:6" x14ac:dyDescent="0.2">
      <c r="A204" s="18">
        <f t="shared" si="26"/>
        <v>0.2</v>
      </c>
      <c r="B204" s="1" t="s">
        <v>125</v>
      </c>
      <c r="C204" s="29">
        <f>B22/B48</f>
        <v>0.28292440929256851</v>
      </c>
      <c r="D204" s="29">
        <f>C22/C48</f>
        <v>0.26974205275183616</v>
      </c>
      <c r="E204" s="29">
        <f>D22/D48</f>
        <v>0.1772557180259843</v>
      </c>
      <c r="F204" s="30" t="s">
        <v>166</v>
      </c>
    </row>
    <row r="205" spans="1:6" x14ac:dyDescent="0.2">
      <c r="A205" s="18">
        <f t="shared" si="26"/>
        <v>5.7999999999999972</v>
      </c>
      <c r="B205" s="1" t="s">
        <v>136</v>
      </c>
      <c r="C205" s="29">
        <f>C206/C174</f>
        <v>17.735541835898299</v>
      </c>
      <c r="D205" s="29">
        <f>D206/D174</f>
        <v>21.154986068550233</v>
      </c>
      <c r="E205" s="29">
        <f>E206/E174</f>
        <v>26.528962949937938</v>
      </c>
    </row>
    <row r="206" spans="1:6" x14ac:dyDescent="0.2">
      <c r="A206" s="18"/>
      <c r="B206" s="3" t="s">
        <v>137</v>
      </c>
      <c r="C206" s="26">
        <f>C208+B59-(B36)</f>
        <v>2315215.3668</v>
      </c>
      <c r="D206" s="26">
        <f>D208+C59-(C36)</f>
        <v>2543527.4399800003</v>
      </c>
      <c r="E206" s="26">
        <f>E208+D59-(D36)</f>
        <v>2051856.1103999999</v>
      </c>
      <c r="F206" s="30" t="s">
        <v>167</v>
      </c>
    </row>
    <row r="208" spans="1:6" x14ac:dyDescent="0.2">
      <c r="B208" s="1" t="s">
        <v>179</v>
      </c>
      <c r="C208">
        <f>137.2*(B28/1000)</f>
        <v>2239902.3668</v>
      </c>
      <c r="D208">
        <f>146.42*(C28/1000)</f>
        <v>2469361.4399800003</v>
      </c>
      <c r="E208">
        <f>113.6*(D28/1000)</f>
        <v>1991205.1103999999</v>
      </c>
    </row>
    <row r="210" spans="2:5" x14ac:dyDescent="0.2">
      <c r="C210" s="29"/>
      <c r="D210" s="29"/>
      <c r="E210" s="29"/>
    </row>
    <row r="211" spans="2:5" x14ac:dyDescent="0.2">
      <c r="C211" s="29"/>
      <c r="D211" s="29"/>
      <c r="E211" s="29"/>
    </row>
    <row r="212" spans="2:5" x14ac:dyDescent="0.2">
      <c r="C212" s="29"/>
      <c r="D212" s="29"/>
      <c r="E212" s="29"/>
    </row>
    <row r="213" spans="2:5" x14ac:dyDescent="0.2">
      <c r="C213" s="29"/>
      <c r="D213" s="29"/>
      <c r="E213" s="29"/>
    </row>
    <row r="214" spans="2:5" x14ac:dyDescent="0.2">
      <c r="C214" s="29"/>
      <c r="D214" s="29"/>
      <c r="E214" s="29"/>
    </row>
    <row r="215" spans="2:5" x14ac:dyDescent="0.2">
      <c r="C215" s="29"/>
      <c r="D215" s="29"/>
      <c r="E215" s="29"/>
    </row>
    <row r="216" spans="2:5" x14ac:dyDescent="0.2">
      <c r="C216" s="29"/>
      <c r="D216" s="29"/>
      <c r="E216" s="29"/>
    </row>
    <row r="217" spans="2:5" x14ac:dyDescent="0.2">
      <c r="C217" s="29"/>
      <c r="D217" s="29"/>
      <c r="E217" s="29"/>
    </row>
    <row r="218" spans="2:5" x14ac:dyDescent="0.2">
      <c r="C218" s="29"/>
      <c r="D218" s="29"/>
      <c r="E218" s="29"/>
    </row>
    <row r="219" spans="2:5" x14ac:dyDescent="0.2">
      <c r="C219" s="29"/>
      <c r="D219" s="29"/>
      <c r="E219" s="29"/>
    </row>
    <row r="220" spans="2:5" x14ac:dyDescent="0.2">
      <c r="C220" s="29"/>
      <c r="D220" s="29"/>
      <c r="E220" s="29"/>
    </row>
    <row r="221" spans="2:5" x14ac:dyDescent="0.2">
      <c r="B221" t="s">
        <v>175</v>
      </c>
      <c r="C221" s="29"/>
      <c r="D221" s="29"/>
      <c r="E221" s="29"/>
    </row>
    <row r="222" spans="2:5" x14ac:dyDescent="0.2">
      <c r="C222" s="29"/>
      <c r="D222" s="29"/>
      <c r="E222" s="29"/>
    </row>
    <row r="223" spans="2:5" x14ac:dyDescent="0.2">
      <c r="B223" t="s">
        <v>172</v>
      </c>
      <c r="C223" s="29">
        <f>(B13-C13)/C13</f>
        <v>0.11741997958596143</v>
      </c>
      <c r="D223" s="29">
        <f>(C13-D13)/D13</f>
        <v>0.45619116582186819</v>
      </c>
      <c r="E223" s="29">
        <f>(D13-E13)/E13</f>
        <v>6.6712740873241722E-2</v>
      </c>
    </row>
    <row r="225" spans="2:5" x14ac:dyDescent="0.2">
      <c r="B225" t="s">
        <v>176</v>
      </c>
      <c r="C225" s="23">
        <v>0.08</v>
      </c>
      <c r="D225">
        <f>(C8-D8)/D8</f>
        <v>0.33259384733074693</v>
      </c>
      <c r="E225" s="23">
        <f>(D8-E8)/E8</f>
        <v>5.5120803769784836E-2</v>
      </c>
    </row>
    <row r="226" spans="2:5" x14ac:dyDescent="0.2">
      <c r="B226" t="s">
        <v>177</v>
      </c>
      <c r="C226">
        <f t="shared" ref="C226:E227" si="27">(B6-C6)/C6</f>
        <v>6.3239764351428418E-2</v>
      </c>
      <c r="D226">
        <f t="shared" si="27"/>
        <v>0.34720743656765435</v>
      </c>
      <c r="E226">
        <f t="shared" si="27"/>
        <v>3.2092312151970941E-2</v>
      </c>
    </row>
    <row r="227" spans="2:5" x14ac:dyDescent="0.2">
      <c r="B227" t="s">
        <v>178</v>
      </c>
      <c r="C227">
        <f t="shared" si="27"/>
        <v>0.14181951041286078</v>
      </c>
      <c r="D227">
        <f t="shared" si="27"/>
        <v>0.27259708376729652</v>
      </c>
      <c r="E227">
        <f t="shared" si="27"/>
        <v>0.16152167807997234</v>
      </c>
    </row>
    <row r="229" spans="2:5" x14ac:dyDescent="0.2">
      <c r="B229" t="s">
        <v>153</v>
      </c>
      <c r="C229">
        <f t="shared" ref="C229:E231" si="28">(B15-C15)/C15</f>
        <v>0.19791001186456147</v>
      </c>
      <c r="D229">
        <f t="shared" si="28"/>
        <v>0.16862201365187712</v>
      </c>
      <c r="E229">
        <f t="shared" si="28"/>
        <v>0.15631744465684158</v>
      </c>
    </row>
    <row r="230" spans="2:5" x14ac:dyDescent="0.2">
      <c r="B230" t="s">
        <v>154</v>
      </c>
      <c r="C230">
        <f t="shared" si="28"/>
        <v>0.14203795567287125</v>
      </c>
      <c r="D230">
        <f t="shared" si="28"/>
        <v>0.10328379192608958</v>
      </c>
      <c r="E230">
        <f t="shared" si="28"/>
        <v>9.1586736092080026E-2</v>
      </c>
    </row>
    <row r="231" spans="2:5" x14ac:dyDescent="0.2">
      <c r="B231" t="s">
        <v>181</v>
      </c>
      <c r="C231">
        <f t="shared" si="28"/>
        <v>0.16993642764372138</v>
      </c>
      <c r="D231">
        <f t="shared" si="28"/>
        <v>0.13496948381090307</v>
      </c>
      <c r="E231">
        <f t="shared" si="28"/>
        <v>0.12204747257849226</v>
      </c>
    </row>
    <row r="233" spans="2:5" x14ac:dyDescent="0.2">
      <c r="C233" s="26"/>
    </row>
    <row r="235" spans="2:5" x14ac:dyDescent="0.2">
      <c r="B235" t="s">
        <v>94</v>
      </c>
    </row>
    <row r="237" spans="2:5" x14ac:dyDescent="0.2">
      <c r="B237" t="s">
        <v>169</v>
      </c>
      <c r="C237" s="26">
        <f>-C187/(B8)</f>
        <v>2.7155058732831552E-2</v>
      </c>
      <c r="D237" s="26">
        <f>-D187/C8</f>
        <v>3.0302036264033657E-2</v>
      </c>
      <c r="E237" s="26">
        <f>-E187/D8</f>
        <v>2.6625138881299748E-2</v>
      </c>
    </row>
    <row r="239" spans="2:5" x14ac:dyDescent="0.2">
      <c r="B239" t="s">
        <v>170</v>
      </c>
      <c r="C239" s="26">
        <f>-C187/B45</f>
        <v>0.25424412944891611</v>
      </c>
      <c r="D239" s="26">
        <f>-D187/C45</f>
        <v>0.28105983772819471</v>
      </c>
      <c r="E239" s="23">
        <f>-E187/D45</f>
        <v>0.19879780231735844</v>
      </c>
    </row>
    <row r="242" spans="2:5" x14ac:dyDescent="0.2">
      <c r="B242" t="s">
        <v>171</v>
      </c>
    </row>
    <row r="243" spans="2:5" x14ac:dyDescent="0.2">
      <c r="B243" t="s">
        <v>151</v>
      </c>
      <c r="C243">
        <f>B12/B8</f>
        <v>0.56690369438639909</v>
      </c>
      <c r="D243">
        <f>C12/C8</f>
        <v>0.58220640374832222</v>
      </c>
      <c r="E243">
        <f>D12/D8</f>
        <v>0.61766752272189129</v>
      </c>
    </row>
    <row r="244" spans="2:5" x14ac:dyDescent="0.2">
      <c r="B244" t="s">
        <v>172</v>
      </c>
      <c r="C244">
        <f>B13/B8</f>
        <v>0.43309630561360085</v>
      </c>
      <c r="D244">
        <f>C13/C8</f>
        <v>0.41779359625167778</v>
      </c>
      <c r="E244">
        <f>D13/D8</f>
        <v>0.38233247727810865</v>
      </c>
    </row>
    <row r="246" spans="2:5" x14ac:dyDescent="0.2">
      <c r="B246" t="s">
        <v>153</v>
      </c>
      <c r="C246">
        <f>B15/B8</f>
        <v>6.657148363798665E-2</v>
      </c>
      <c r="D246">
        <f>C15/C8</f>
        <v>5.9904269074427925E-2</v>
      </c>
      <c r="E246">
        <f>D15/D8</f>
        <v>6.8309564140393061E-2</v>
      </c>
    </row>
    <row r="247" spans="2:5" x14ac:dyDescent="0.2">
      <c r="B247" t="s">
        <v>173</v>
      </c>
      <c r="C247">
        <f>B16/B8</f>
        <v>6.3637378020328261E-2</v>
      </c>
      <c r="D247">
        <f>C16/C8</f>
        <v>6.006555190163388E-2</v>
      </c>
      <c r="E247">
        <f>D16/D8</f>
        <v>7.2549769593646979E-2</v>
      </c>
    </row>
    <row r="248" spans="2:5" x14ac:dyDescent="0.2">
      <c r="B248" t="s">
        <v>181</v>
      </c>
      <c r="C248">
        <f>B17/B8</f>
        <v>0.13020886165831491</v>
      </c>
      <c r="D248">
        <f>C17/C8</f>
        <v>0.11996982097606181</v>
      </c>
      <c r="E248">
        <f>D17/D8</f>
        <v>0.14085933373404003</v>
      </c>
    </row>
    <row r="249" spans="2:5" x14ac:dyDescent="0.2">
      <c r="B249" t="s">
        <v>152</v>
      </c>
      <c r="C249">
        <f>B18/B8</f>
        <v>0.30288744395528594</v>
      </c>
      <c r="D249">
        <f>C18/C8</f>
        <v>0.29782377527561593</v>
      </c>
      <c r="E249">
        <f>D18/D8</f>
        <v>0.24147314354406862</v>
      </c>
    </row>
    <row r="250" spans="2:5" x14ac:dyDescent="0.2">
      <c r="B250" t="s">
        <v>174</v>
      </c>
      <c r="C250">
        <f>B22/B8</f>
        <v>0.25309640705199732</v>
      </c>
      <c r="D250">
        <f>C22/C8</f>
        <v>0.25881793355694238</v>
      </c>
      <c r="E250">
        <f>D22/D8</f>
        <v>0.20913611278072236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4E54-8BBA-3447-97C0-4DE2197F143A}">
  <dimension ref="A1:J250"/>
  <sheetViews>
    <sheetView tabSelected="1" topLeftCell="A234" zoomScale="118" zoomScaleNormal="118" workbookViewId="0">
      <selection activeCell="E239" sqref="E239"/>
    </sheetView>
  </sheetViews>
  <sheetFormatPr baseColWidth="10" defaultColWidth="8.83203125" defaultRowHeight="15" x14ac:dyDescent="0.2"/>
  <cols>
    <col min="1" max="1" width="51.6640625" customWidth="1"/>
    <col min="2" max="2" width="31" customWidth="1"/>
    <col min="3" max="3" width="19.83203125" customWidth="1"/>
    <col min="4" max="4" width="17.5" customWidth="1"/>
    <col min="5" max="5" width="21.1640625" customWidth="1"/>
    <col min="6" max="6" width="38.1640625" customWidth="1"/>
    <col min="7" max="7" width="14.5" customWidth="1"/>
    <col min="8" max="8" width="12.5" customWidth="1"/>
    <col min="9" max="9" width="16.83203125" customWidth="1"/>
  </cols>
  <sheetData>
    <row r="1" spans="1:10" ht="60" customHeight="1" x14ac:dyDescent="0.2">
      <c r="A1" s="6" t="s">
        <v>0</v>
      </c>
      <c r="B1" s="4" t="s">
        <v>2</v>
      </c>
      <c r="C1" s="4"/>
      <c r="D1" s="4"/>
      <c r="E1" s="4"/>
      <c r="F1" s="4" t="s">
        <v>168</v>
      </c>
      <c r="G1" s="4"/>
      <c r="H1" s="4"/>
      <c r="I1" s="4"/>
      <c r="J1" s="4"/>
    </row>
    <row r="2" spans="1:10" x14ac:dyDescent="0.2">
      <c r="A2" s="33" t="s">
        <v>1</v>
      </c>
      <c r="B2" s="33"/>
      <c r="C2" s="33"/>
      <c r="D2" s="33"/>
    </row>
    <row r="3" spans="1:10" x14ac:dyDescent="0.2">
      <c r="B3" s="32" t="s">
        <v>23</v>
      </c>
      <c r="C3" s="32"/>
      <c r="D3" s="32"/>
    </row>
    <row r="4" spans="1:10" x14ac:dyDescent="0.2">
      <c r="B4" s="7">
        <v>2022</v>
      </c>
      <c r="C4" s="7">
        <v>2021</v>
      </c>
      <c r="D4" s="7">
        <v>2020</v>
      </c>
      <c r="E4" s="7" t="s">
        <v>180</v>
      </c>
    </row>
    <row r="5" spans="1:10" x14ac:dyDescent="0.2">
      <c r="A5" t="s">
        <v>3</v>
      </c>
    </row>
    <row r="6" spans="1:10" x14ac:dyDescent="0.2">
      <c r="A6" s="1" t="s">
        <v>4</v>
      </c>
      <c r="B6" s="12">
        <v>316199</v>
      </c>
      <c r="C6" s="12">
        <v>297392</v>
      </c>
      <c r="D6" s="12">
        <v>220747</v>
      </c>
      <c r="E6" s="12">
        <v>213883</v>
      </c>
    </row>
    <row r="7" spans="1:10" x14ac:dyDescent="0.2">
      <c r="A7" s="1" t="s">
        <v>5</v>
      </c>
      <c r="B7" s="12">
        <v>78129</v>
      </c>
      <c r="C7" s="12">
        <v>68425</v>
      </c>
      <c r="D7" s="12">
        <v>53768</v>
      </c>
      <c r="E7" s="12">
        <v>46291</v>
      </c>
    </row>
    <row r="8" spans="1:10" x14ac:dyDescent="0.2">
      <c r="A8" s="8" t="s">
        <v>6</v>
      </c>
      <c r="B8" s="13">
        <f>+B6+B7</f>
        <v>394328</v>
      </c>
      <c r="C8" s="13">
        <f t="shared" ref="C8:D8" si="0">+C6+C7</f>
        <v>365817</v>
      </c>
      <c r="D8" s="13">
        <f t="shared" si="0"/>
        <v>274515</v>
      </c>
      <c r="E8" s="2">
        <f>E6+E7</f>
        <v>260174</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c r="E12">
        <v>161782</v>
      </c>
    </row>
    <row r="13" spans="1:10" x14ac:dyDescent="0.2">
      <c r="A13" s="8" t="s">
        <v>9</v>
      </c>
      <c r="B13" s="13">
        <f>+B8-B12</f>
        <v>170782</v>
      </c>
      <c r="C13" s="13">
        <f t="shared" ref="C13:D13" si="2">+C8-C12</f>
        <v>152836</v>
      </c>
      <c r="D13" s="13">
        <f t="shared" si="2"/>
        <v>104956</v>
      </c>
      <c r="E13" s="2">
        <f>E8-E12</f>
        <v>98392</v>
      </c>
    </row>
    <row r="14" spans="1:10" x14ac:dyDescent="0.2">
      <c r="A14" t="s">
        <v>10</v>
      </c>
      <c r="B14" s="12"/>
      <c r="C14" s="12"/>
      <c r="D14" s="12"/>
    </row>
    <row r="15" spans="1:10" x14ac:dyDescent="0.2">
      <c r="A15" s="1" t="s">
        <v>11</v>
      </c>
      <c r="B15" s="12">
        <v>26251</v>
      </c>
      <c r="C15" s="12">
        <v>21914</v>
      </c>
      <c r="D15" s="12">
        <v>18752</v>
      </c>
      <c r="E15" s="12">
        <v>16217</v>
      </c>
    </row>
    <row r="16" spans="1:10" x14ac:dyDescent="0.2">
      <c r="A16" s="1" t="s">
        <v>12</v>
      </c>
      <c r="B16" s="12">
        <v>25094</v>
      </c>
      <c r="C16" s="12">
        <v>21973</v>
      </c>
      <c r="D16" s="12">
        <v>19916</v>
      </c>
      <c r="E16" s="12">
        <v>18245</v>
      </c>
    </row>
    <row r="17" spans="1:5" x14ac:dyDescent="0.2">
      <c r="A17" s="8" t="s">
        <v>13</v>
      </c>
      <c r="B17" s="13">
        <f>+B15+B16</f>
        <v>51345</v>
      </c>
      <c r="C17" s="13">
        <f t="shared" ref="C17:D17" si="3">+C15+C16</f>
        <v>43887</v>
      </c>
      <c r="D17" s="13">
        <f t="shared" si="3"/>
        <v>38668</v>
      </c>
      <c r="E17" s="23">
        <f>E15+E16</f>
        <v>34462</v>
      </c>
    </row>
    <row r="18" spans="1:5" s="7" customFormat="1" x14ac:dyDescent="0.2">
      <c r="A18" s="8" t="s">
        <v>14</v>
      </c>
      <c r="B18" s="13">
        <f>+B13-B17</f>
        <v>119437</v>
      </c>
      <c r="C18" s="13">
        <f t="shared" ref="C18:D18" si="4">+C13-C17</f>
        <v>108949</v>
      </c>
      <c r="D18" s="13">
        <f t="shared" si="4"/>
        <v>66288</v>
      </c>
    </row>
    <row r="19" spans="1:5" x14ac:dyDescent="0.2">
      <c r="A19" t="s">
        <v>15</v>
      </c>
      <c r="B19" s="12">
        <v>-334</v>
      </c>
      <c r="C19" s="12">
        <v>258</v>
      </c>
      <c r="D19" s="12">
        <v>803</v>
      </c>
    </row>
    <row r="20" spans="1:5" x14ac:dyDescent="0.2">
      <c r="A20" s="8" t="s">
        <v>16</v>
      </c>
      <c r="B20" s="13">
        <f>+B18+B19</f>
        <v>119103</v>
      </c>
      <c r="C20" s="13">
        <f t="shared" ref="C20:D20" si="5">+C18+C19</f>
        <v>109207</v>
      </c>
      <c r="D20" s="13">
        <f t="shared" si="5"/>
        <v>67091</v>
      </c>
    </row>
    <row r="21" spans="1:5" x14ac:dyDescent="0.2">
      <c r="A21" t="s">
        <v>17</v>
      </c>
      <c r="B21" s="12">
        <v>19300</v>
      </c>
      <c r="C21" s="12">
        <v>14527</v>
      </c>
      <c r="D21" s="12">
        <v>9680</v>
      </c>
    </row>
    <row r="22" spans="1:5" ht="16" thickBot="1" x14ac:dyDescent="0.25">
      <c r="A22" s="9" t="s">
        <v>18</v>
      </c>
      <c r="B22" s="14">
        <f>+B20-B21</f>
        <v>99803</v>
      </c>
      <c r="C22" s="14">
        <f t="shared" ref="C22:D22" si="6">+C20-C21</f>
        <v>94680</v>
      </c>
      <c r="D22" s="14">
        <f t="shared" si="6"/>
        <v>57411</v>
      </c>
      <c r="E22">
        <v>55256</v>
      </c>
    </row>
    <row r="23" spans="1:5" ht="16" thickTop="1" x14ac:dyDescent="0.2">
      <c r="A23" t="s">
        <v>19</v>
      </c>
    </row>
    <row r="24" spans="1:5" x14ac:dyDescent="0.2">
      <c r="A24" s="1" t="s">
        <v>20</v>
      </c>
      <c r="B24" s="10">
        <v>6.15</v>
      </c>
      <c r="C24" s="10">
        <v>5.67</v>
      </c>
      <c r="D24" s="10">
        <v>3.31</v>
      </c>
    </row>
    <row r="25" spans="1:5" x14ac:dyDescent="0.2">
      <c r="A25" s="1" t="s">
        <v>21</v>
      </c>
      <c r="B25" s="10">
        <v>6.11</v>
      </c>
      <c r="C25" s="10">
        <v>5.61</v>
      </c>
      <c r="D25" s="10">
        <v>3.28</v>
      </c>
    </row>
    <row r="26" spans="1:5" x14ac:dyDescent="0.2">
      <c r="A26" t="s">
        <v>22</v>
      </c>
    </row>
    <row r="27" spans="1:5" x14ac:dyDescent="0.2">
      <c r="A27" s="1" t="s">
        <v>20</v>
      </c>
      <c r="B27" s="2">
        <v>16215963</v>
      </c>
      <c r="C27" s="2">
        <v>16701272</v>
      </c>
      <c r="D27" s="2">
        <v>17352119</v>
      </c>
    </row>
    <row r="28" spans="1:5" x14ac:dyDescent="0.2">
      <c r="A28" s="1" t="s">
        <v>21</v>
      </c>
      <c r="B28" s="2">
        <v>16325819</v>
      </c>
      <c r="C28" s="2">
        <v>16864919</v>
      </c>
      <c r="D28" s="2">
        <v>17528214</v>
      </c>
    </row>
    <row r="31" spans="1:5" x14ac:dyDescent="0.2">
      <c r="A31" s="33" t="s">
        <v>24</v>
      </c>
      <c r="B31" s="33"/>
      <c r="C31" s="33"/>
      <c r="D31" s="33"/>
    </row>
    <row r="32" spans="1:5" x14ac:dyDescent="0.2">
      <c r="B32" s="32" t="s">
        <v>139</v>
      </c>
      <c r="C32" s="32"/>
      <c r="D32" s="32"/>
    </row>
    <row r="33" spans="1:7" x14ac:dyDescent="0.2">
      <c r="B33" s="7">
        <f>+B4</f>
        <v>2022</v>
      </c>
      <c r="C33" s="7">
        <f t="shared" ref="C33:D33" si="7">+C4</f>
        <v>2021</v>
      </c>
      <c r="D33" s="7">
        <f t="shared" si="7"/>
        <v>2020</v>
      </c>
    </row>
    <row r="35" spans="1:7" x14ac:dyDescent="0.2">
      <c r="A35" t="s">
        <v>25</v>
      </c>
    </row>
    <row r="36" spans="1:7" x14ac:dyDescent="0.2">
      <c r="A36" s="28" t="s">
        <v>26</v>
      </c>
      <c r="B36" s="12">
        <v>23646</v>
      </c>
      <c r="C36" s="12">
        <v>34940</v>
      </c>
      <c r="D36" s="12">
        <v>38016</v>
      </c>
    </row>
    <row r="37" spans="1:7" x14ac:dyDescent="0.2">
      <c r="A37" s="1" t="s">
        <v>27</v>
      </c>
      <c r="B37" s="12">
        <v>24658</v>
      </c>
      <c r="C37" s="12">
        <v>27699</v>
      </c>
      <c r="D37" s="12">
        <v>52927</v>
      </c>
      <c r="F37" s="23"/>
    </row>
    <row r="38" spans="1:7" x14ac:dyDescent="0.2">
      <c r="A38" s="1" t="s">
        <v>28</v>
      </c>
      <c r="B38" s="12">
        <v>28184</v>
      </c>
      <c r="C38" s="12">
        <v>26278</v>
      </c>
      <c r="D38" s="12">
        <v>16120</v>
      </c>
    </row>
    <row r="39" spans="1:7" x14ac:dyDescent="0.2">
      <c r="A39" s="1" t="s">
        <v>29</v>
      </c>
      <c r="B39" s="12">
        <v>4946</v>
      </c>
      <c r="C39" s="12">
        <v>6580</v>
      </c>
      <c r="D39" s="12">
        <v>4061</v>
      </c>
    </row>
    <row r="40" spans="1:7" x14ac:dyDescent="0.2">
      <c r="A40" s="1" t="s">
        <v>47</v>
      </c>
      <c r="B40" s="12">
        <v>32748</v>
      </c>
      <c r="C40" s="12">
        <v>25228</v>
      </c>
      <c r="D40" s="12">
        <v>21325</v>
      </c>
    </row>
    <row r="41" spans="1:7" x14ac:dyDescent="0.2">
      <c r="A41" s="1" t="s">
        <v>30</v>
      </c>
      <c r="B41" s="12">
        <v>21223</v>
      </c>
      <c r="C41" s="12">
        <v>14111</v>
      </c>
      <c r="D41" s="12">
        <v>11264</v>
      </c>
      <c r="F41" s="23"/>
      <c r="G41" s="23"/>
    </row>
    <row r="42" spans="1:7" x14ac:dyDescent="0.2">
      <c r="A42" s="8" t="s">
        <v>31</v>
      </c>
      <c r="B42" s="24">
        <f>+SUM(B36:B41)</f>
        <v>135405</v>
      </c>
      <c r="C42" s="13">
        <f t="shared" ref="C42:D42" si="8">+SUM(C36:C41)</f>
        <v>134836</v>
      </c>
      <c r="D42" s="13">
        <f t="shared" si="8"/>
        <v>143713</v>
      </c>
    </row>
    <row r="43" spans="1:7" x14ac:dyDescent="0.2">
      <c r="A43" t="s">
        <v>48</v>
      </c>
      <c r="B43" s="12"/>
      <c r="C43" s="12"/>
      <c r="D43" s="12"/>
    </row>
    <row r="44" spans="1:7" x14ac:dyDescent="0.2">
      <c r="A44" s="1" t="s">
        <v>27</v>
      </c>
      <c r="B44" s="12">
        <v>120805</v>
      </c>
      <c r="C44" s="12">
        <v>127877</v>
      </c>
      <c r="D44" s="12">
        <v>100887</v>
      </c>
    </row>
    <row r="45" spans="1:7" x14ac:dyDescent="0.2">
      <c r="A45" s="1" t="s">
        <v>32</v>
      </c>
      <c r="B45" s="12">
        <v>42117</v>
      </c>
      <c r="C45" s="12">
        <v>39440</v>
      </c>
      <c r="D45" s="12">
        <v>36766</v>
      </c>
    </row>
    <row r="46" spans="1:7" x14ac:dyDescent="0.2">
      <c r="A46" s="1" t="s">
        <v>49</v>
      </c>
      <c r="B46" s="12">
        <v>54428</v>
      </c>
      <c r="C46" s="12">
        <v>48849</v>
      </c>
      <c r="D46" s="12">
        <v>42522</v>
      </c>
    </row>
    <row r="47" spans="1:7" x14ac:dyDescent="0.2">
      <c r="A47" s="8" t="s">
        <v>50</v>
      </c>
      <c r="B47" s="13">
        <f>+SUM(B44:B46)</f>
        <v>217350</v>
      </c>
      <c r="C47" s="13">
        <f t="shared" ref="C47:D47" si="9">+SUM(C44:C46)</f>
        <v>216166</v>
      </c>
      <c r="D47" s="13">
        <f t="shared" si="9"/>
        <v>180175</v>
      </c>
    </row>
    <row r="48" spans="1:7" ht="16" thickBot="1" x14ac:dyDescent="0.25">
      <c r="A48" s="9" t="s">
        <v>33</v>
      </c>
      <c r="B48" s="14">
        <f>+B42+B47</f>
        <v>352755</v>
      </c>
      <c r="C48" s="14">
        <f t="shared" ref="C48:D48" si="10">+C42+C47</f>
        <v>351002</v>
      </c>
      <c r="D48" s="14">
        <f t="shared" si="10"/>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28" t="s">
        <v>39</v>
      </c>
      <c r="B55" s="12">
        <v>11128</v>
      </c>
      <c r="C55" s="12">
        <v>9613</v>
      </c>
      <c r="D55" s="12">
        <v>8773</v>
      </c>
    </row>
    <row r="56" spans="1:4" x14ac:dyDescent="0.2">
      <c r="A56" s="8" t="s">
        <v>40</v>
      </c>
      <c r="B56" s="24">
        <f>+SUM(B51:B55)</f>
        <v>153982</v>
      </c>
      <c r="C56" s="13">
        <f t="shared" ref="C56:D56" si="11">+SUM(C51:C55)</f>
        <v>125481</v>
      </c>
      <c r="D56" s="13">
        <f t="shared" si="11"/>
        <v>105392</v>
      </c>
    </row>
    <row r="57" spans="1:4" x14ac:dyDescent="0.2">
      <c r="A57" t="s">
        <v>51</v>
      </c>
      <c r="B57" s="12"/>
      <c r="C57" s="12"/>
      <c r="D57" s="12"/>
    </row>
    <row r="58" spans="1:4" x14ac:dyDescent="0.2">
      <c r="A58" s="1" t="s">
        <v>37</v>
      </c>
      <c r="B58" s="12"/>
      <c r="C58" s="12"/>
      <c r="D58" s="12"/>
    </row>
    <row r="59" spans="1:4" x14ac:dyDescent="0.2">
      <c r="A59" s="28"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2">+C59+C60</f>
        <v>162431</v>
      </c>
      <c r="D61" s="21">
        <f t="shared" si="12"/>
        <v>153157</v>
      </c>
    </row>
    <row r="62" spans="1:4" x14ac:dyDescent="0.2">
      <c r="A62" s="8" t="s">
        <v>41</v>
      </c>
      <c r="B62" s="13">
        <f>+B56+B61</f>
        <v>302083</v>
      </c>
      <c r="C62" s="13">
        <f t="shared" ref="C62:D62" si="13">+C56+C61</f>
        <v>287912</v>
      </c>
      <c r="D62" s="13">
        <f t="shared" si="13"/>
        <v>258549</v>
      </c>
    </row>
    <row r="63" spans="1:4" x14ac:dyDescent="0.2">
      <c r="B63" s="12"/>
      <c r="C63" s="12"/>
      <c r="D63" s="12"/>
    </row>
    <row r="64" spans="1:4" x14ac:dyDescent="0.2">
      <c r="A64" t="s">
        <v>42</v>
      </c>
      <c r="B64" s="12"/>
      <c r="C64" s="12"/>
      <c r="D64" s="12"/>
    </row>
    <row r="65" spans="1:6" x14ac:dyDescent="0.2">
      <c r="A65" s="1" t="s">
        <v>54</v>
      </c>
      <c r="B65" s="12">
        <v>64849</v>
      </c>
      <c r="C65" s="12">
        <v>57365</v>
      </c>
      <c r="D65" s="12">
        <v>50779</v>
      </c>
    </row>
    <row r="66" spans="1:6" x14ac:dyDescent="0.2">
      <c r="A66" s="1" t="s">
        <v>43</v>
      </c>
      <c r="B66" s="12">
        <v>-3068</v>
      </c>
      <c r="C66" s="12">
        <v>5562</v>
      </c>
      <c r="D66" s="12">
        <v>14966</v>
      </c>
    </row>
    <row r="67" spans="1:6" x14ac:dyDescent="0.2">
      <c r="A67" s="1" t="s">
        <v>44</v>
      </c>
      <c r="B67" s="12">
        <v>-11109</v>
      </c>
      <c r="C67" s="12">
        <v>163</v>
      </c>
      <c r="D67" s="12">
        <v>-406</v>
      </c>
      <c r="F67" s="23"/>
    </row>
    <row r="68" spans="1:6" x14ac:dyDescent="0.2">
      <c r="A68" s="8" t="s">
        <v>45</v>
      </c>
      <c r="B68" s="13">
        <f>+SUM(B65:B67)</f>
        <v>50672</v>
      </c>
      <c r="C68" s="13">
        <f t="shared" ref="C68:D68" si="14">+SUM(C65:C67)</f>
        <v>63090</v>
      </c>
      <c r="D68" s="13">
        <f t="shared" si="14"/>
        <v>65339</v>
      </c>
    </row>
    <row r="69" spans="1:6" ht="16" thickBot="1" x14ac:dyDescent="0.25">
      <c r="A69" s="9" t="s">
        <v>46</v>
      </c>
      <c r="B69" s="14">
        <f>+B68+B62</f>
        <v>352755</v>
      </c>
      <c r="C69" s="14">
        <f t="shared" ref="C69:D69" si="15">+C68+C62</f>
        <v>351002</v>
      </c>
      <c r="D69" s="14">
        <f t="shared" si="15"/>
        <v>323888</v>
      </c>
    </row>
    <row r="70" spans="1:6" ht="16" thickTop="1" x14ac:dyDescent="0.2"/>
    <row r="71" spans="1:6" x14ac:dyDescent="0.2">
      <c r="A71" s="33" t="s">
        <v>55</v>
      </c>
      <c r="B71" s="33"/>
      <c r="C71" s="33"/>
      <c r="D71" s="33"/>
    </row>
    <row r="72" spans="1:6" x14ac:dyDescent="0.2">
      <c r="B72" s="32" t="s">
        <v>23</v>
      </c>
      <c r="C72" s="32"/>
      <c r="D72" s="32"/>
    </row>
    <row r="73" spans="1:6" x14ac:dyDescent="0.2">
      <c r="B73" s="7">
        <f>+B33</f>
        <v>2022</v>
      </c>
      <c r="C73" s="7">
        <f t="shared" ref="C73:D73" si="16">+C33</f>
        <v>2021</v>
      </c>
      <c r="D73" s="7">
        <f t="shared" si="16"/>
        <v>2020</v>
      </c>
    </row>
    <row r="75" spans="1:6" x14ac:dyDescent="0.2">
      <c r="A75" s="7" t="s">
        <v>56</v>
      </c>
      <c r="B75" s="15"/>
      <c r="C75" s="15"/>
      <c r="D75" s="15"/>
    </row>
    <row r="76" spans="1:6" x14ac:dyDescent="0.2">
      <c r="A76" t="s">
        <v>57</v>
      </c>
      <c r="B76" s="12">
        <f>+B22</f>
        <v>99803</v>
      </c>
      <c r="C76" s="12">
        <f t="shared" ref="C76:D76" si="17">+C22</f>
        <v>94680</v>
      </c>
      <c r="D76" s="12">
        <f t="shared" si="17"/>
        <v>57411</v>
      </c>
    </row>
    <row r="77" spans="1:6" x14ac:dyDescent="0.2">
      <c r="A77" s="11" t="s">
        <v>18</v>
      </c>
      <c r="B77" s="15"/>
      <c r="C77" s="15"/>
      <c r="D77" s="15"/>
    </row>
    <row r="78" spans="1:6" x14ac:dyDescent="0.2">
      <c r="A78" s="1" t="s">
        <v>58</v>
      </c>
      <c r="B78" s="12"/>
      <c r="C78" s="12"/>
      <c r="D78" s="12"/>
    </row>
    <row r="79" spans="1:6" x14ac:dyDescent="0.2">
      <c r="A79" s="3" t="s">
        <v>59</v>
      </c>
      <c r="B79" s="12">
        <v>11104</v>
      </c>
      <c r="C79" s="12">
        <v>11284</v>
      </c>
      <c r="D79" s="12">
        <v>11056</v>
      </c>
    </row>
    <row r="80" spans="1:6" x14ac:dyDescent="0.2">
      <c r="A80" s="3" t="s">
        <v>83</v>
      </c>
      <c r="B80" s="12">
        <v>9038</v>
      </c>
      <c r="C80" s="12">
        <v>7906</v>
      </c>
      <c r="D80" s="12">
        <v>6829</v>
      </c>
    </row>
    <row r="81" spans="1:7" x14ac:dyDescent="0.2">
      <c r="A81" s="3" t="s">
        <v>60</v>
      </c>
      <c r="B81" s="12">
        <v>895</v>
      </c>
      <c r="C81" s="12">
        <v>-4774</v>
      </c>
      <c r="D81" s="12">
        <v>-215</v>
      </c>
      <c r="G81" s="23"/>
    </row>
    <row r="82" spans="1:7" x14ac:dyDescent="0.2">
      <c r="A82" s="3" t="s">
        <v>61</v>
      </c>
      <c r="B82" s="12">
        <v>111</v>
      </c>
      <c r="C82" s="12">
        <v>-147</v>
      </c>
      <c r="D82" s="12">
        <v>-97</v>
      </c>
    </row>
    <row r="83" spans="1:7" x14ac:dyDescent="0.2">
      <c r="A83" t="s">
        <v>62</v>
      </c>
      <c r="B83" s="12"/>
      <c r="C83" s="12"/>
      <c r="D83" s="12"/>
    </row>
    <row r="84" spans="1:7" x14ac:dyDescent="0.2">
      <c r="A84" s="1" t="s">
        <v>28</v>
      </c>
      <c r="B84" s="12">
        <v>-1823</v>
      </c>
      <c r="C84" s="12">
        <v>-10125</v>
      </c>
      <c r="D84" s="12">
        <v>6917</v>
      </c>
    </row>
    <row r="85" spans="1:7" x14ac:dyDescent="0.2">
      <c r="A85" s="1" t="s">
        <v>29</v>
      </c>
      <c r="B85" s="12">
        <v>1484</v>
      </c>
      <c r="C85" s="12">
        <v>-2642</v>
      </c>
      <c r="D85" s="12">
        <v>-127</v>
      </c>
    </row>
    <row r="86" spans="1:7" x14ac:dyDescent="0.2">
      <c r="A86" s="1" t="s">
        <v>47</v>
      </c>
      <c r="B86" s="12">
        <v>-7520</v>
      </c>
      <c r="C86" s="12">
        <v>-3903</v>
      </c>
      <c r="D86" s="12">
        <v>1553</v>
      </c>
    </row>
    <row r="87" spans="1:7" x14ac:dyDescent="0.2">
      <c r="A87" s="1" t="s">
        <v>84</v>
      </c>
      <c r="B87" s="12">
        <v>-6499</v>
      </c>
      <c r="C87" s="12">
        <v>-8042</v>
      </c>
      <c r="D87" s="12">
        <v>-9588</v>
      </c>
    </row>
    <row r="88" spans="1:7" x14ac:dyDescent="0.2">
      <c r="A88" s="1" t="s">
        <v>35</v>
      </c>
      <c r="B88" s="12">
        <v>9448</v>
      </c>
      <c r="C88" s="12">
        <v>12326</v>
      </c>
      <c r="D88" s="12">
        <v>-4062</v>
      </c>
    </row>
    <row r="89" spans="1:7" x14ac:dyDescent="0.2">
      <c r="A89" s="1" t="s">
        <v>37</v>
      </c>
      <c r="B89" s="12">
        <v>478</v>
      </c>
      <c r="C89" s="12">
        <v>1676</v>
      </c>
      <c r="D89" s="12">
        <v>2081</v>
      </c>
    </row>
    <row r="90" spans="1:7" x14ac:dyDescent="0.2">
      <c r="A90" s="1" t="s">
        <v>85</v>
      </c>
      <c r="B90" s="12">
        <v>5632</v>
      </c>
      <c r="C90" s="12">
        <v>5799</v>
      </c>
      <c r="D90" s="12">
        <v>8916</v>
      </c>
    </row>
    <row r="91" spans="1:7" x14ac:dyDescent="0.2">
      <c r="A91" s="8" t="s">
        <v>63</v>
      </c>
      <c r="B91" s="27">
        <f>+SUM(B76:B90)</f>
        <v>122151</v>
      </c>
      <c r="C91" s="13">
        <f t="shared" ref="C91:D91" si="18">+SUM(C76:C90)</f>
        <v>104038</v>
      </c>
      <c r="D91" s="13">
        <f t="shared" si="18"/>
        <v>80674</v>
      </c>
      <c r="F91" s="26"/>
    </row>
    <row r="92" spans="1:7" x14ac:dyDescent="0.2">
      <c r="A92" s="7" t="s">
        <v>64</v>
      </c>
      <c r="B92" s="12"/>
      <c r="C92" s="12"/>
      <c r="D92" s="12"/>
    </row>
    <row r="93" spans="1:7" x14ac:dyDescent="0.2">
      <c r="A93" s="1" t="s">
        <v>65</v>
      </c>
      <c r="B93" s="12">
        <v>-76923</v>
      </c>
      <c r="C93" s="12">
        <v>-109558</v>
      </c>
      <c r="D93" s="12">
        <v>-114938</v>
      </c>
    </row>
    <row r="94" spans="1:7" x14ac:dyDescent="0.2">
      <c r="A94" s="1" t="s">
        <v>66</v>
      </c>
      <c r="B94" s="12">
        <v>29917</v>
      </c>
      <c r="C94" s="12">
        <v>59023</v>
      </c>
      <c r="D94" s="12">
        <v>69918</v>
      </c>
    </row>
    <row r="95" spans="1:7" x14ac:dyDescent="0.2">
      <c r="A95" s="1" t="s">
        <v>67</v>
      </c>
      <c r="B95" s="12">
        <v>37446</v>
      </c>
      <c r="C95" s="12">
        <v>47460</v>
      </c>
      <c r="D95" s="12">
        <v>50473</v>
      </c>
    </row>
    <row r="96" spans="1:7"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19">+SUM(C93:C98)</f>
        <v>-14545</v>
      </c>
      <c r="D99" s="13">
        <f t="shared" si="19"/>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0">+SUM(C101:C107)</f>
        <v>-93353</v>
      </c>
      <c r="D108" s="13">
        <f t="shared" si="20"/>
        <v>-86820</v>
      </c>
    </row>
    <row r="109" spans="1:4" x14ac:dyDescent="0.2">
      <c r="A109" s="8" t="s">
        <v>78</v>
      </c>
      <c r="B109" s="13">
        <f>+B91+B99+B108</f>
        <v>-10952</v>
      </c>
      <c r="C109" s="13">
        <f t="shared" ref="C109:D109" si="21">+C91+C99+C108</f>
        <v>-3860</v>
      </c>
      <c r="D109" s="13">
        <f t="shared" si="21"/>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row r="156" spans="1:10" ht="26" x14ac:dyDescent="0.3">
      <c r="A156" s="6"/>
      <c r="B156" s="20" t="s">
        <v>0</v>
      </c>
      <c r="C156" s="19"/>
      <c r="D156" s="19"/>
      <c r="E156" s="19"/>
      <c r="F156" s="19"/>
      <c r="G156" s="19"/>
      <c r="H156" s="19"/>
      <c r="I156" s="19"/>
      <c r="J156" s="19"/>
    </row>
    <row r="157" spans="1:10" x14ac:dyDescent="0.2">
      <c r="C157" s="32" t="s">
        <v>23</v>
      </c>
      <c r="D157" s="32"/>
      <c r="E157" s="32"/>
    </row>
    <row r="158" spans="1:10" x14ac:dyDescent="0.2">
      <c r="C158" s="7">
        <v>2022</v>
      </c>
      <c r="D158" s="7">
        <v>2021</v>
      </c>
      <c r="E158" s="7">
        <v>2020</v>
      </c>
    </row>
    <row r="159" spans="1:10" x14ac:dyDescent="0.2">
      <c r="A159" s="18">
        <v>1</v>
      </c>
      <c r="B159" s="7" t="s">
        <v>99</v>
      </c>
    </row>
    <row r="160" spans="1:10" x14ac:dyDescent="0.2">
      <c r="A160" s="18">
        <f>+A159+0.1</f>
        <v>1.1000000000000001</v>
      </c>
      <c r="B160" s="1" t="s">
        <v>100</v>
      </c>
      <c r="C160" s="29">
        <f>B42/B56</f>
        <v>0.87935602862672257</v>
      </c>
      <c r="D160" s="29">
        <f>C42/C56</f>
        <v>1.0745531195957954</v>
      </c>
      <c r="E160" s="29">
        <f>D42/D56</f>
        <v>1.3636044481554577</v>
      </c>
    </row>
    <row r="161" spans="1:6" x14ac:dyDescent="0.2">
      <c r="A161" s="18">
        <f t="shared" ref="A161:A168" si="22">+A160+0.1</f>
        <v>1.2000000000000002</v>
      </c>
      <c r="B161" s="1" t="s">
        <v>101</v>
      </c>
      <c r="C161" s="29">
        <f>(B42-B39)/B56</f>
        <v>0.84723539114961488</v>
      </c>
      <c r="D161" s="29">
        <f>(C42-C39)/C56</f>
        <v>1.0221149018576519</v>
      </c>
      <c r="E161" s="29">
        <f>(D42-D39)/D56</f>
        <v>1.325072111735236</v>
      </c>
    </row>
    <row r="162" spans="1:6" x14ac:dyDescent="0.2">
      <c r="A162" s="18">
        <f t="shared" si="22"/>
        <v>1.3000000000000003</v>
      </c>
      <c r="B162" s="1" t="s">
        <v>102</v>
      </c>
      <c r="C162" s="29">
        <f>B36/B56</f>
        <v>0.15356340351469652</v>
      </c>
      <c r="D162" s="29">
        <f>C36/C56</f>
        <v>0.27844853005634318</v>
      </c>
      <c r="E162" s="29">
        <f>D36/D56</f>
        <v>0.36071049035979963</v>
      </c>
    </row>
    <row r="163" spans="1:6" x14ac:dyDescent="0.2">
      <c r="A163" s="18">
        <f t="shared" si="22"/>
        <v>1.4000000000000004</v>
      </c>
      <c r="B163" s="1" t="s">
        <v>103</v>
      </c>
      <c r="C163" s="29">
        <f>B42/((B17-B79)/365)</f>
        <v>1228.1708953554833</v>
      </c>
      <c r="D163" s="29">
        <f>C42/((C17-C79)/365)</f>
        <v>1509.5279575499187</v>
      </c>
      <c r="E163" s="29">
        <f>D42/((D17-D79)/365)</f>
        <v>1899.7263870780819</v>
      </c>
      <c r="F163" s="30"/>
    </row>
    <row r="164" spans="1:6" x14ac:dyDescent="0.2">
      <c r="A164" s="18">
        <f t="shared" si="22"/>
        <v>1.5000000000000004</v>
      </c>
      <c r="B164" s="1" t="s">
        <v>147</v>
      </c>
      <c r="C164" s="29">
        <f>B39/B12*365</f>
        <v>8.0756980666171607</v>
      </c>
      <c r="D164" s="29">
        <f>C39/C12*365</f>
        <v>11.27659274770989</v>
      </c>
      <c r="E164" s="29">
        <f>D39/D12*365</f>
        <v>8.7418833562358831</v>
      </c>
    </row>
    <row r="165" spans="1:6" x14ac:dyDescent="0.2">
      <c r="A165" s="18">
        <f t="shared" si="22"/>
        <v>1.6000000000000005</v>
      </c>
      <c r="B165" s="1" t="s">
        <v>149</v>
      </c>
      <c r="C165" s="29">
        <f>(B51/B12)*365</f>
        <v>104.68527730310539</v>
      </c>
      <c r="D165" s="29">
        <f>(C51/C12)*365</f>
        <v>93.851071222315596</v>
      </c>
      <c r="E165" s="29">
        <f>(D51/D12)*365</f>
        <v>91.048189715674198</v>
      </c>
    </row>
    <row r="166" spans="1:6" x14ac:dyDescent="0.2">
      <c r="A166" s="18">
        <f t="shared" si="22"/>
        <v>1.7000000000000006</v>
      </c>
      <c r="B166" s="1" t="s">
        <v>148</v>
      </c>
      <c r="C166" s="29">
        <f>(B38/B8)*365</f>
        <v>26.087825363656648</v>
      </c>
      <c r="D166" s="29">
        <f>(C38/C8)*100</f>
        <v>7.1833731073186868</v>
      </c>
      <c r="E166" s="29">
        <f>(D38/D8)*365</f>
        <v>21.433437152796749</v>
      </c>
    </row>
    <row r="167" spans="1:6" x14ac:dyDescent="0.2">
      <c r="A167" s="18">
        <f t="shared" si="22"/>
        <v>1.8000000000000007</v>
      </c>
      <c r="B167" s="1" t="s">
        <v>104</v>
      </c>
      <c r="C167" s="29">
        <f>C164+C166-C165</f>
        <v>-70.521753872831582</v>
      </c>
      <c r="D167" s="29">
        <f>D164+D166-D165</f>
        <v>-75.391105367287025</v>
      </c>
      <c r="E167" s="29">
        <f>E164+E166-E165</f>
        <v>-60.872869206641568</v>
      </c>
    </row>
    <row r="168" spans="1:6" x14ac:dyDescent="0.2">
      <c r="A168" s="18">
        <f t="shared" si="22"/>
        <v>1.9000000000000008</v>
      </c>
      <c r="B168" s="1" t="s">
        <v>105</v>
      </c>
      <c r="C168" s="29">
        <f>B8/C169</f>
        <v>-21.226678150401032</v>
      </c>
      <c r="D168" s="29">
        <f>C8/D169</f>
        <v>39.103901656867983</v>
      </c>
      <c r="E168" s="29">
        <f>D8/E169</f>
        <v>7.1635656689543596</v>
      </c>
      <c r="F168" s="30"/>
    </row>
    <row r="169" spans="1:6" x14ac:dyDescent="0.2">
      <c r="A169" s="18"/>
      <c r="B169" s="3" t="s">
        <v>106</v>
      </c>
      <c r="C169" s="23">
        <f>B42-B56</f>
        <v>-18577</v>
      </c>
      <c r="D169" s="23">
        <f>C42-C56</f>
        <v>9355</v>
      </c>
      <c r="E169" s="23">
        <f>D42-D56</f>
        <v>38321</v>
      </c>
    </row>
    <row r="170" spans="1:6" x14ac:dyDescent="0.2">
      <c r="A170" s="18"/>
    </row>
    <row r="171" spans="1:6" x14ac:dyDescent="0.2">
      <c r="A171" s="18">
        <f>+A159+1</f>
        <v>2</v>
      </c>
      <c r="B171" s="17" t="s">
        <v>107</v>
      </c>
    </row>
    <row r="172" spans="1:6" x14ac:dyDescent="0.2">
      <c r="A172" s="18">
        <f>+A171+0.1</f>
        <v>2.1</v>
      </c>
      <c r="B172" s="1" t="s">
        <v>9</v>
      </c>
      <c r="C172">
        <f>((B8-B12)/(B8))</f>
        <v>0.43309630561360085</v>
      </c>
      <c r="D172">
        <f>(C8-C12)/C8</f>
        <v>0.41779359625167778</v>
      </c>
      <c r="E172">
        <f>(D8-D12)/D8</f>
        <v>0.38233247727810865</v>
      </c>
      <c r="F172" s="30"/>
    </row>
    <row r="173" spans="1:6" x14ac:dyDescent="0.2">
      <c r="A173" s="18">
        <f>+A172+0.1</f>
        <v>2.2000000000000002</v>
      </c>
      <c r="B173" s="1" t="s">
        <v>108</v>
      </c>
      <c r="C173">
        <f>C174/B8</f>
        <v>0.3310467428130896</v>
      </c>
      <c r="D173">
        <f>D174/C8</f>
        <v>0.32866979938056462</v>
      </c>
      <c r="E173">
        <f>E174/D8</f>
        <v>0.2817478097736007</v>
      </c>
      <c r="F173" s="30"/>
    </row>
    <row r="174" spans="1:6" x14ac:dyDescent="0.2">
      <c r="A174" s="18"/>
      <c r="B174" s="3" t="s">
        <v>109</v>
      </c>
      <c r="C174" s="23">
        <f>B18+B79</f>
        <v>130541</v>
      </c>
      <c r="D174" s="23">
        <f>C18+C79</f>
        <v>120233</v>
      </c>
      <c r="E174" s="23">
        <f>D18+D79</f>
        <v>77344</v>
      </c>
    </row>
    <row r="175" spans="1:6" x14ac:dyDescent="0.2">
      <c r="A175" s="18">
        <f>+A173+0.1</f>
        <v>2.3000000000000003</v>
      </c>
      <c r="B175" s="1" t="s">
        <v>110</v>
      </c>
      <c r="C175">
        <f>C176/B8</f>
        <v>0.30288744395528594</v>
      </c>
      <c r="D175">
        <f>D176/C8</f>
        <v>0.29782377527561593</v>
      </c>
      <c r="E175">
        <f>E176/D8</f>
        <v>0.24147314354406862</v>
      </c>
      <c r="F175" s="30"/>
    </row>
    <row r="176" spans="1:6" x14ac:dyDescent="0.2">
      <c r="A176" s="18"/>
      <c r="B176" s="3" t="s">
        <v>111</v>
      </c>
      <c r="C176" s="23">
        <f>B8-B12-B17</f>
        <v>119437</v>
      </c>
      <c r="D176" s="23">
        <f>C8-C12-C17</f>
        <v>108949</v>
      </c>
      <c r="E176" s="23">
        <f>D8-D12-D17</f>
        <v>66288</v>
      </c>
    </row>
    <row r="177" spans="1:9" x14ac:dyDescent="0.2">
      <c r="A177" s="18">
        <f>+A175+0.1</f>
        <v>2.4000000000000004</v>
      </c>
      <c r="B177" s="1" t="s">
        <v>112</v>
      </c>
      <c r="C177">
        <f>B22/B8</f>
        <v>0.25309640705199732</v>
      </c>
      <c r="D177">
        <f>C22/C8</f>
        <v>0.25881793355694238</v>
      </c>
      <c r="E177">
        <f>D22/D8</f>
        <v>0.20913611278072236</v>
      </c>
      <c r="F177" s="30"/>
      <c r="G177" s="23"/>
      <c r="H177" s="23"/>
      <c r="I177" s="23"/>
    </row>
    <row r="178" spans="1:9" x14ac:dyDescent="0.2">
      <c r="A178" s="18"/>
    </row>
    <row r="179" spans="1:9" x14ac:dyDescent="0.2">
      <c r="A179" s="18">
        <f>+A171+1</f>
        <v>3</v>
      </c>
      <c r="B179" s="7" t="s">
        <v>113</v>
      </c>
    </row>
    <row r="180" spans="1:9" x14ac:dyDescent="0.2">
      <c r="A180" s="18">
        <f>+A179+0.1</f>
        <v>3.1</v>
      </c>
      <c r="B180" s="1" t="s">
        <v>114</v>
      </c>
      <c r="C180" s="29">
        <f>B59/B68</f>
        <v>1.9529325860435744</v>
      </c>
      <c r="D180" s="29">
        <f>C59/C68</f>
        <v>1.729370740212395</v>
      </c>
      <c r="E180" s="29">
        <f>D59/D68</f>
        <v>1.5100782075024104</v>
      </c>
    </row>
    <row r="181" spans="1:9" x14ac:dyDescent="0.2">
      <c r="A181" s="18">
        <f t="shared" ref="A181:A185" si="23">+A180+0.1</f>
        <v>3.2</v>
      </c>
      <c r="B181" s="1" t="s">
        <v>115</v>
      </c>
      <c r="C181" s="29">
        <f>B59/B48</f>
        <v>0.28053181386514719</v>
      </c>
      <c r="D181" s="29">
        <f>C59/C48</f>
        <v>0.31084153366647482</v>
      </c>
      <c r="E181" s="29">
        <f>D59/D48</f>
        <v>0.30463308304105124</v>
      </c>
      <c r="F181" s="30"/>
    </row>
    <row r="182" spans="1:9" x14ac:dyDescent="0.2">
      <c r="A182" s="18">
        <f t="shared" si="23"/>
        <v>3.3000000000000003</v>
      </c>
      <c r="B182" s="1" t="s">
        <v>116</v>
      </c>
      <c r="C182" s="23">
        <f>(B59)/B59+B68</f>
        <v>50673</v>
      </c>
      <c r="D182" s="23">
        <f>(C59)/C59+C68</f>
        <v>63091</v>
      </c>
      <c r="E182" s="23">
        <f>(D59)/D59+D68</f>
        <v>65340</v>
      </c>
      <c r="F182" s="30"/>
    </row>
    <row r="183" spans="1:9" x14ac:dyDescent="0.2">
      <c r="A183" s="18">
        <f t="shared" si="23"/>
        <v>3.4000000000000004</v>
      </c>
      <c r="B183" s="1" t="s">
        <v>117</v>
      </c>
      <c r="C183">
        <f>C176/B114</f>
        <v>41.68830715532286</v>
      </c>
      <c r="D183">
        <f>D176/C114</f>
        <v>40.546706363974693</v>
      </c>
      <c r="E183">
        <f>E176/D114</f>
        <v>22.081279147235175</v>
      </c>
    </row>
    <row r="184" spans="1:9" x14ac:dyDescent="0.2">
      <c r="A184" s="18">
        <f t="shared" si="23"/>
        <v>3.5000000000000004</v>
      </c>
      <c r="B184" s="1" t="s">
        <v>118</v>
      </c>
      <c r="C184" s="26">
        <f>B22/(B104-B105-B114)</f>
        <v>8.2189738944247708</v>
      </c>
      <c r="D184" s="26">
        <f>C22/(C104-C105-C114)</f>
        <v>3.5787723011793164</v>
      </c>
      <c r="E184">
        <f>D22/(D104-D105-D114)</f>
        <v>2.2323275526868342</v>
      </c>
    </row>
    <row r="185" spans="1:9" x14ac:dyDescent="0.2">
      <c r="A185" s="18">
        <f t="shared" si="23"/>
        <v>3.6000000000000005</v>
      </c>
      <c r="B185" s="1" t="s">
        <v>119</v>
      </c>
      <c r="C185" s="26">
        <f>C186/(B28/1000)</f>
        <v>8.1379684535275079</v>
      </c>
      <c r="D185" s="26">
        <f>D186/(C28/1000)</f>
        <v>6.8261816140356197</v>
      </c>
      <c r="E185" s="26">
        <f>E186/(D28/1000)</f>
        <v>5.0195074067443493</v>
      </c>
      <c r="F185" s="30"/>
    </row>
    <row r="186" spans="1:9" x14ac:dyDescent="0.2">
      <c r="A186" s="18"/>
      <c r="B186" s="3" t="s">
        <v>120</v>
      </c>
      <c r="C186" s="23">
        <f>B91-C187+G177</f>
        <v>132859</v>
      </c>
      <c r="D186" s="23">
        <f>C91-D187+H177</f>
        <v>115123</v>
      </c>
      <c r="E186" s="23">
        <f>D91-E187+I177</f>
        <v>87983</v>
      </c>
    </row>
    <row r="187" spans="1:9" x14ac:dyDescent="0.2">
      <c r="A187" s="18"/>
      <c r="B187" s="1" t="s">
        <v>150</v>
      </c>
      <c r="C187" s="23">
        <f>B96</f>
        <v>-10708</v>
      </c>
      <c r="D187" s="23">
        <f>C96</f>
        <v>-11085</v>
      </c>
      <c r="E187" s="23">
        <f>D96</f>
        <v>-7309</v>
      </c>
      <c r="F187" s="30"/>
    </row>
    <row r="188" spans="1:9" x14ac:dyDescent="0.2">
      <c r="A188" s="18">
        <f>+A179+1</f>
        <v>4</v>
      </c>
      <c r="B188" s="17" t="s">
        <v>121</v>
      </c>
    </row>
    <row r="189" spans="1:9" x14ac:dyDescent="0.2">
      <c r="A189" s="18">
        <f>+A188+0.1</f>
        <v>4.0999999999999996</v>
      </c>
      <c r="B189" s="1" t="s">
        <v>122</v>
      </c>
      <c r="C189" s="29">
        <f>B8/B48</f>
        <v>1.1178523337727317</v>
      </c>
      <c r="D189" s="29">
        <f>C8/C48</f>
        <v>1.0422077367080529</v>
      </c>
      <c r="E189" s="29">
        <f>D8/D48</f>
        <v>0.84756150274168851</v>
      </c>
    </row>
    <row r="190" spans="1:9" x14ac:dyDescent="0.2">
      <c r="A190" s="18">
        <f t="shared" ref="A190:A192" si="24">+A189+0.1</f>
        <v>4.1999999999999993</v>
      </c>
      <c r="B190" s="1" t="s">
        <v>123</v>
      </c>
      <c r="C190" s="29">
        <f>B8/B45</f>
        <v>9.3626801529073767</v>
      </c>
      <c r="D190" s="29">
        <f>C8/C45</f>
        <v>9.2752789046653152</v>
      </c>
      <c r="E190" s="29">
        <f>D8/D45</f>
        <v>7.4665451776097482</v>
      </c>
    </row>
    <row r="191" spans="1:9" x14ac:dyDescent="0.2">
      <c r="A191" s="18">
        <f t="shared" si="24"/>
        <v>4.2999999999999989</v>
      </c>
      <c r="B191" s="1" t="s">
        <v>124</v>
      </c>
      <c r="C191" s="29">
        <f>B12/B39</f>
        <v>45.197331176708452</v>
      </c>
      <c r="D191" s="29">
        <f>C12/C39</f>
        <v>32.367933130699086</v>
      </c>
      <c r="E191" s="29">
        <f>D12/D39</f>
        <v>41.753016498399411</v>
      </c>
    </row>
    <row r="192" spans="1:9" x14ac:dyDescent="0.2">
      <c r="A192" s="18">
        <f t="shared" si="24"/>
        <v>4.3999999999999986</v>
      </c>
      <c r="B192" s="1" t="s">
        <v>125</v>
      </c>
      <c r="C192" s="29">
        <f>(B22/B48)</f>
        <v>0.28292440929256851</v>
      </c>
      <c r="D192" s="29">
        <f>(C22/C48)</f>
        <v>0.26974205275183616</v>
      </c>
      <c r="E192" s="29">
        <f>(D22/D48)</f>
        <v>0.1772557180259843</v>
      </c>
      <c r="F192" s="30"/>
    </row>
    <row r="193" spans="1:6" x14ac:dyDescent="0.2">
      <c r="A193" s="18"/>
    </row>
    <row r="194" spans="1:6" x14ac:dyDescent="0.2">
      <c r="A194" s="18">
        <f>+A188+1</f>
        <v>5</v>
      </c>
      <c r="B194" s="17" t="s">
        <v>126</v>
      </c>
    </row>
    <row r="195" spans="1:6" x14ac:dyDescent="0.2">
      <c r="A195" s="18">
        <f>+A194+0.1</f>
        <v>5.0999999999999996</v>
      </c>
      <c r="B195" s="1" t="s">
        <v>127</v>
      </c>
      <c r="C195" s="29">
        <f>C196/137.2</f>
        <v>4.4533527696793009E-2</v>
      </c>
      <c r="D195" s="29">
        <f>D196/146.42</f>
        <v>3.8314437918317172E-2</v>
      </c>
      <c r="E195" s="29">
        <f>E196/113.6</f>
        <v>2.8873239436619718E-2</v>
      </c>
      <c r="F195" s="30"/>
    </row>
    <row r="196" spans="1:6" x14ac:dyDescent="0.2">
      <c r="A196" s="18">
        <f t="shared" ref="A196:A199" si="25">+A195+0.1</f>
        <v>5.1999999999999993</v>
      </c>
      <c r="B196" s="3" t="s">
        <v>128</v>
      </c>
      <c r="C196">
        <f>B25</f>
        <v>6.11</v>
      </c>
      <c r="D196">
        <f>C25</f>
        <v>5.61</v>
      </c>
      <c r="E196">
        <f>D25</f>
        <v>3.28</v>
      </c>
    </row>
    <row r="197" spans="1:6" x14ac:dyDescent="0.2">
      <c r="A197" s="18">
        <f t="shared" si="25"/>
        <v>5.2999999999999989</v>
      </c>
      <c r="B197" s="1" t="s">
        <v>129</v>
      </c>
      <c r="C197" s="26">
        <f>C208/C198</f>
        <v>721665.62634291931</v>
      </c>
      <c r="D197" s="26">
        <f>D208/D198</f>
        <v>660097.96587392723</v>
      </c>
      <c r="E197" s="26">
        <f>E208/E198</f>
        <v>534172.07629417069</v>
      </c>
      <c r="F197" s="30"/>
    </row>
    <row r="198" spans="1:6" x14ac:dyDescent="0.2">
      <c r="A198" s="18">
        <f t="shared" si="25"/>
        <v>5.3999999999999986</v>
      </c>
      <c r="B198" s="3" t="s">
        <v>130</v>
      </c>
      <c r="C198" s="26">
        <f>B68/(B28/1000)</f>
        <v>3.1037952827971451</v>
      </c>
      <c r="D198" s="26">
        <f>C68/(C28/1000)</f>
        <v>3.740901453484597</v>
      </c>
      <c r="E198" s="26">
        <f>D68/(D28/1000)</f>
        <v>3.7276473233382479</v>
      </c>
      <c r="F198" s="31"/>
    </row>
    <row r="199" spans="1:6" x14ac:dyDescent="0.2">
      <c r="A199" s="18">
        <f t="shared" si="25"/>
        <v>5.4999999999999982</v>
      </c>
      <c r="B199" s="1" t="s">
        <v>131</v>
      </c>
      <c r="C199" s="26">
        <f>C200/C196</f>
        <v>-0.14878083013397297</v>
      </c>
      <c r="D199" s="26">
        <f>D200/D196</f>
        <v>-0.15290840583271573</v>
      </c>
      <c r="E199" s="26">
        <f>E200/E196</f>
        <v>-0.24491872388584765</v>
      </c>
    </row>
    <row r="200" spans="1:6" x14ac:dyDescent="0.2">
      <c r="A200" s="18"/>
      <c r="B200" s="3" t="s">
        <v>132</v>
      </c>
      <c r="C200" s="26">
        <f>B102/(B28/1000)</f>
        <v>-0.90905087211857494</v>
      </c>
      <c r="D200" s="26">
        <f>C102/(C28/1000)</f>
        <v>-0.85781615672153533</v>
      </c>
      <c r="E200" s="26">
        <f>D102/(D28/1000)</f>
        <v>-0.80333341434558025</v>
      </c>
      <c r="F200" s="30"/>
    </row>
    <row r="201" spans="1:6" x14ac:dyDescent="0.2">
      <c r="A201" s="18">
        <f>+A199+0.1</f>
        <v>5.5999999999999979</v>
      </c>
      <c r="B201" s="1" t="s">
        <v>133</v>
      </c>
      <c r="C201" s="26">
        <f>B102/175.46</f>
        <v>-84.583380827539031</v>
      </c>
      <c r="D201" s="26">
        <f>C102/175.46</f>
        <v>-82.451840875413197</v>
      </c>
      <c r="E201" s="26">
        <f>D102/175.46</f>
        <v>-80.251909267069408</v>
      </c>
    </row>
    <row r="202" spans="1:6" x14ac:dyDescent="0.2">
      <c r="A202" s="18">
        <f t="shared" ref="A202:A205" si="26">+A200+0.1</f>
        <v>0.1</v>
      </c>
      <c r="B202" s="1" t="s">
        <v>134</v>
      </c>
      <c r="C202" s="29">
        <f>B22/B68</f>
        <v>1.9695887275023682</v>
      </c>
      <c r="D202" s="29">
        <f>C22/C68</f>
        <v>1.5007132667617689</v>
      </c>
      <c r="E202" s="29">
        <f>D22/D68</f>
        <v>0.87866358530127486</v>
      </c>
      <c r="F202" s="30"/>
    </row>
    <row r="203" spans="1:6" x14ac:dyDescent="0.2">
      <c r="A203" s="18">
        <f t="shared" si="26"/>
        <v>5.6999999999999975</v>
      </c>
      <c r="B203" s="1" t="s">
        <v>135</v>
      </c>
      <c r="C203" s="29">
        <f>C176/(B55+B68)</f>
        <v>1.9326375404530745</v>
      </c>
      <c r="D203" s="29">
        <f>D176/(C55+C68)</f>
        <v>1.4985488906922686</v>
      </c>
      <c r="E203" s="29">
        <f>E176/(D55+D68)</f>
        <v>0.89443005181347146</v>
      </c>
      <c r="F203" s="30"/>
    </row>
    <row r="204" spans="1:6" x14ac:dyDescent="0.2">
      <c r="A204" s="18">
        <f t="shared" si="26"/>
        <v>0.2</v>
      </c>
      <c r="B204" s="1" t="s">
        <v>125</v>
      </c>
      <c r="C204" s="29">
        <f>B22/B48</f>
        <v>0.28292440929256851</v>
      </c>
      <c r="D204" s="29">
        <f>C22/C48</f>
        <v>0.26974205275183616</v>
      </c>
      <c r="E204" s="29">
        <f>D22/D48</f>
        <v>0.1772557180259843</v>
      </c>
      <c r="F204" s="30"/>
    </row>
    <row r="205" spans="1:6" x14ac:dyDescent="0.2">
      <c r="A205" s="18">
        <f t="shared" si="26"/>
        <v>5.7999999999999972</v>
      </c>
      <c r="B205" s="1" t="s">
        <v>136</v>
      </c>
      <c r="C205" s="29">
        <f>C206/C174</f>
        <v>17.735541835898299</v>
      </c>
      <c r="D205" s="29">
        <f>D206/D174</f>
        <v>21.154986068550233</v>
      </c>
      <c r="E205" s="29">
        <f>E206/E174</f>
        <v>26.528962949937938</v>
      </c>
    </row>
    <row r="206" spans="1:6" x14ac:dyDescent="0.2">
      <c r="A206" s="18"/>
      <c r="B206" s="3" t="s">
        <v>137</v>
      </c>
      <c r="C206" s="26">
        <f>C208+B59-(B36)</f>
        <v>2315215.3668</v>
      </c>
      <c r="D206" s="26">
        <f>D208+C59-(C36)</f>
        <v>2543527.4399800003</v>
      </c>
      <c r="E206" s="26">
        <f>E208+D59-(D36)</f>
        <v>2051856.1103999999</v>
      </c>
      <c r="F206" s="30"/>
    </row>
    <row r="208" spans="1:6" x14ac:dyDescent="0.2">
      <c r="B208" s="1" t="s">
        <v>179</v>
      </c>
      <c r="C208">
        <f>137.2*(B28/1000)</f>
        <v>2239902.3668</v>
      </c>
      <c r="D208">
        <f>146.42*(C28/1000)</f>
        <v>2469361.4399800003</v>
      </c>
      <c r="E208">
        <f>113.6*(D28/1000)</f>
        <v>1991205.1103999999</v>
      </c>
    </row>
    <row r="210" spans="2:5" x14ac:dyDescent="0.2">
      <c r="C210" s="29"/>
      <c r="D210" s="29"/>
      <c r="E210" s="29"/>
    </row>
    <row r="211" spans="2:5" x14ac:dyDescent="0.2">
      <c r="C211" s="29"/>
      <c r="D211" s="29"/>
      <c r="E211" s="29"/>
    </row>
    <row r="212" spans="2:5" x14ac:dyDescent="0.2">
      <c r="C212" s="29"/>
      <c r="D212" s="29"/>
      <c r="E212" s="29"/>
    </row>
    <row r="213" spans="2:5" x14ac:dyDescent="0.2">
      <c r="C213" s="29"/>
      <c r="D213" s="29"/>
      <c r="E213" s="29"/>
    </row>
    <row r="214" spans="2:5" x14ac:dyDescent="0.2">
      <c r="C214" s="29"/>
      <c r="D214" s="29"/>
      <c r="E214" s="29"/>
    </row>
    <row r="215" spans="2:5" x14ac:dyDescent="0.2">
      <c r="C215" s="29"/>
      <c r="D215" s="29"/>
      <c r="E215" s="29"/>
    </row>
    <row r="216" spans="2:5" x14ac:dyDescent="0.2">
      <c r="C216" s="29"/>
      <c r="D216" s="29"/>
      <c r="E216" s="29"/>
    </row>
    <row r="217" spans="2:5" x14ac:dyDescent="0.2">
      <c r="C217" s="29"/>
      <c r="D217" s="29"/>
      <c r="E217" s="29"/>
    </row>
    <row r="218" spans="2:5" x14ac:dyDescent="0.2">
      <c r="C218" s="29"/>
      <c r="D218" s="29"/>
      <c r="E218" s="29"/>
    </row>
    <row r="219" spans="2:5" x14ac:dyDescent="0.2">
      <c r="C219" s="29"/>
      <c r="D219" s="29"/>
      <c r="E219" s="29"/>
    </row>
    <row r="220" spans="2:5" x14ac:dyDescent="0.2">
      <c r="C220" s="29"/>
      <c r="D220" s="29"/>
      <c r="E220" s="29"/>
    </row>
    <row r="221" spans="2:5" x14ac:dyDescent="0.2">
      <c r="B221" t="s">
        <v>175</v>
      </c>
      <c r="C221" s="29"/>
      <c r="D221" s="29"/>
      <c r="E221" s="29"/>
    </row>
    <row r="222" spans="2:5" x14ac:dyDescent="0.2">
      <c r="C222" s="29"/>
      <c r="D222" s="29"/>
      <c r="E222" s="29"/>
    </row>
    <row r="223" spans="2:5" x14ac:dyDescent="0.2">
      <c r="B223" t="s">
        <v>172</v>
      </c>
      <c r="C223" s="29">
        <f>(B13-C13)/C13</f>
        <v>0.11741997958596143</v>
      </c>
      <c r="D223" s="29">
        <f>(C13-D13)/D13</f>
        <v>0.45619116582186819</v>
      </c>
      <c r="E223" s="29">
        <f>(D13-E13)/E13</f>
        <v>6.6712740873241722E-2</v>
      </c>
    </row>
    <row r="225" spans="2:5" x14ac:dyDescent="0.2">
      <c r="B225" t="s">
        <v>176</v>
      </c>
      <c r="C225" s="23">
        <f>(C8-B8)/B8</f>
        <v>-7.2302753038079967E-2</v>
      </c>
      <c r="D225">
        <f>(C8-D8)/D8</f>
        <v>0.33259384733074693</v>
      </c>
      <c r="E225" s="23">
        <f>(D8-E8)/E8</f>
        <v>5.5120803769784836E-2</v>
      </c>
    </row>
    <row r="226" spans="2:5" x14ac:dyDescent="0.2">
      <c r="B226" t="s">
        <v>177</v>
      </c>
      <c r="C226">
        <f>(B6-C6)/C6</f>
        <v>6.3239764351428418E-2</v>
      </c>
      <c r="D226">
        <f t="shared" ref="C226:E227" si="27">(C6-D6)/D6</f>
        <v>0.34720743656765435</v>
      </c>
      <c r="E226">
        <f t="shared" si="27"/>
        <v>3.2092312151970941E-2</v>
      </c>
    </row>
    <row r="227" spans="2:5" x14ac:dyDescent="0.2">
      <c r="B227" t="s">
        <v>178</v>
      </c>
      <c r="C227">
        <f t="shared" si="27"/>
        <v>0.14181951041286078</v>
      </c>
      <c r="D227">
        <f t="shared" si="27"/>
        <v>0.27259708376729652</v>
      </c>
      <c r="E227">
        <f t="shared" si="27"/>
        <v>0.16152167807997234</v>
      </c>
    </row>
    <row r="229" spans="2:5" x14ac:dyDescent="0.2">
      <c r="B229" t="s">
        <v>153</v>
      </c>
      <c r="C229">
        <f t="shared" ref="C229:E231" si="28">(B15-C15)/C15</f>
        <v>0.19791001186456147</v>
      </c>
      <c r="D229">
        <f t="shared" si="28"/>
        <v>0.16862201365187712</v>
      </c>
      <c r="E229">
        <f t="shared" si="28"/>
        <v>0.15631744465684158</v>
      </c>
    </row>
    <row r="230" spans="2:5" x14ac:dyDescent="0.2">
      <c r="B230" t="s">
        <v>154</v>
      </c>
      <c r="C230">
        <f t="shared" si="28"/>
        <v>0.14203795567287125</v>
      </c>
      <c r="D230">
        <f t="shared" si="28"/>
        <v>0.10328379192608958</v>
      </c>
      <c r="E230">
        <f t="shared" si="28"/>
        <v>9.1586736092080026E-2</v>
      </c>
    </row>
    <row r="231" spans="2:5" x14ac:dyDescent="0.2">
      <c r="B231" t="s">
        <v>181</v>
      </c>
      <c r="C231">
        <f t="shared" si="28"/>
        <v>0.16993642764372138</v>
      </c>
      <c r="D231">
        <f t="shared" si="28"/>
        <v>0.13496948381090307</v>
      </c>
      <c r="E231">
        <f t="shared" si="28"/>
        <v>0.12204747257849226</v>
      </c>
    </row>
    <row r="233" spans="2:5" x14ac:dyDescent="0.2">
      <c r="C233" s="26"/>
    </row>
    <row r="235" spans="2:5" x14ac:dyDescent="0.2">
      <c r="B235" t="s">
        <v>94</v>
      </c>
      <c r="C235">
        <f>B21/B20</f>
        <v>0.16204461684424407</v>
      </c>
      <c r="D235">
        <f>C21/C20</f>
        <v>0.13302260844085087</v>
      </c>
      <c r="E235">
        <f>D21/D20</f>
        <v>0.14428164731484103</v>
      </c>
    </row>
    <row r="237" spans="2:5" x14ac:dyDescent="0.2">
      <c r="B237" t="s">
        <v>169</v>
      </c>
      <c r="C237" s="26">
        <f>-C187/(B8)</f>
        <v>2.7155058732831552E-2</v>
      </c>
      <c r="D237" s="26">
        <f>-D187/C8</f>
        <v>3.0302036264033657E-2</v>
      </c>
      <c r="E237" s="26">
        <f>-E187/D8</f>
        <v>2.6625138881299748E-2</v>
      </c>
    </row>
    <row r="239" spans="2:5" x14ac:dyDescent="0.2">
      <c r="B239" t="s">
        <v>170</v>
      </c>
      <c r="C239" s="26">
        <f>-C187/B45</f>
        <v>0.25424412944891611</v>
      </c>
      <c r="D239" s="26">
        <f>-D187/C45</f>
        <v>0.28105983772819471</v>
      </c>
      <c r="E239" s="23">
        <f>-E187/D45</f>
        <v>0.19879780231735844</v>
      </c>
    </row>
    <row r="242" spans="2:5" x14ac:dyDescent="0.2">
      <c r="B242" t="s">
        <v>171</v>
      </c>
    </row>
    <row r="243" spans="2:5" x14ac:dyDescent="0.2">
      <c r="B243" t="s">
        <v>151</v>
      </c>
      <c r="C243">
        <f>B12/B8</f>
        <v>0.56690369438639909</v>
      </c>
      <c r="D243">
        <f>C12/C8</f>
        <v>0.58220640374832222</v>
      </c>
      <c r="E243">
        <f>D12/D8</f>
        <v>0.61766752272189129</v>
      </c>
    </row>
    <row r="244" spans="2:5" x14ac:dyDescent="0.2">
      <c r="B244" t="s">
        <v>172</v>
      </c>
      <c r="C244">
        <f>B13/B8</f>
        <v>0.43309630561360085</v>
      </c>
      <c r="D244">
        <f>C13/C8</f>
        <v>0.41779359625167778</v>
      </c>
      <c r="E244">
        <f>D13/D8</f>
        <v>0.38233247727810865</v>
      </c>
    </row>
    <row r="246" spans="2:5" x14ac:dyDescent="0.2">
      <c r="B246" t="s">
        <v>153</v>
      </c>
      <c r="C246">
        <f>B15/B8</f>
        <v>6.657148363798665E-2</v>
      </c>
      <c r="D246">
        <f>C15/C8</f>
        <v>5.9904269074427925E-2</v>
      </c>
      <c r="E246">
        <f>D15/D8</f>
        <v>6.8309564140393061E-2</v>
      </c>
    </row>
    <row r="247" spans="2:5" x14ac:dyDescent="0.2">
      <c r="B247" t="s">
        <v>173</v>
      </c>
      <c r="C247">
        <f>B16/B8</f>
        <v>6.3637378020328261E-2</v>
      </c>
      <c r="D247">
        <f>C16/C8</f>
        <v>6.006555190163388E-2</v>
      </c>
      <c r="E247">
        <f>D16/D8</f>
        <v>7.2549769593646979E-2</v>
      </c>
    </row>
    <row r="248" spans="2:5" x14ac:dyDescent="0.2">
      <c r="B248" t="s">
        <v>181</v>
      </c>
      <c r="C248">
        <f>B17/B8</f>
        <v>0.13020886165831491</v>
      </c>
      <c r="D248">
        <f>C17/C8</f>
        <v>0.11996982097606181</v>
      </c>
      <c r="E248">
        <f>D17/D8</f>
        <v>0.14085933373404003</v>
      </c>
    </row>
    <row r="249" spans="2:5" x14ac:dyDescent="0.2">
      <c r="B249" t="s">
        <v>152</v>
      </c>
      <c r="C249">
        <f>B18/B8</f>
        <v>0.30288744395528594</v>
      </c>
      <c r="D249">
        <f>C18/C8</f>
        <v>0.29782377527561593</v>
      </c>
      <c r="E249">
        <f>D18/D8</f>
        <v>0.24147314354406862</v>
      </c>
    </row>
    <row r="250" spans="2:5" x14ac:dyDescent="0.2">
      <c r="B250" t="s">
        <v>174</v>
      </c>
      <c r="C250">
        <f>B22/B8</f>
        <v>0.25309640705199732</v>
      </c>
      <c r="D250">
        <f>C22/C8</f>
        <v>0.25881793355694238</v>
      </c>
      <c r="E250">
        <f>D22/D8</f>
        <v>0.20913611278072236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 (2)</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Zainab anwar</cp:lastModifiedBy>
  <dcterms:created xsi:type="dcterms:W3CDTF">2020-05-18T16:32:37Z</dcterms:created>
  <dcterms:modified xsi:type="dcterms:W3CDTF">2024-01-03T13:57:47Z</dcterms:modified>
</cp:coreProperties>
</file>