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9f467b8f9fdb569/Desktop/"/>
    </mc:Choice>
  </mc:AlternateContent>
  <xr:revisionPtr revIDLastSave="0" documentId="8_{61587EFB-6E46-4A96-8171-FD932EB3A39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3" l="1"/>
  <c r="C57" i="3"/>
  <c r="D56" i="3"/>
  <c r="C56" i="3"/>
  <c r="D70" i="3"/>
  <c r="E70" i="3"/>
  <c r="C70" i="3"/>
  <c r="D69" i="3"/>
  <c r="E69" i="3"/>
  <c r="C69" i="3"/>
  <c r="D68" i="3"/>
  <c r="E68" i="3"/>
  <c r="C68" i="3"/>
  <c r="D66" i="3"/>
  <c r="E66" i="3"/>
  <c r="C66" i="3"/>
  <c r="D65" i="3"/>
  <c r="E65" i="3"/>
  <c r="C65" i="3"/>
  <c r="D64" i="3"/>
  <c r="E64" i="3"/>
  <c r="C64" i="3"/>
  <c r="D63" i="3"/>
  <c r="E63" i="3"/>
  <c r="C63" i="3"/>
  <c r="D62" i="3"/>
  <c r="E62" i="3"/>
  <c r="C62" i="3"/>
  <c r="D61" i="3"/>
  <c r="E61" i="3"/>
  <c r="C61" i="3"/>
  <c r="D55" i="3"/>
  <c r="C55" i="3"/>
  <c r="D54" i="3"/>
  <c r="C54" i="3"/>
  <c r="E30" i="3"/>
  <c r="D30" i="3"/>
  <c r="E31" i="3"/>
  <c r="D31" i="3"/>
  <c r="D27" i="3"/>
  <c r="E27" i="3"/>
  <c r="C27" i="3"/>
  <c r="D26" i="3"/>
  <c r="E26" i="3"/>
  <c r="C26" i="3"/>
  <c r="E51" i="3"/>
  <c r="D51" i="3"/>
  <c r="D50" i="3" s="1"/>
  <c r="C51" i="3"/>
  <c r="C50" i="3" s="1"/>
  <c r="D49" i="3"/>
  <c r="E49" i="3"/>
  <c r="C49" i="3"/>
  <c r="D47" i="3"/>
  <c r="E47" i="3"/>
  <c r="C47" i="3"/>
  <c r="D46" i="3"/>
  <c r="C46" i="3"/>
  <c r="D45" i="3"/>
  <c r="E45" i="3"/>
  <c r="E46" i="3" s="1"/>
  <c r="C45" i="3"/>
  <c r="D44" i="3"/>
  <c r="E44" i="3"/>
  <c r="C44" i="3"/>
  <c r="D43" i="3"/>
  <c r="E43" i="3"/>
  <c r="C43" i="3"/>
  <c r="C42" i="3"/>
  <c r="E42" i="3"/>
  <c r="D42" i="3"/>
  <c r="E40" i="3"/>
  <c r="D40" i="3"/>
  <c r="C40" i="3"/>
  <c r="D41" i="3"/>
  <c r="E41" i="3"/>
  <c r="C41" i="3"/>
  <c r="D37" i="3"/>
  <c r="E37" i="3"/>
  <c r="C37" i="3"/>
  <c r="D36" i="3"/>
  <c r="E36" i="3"/>
  <c r="C36" i="3"/>
  <c r="D35" i="3"/>
  <c r="E35" i="3"/>
  <c r="C35" i="3"/>
  <c r="D34" i="3"/>
  <c r="E34" i="3"/>
  <c r="C34" i="3"/>
  <c r="D25" i="3"/>
  <c r="E25" i="3"/>
  <c r="C25" i="3"/>
  <c r="D22" i="3"/>
  <c r="E22" i="3"/>
  <c r="C22" i="3"/>
  <c r="C20" i="3"/>
  <c r="D21" i="3"/>
  <c r="D20" i="3" s="1"/>
  <c r="E21" i="3"/>
  <c r="E20" i="3" s="1"/>
  <c r="C21" i="3"/>
  <c r="C28" i="3" s="1"/>
  <c r="D19" i="3"/>
  <c r="D29" i="3" s="1"/>
  <c r="E19" i="3"/>
  <c r="E50" i="3" s="1"/>
  <c r="C19" i="3"/>
  <c r="C29" i="3" s="1"/>
  <c r="C18" i="3"/>
  <c r="D18" i="3"/>
  <c r="E18" i="3"/>
  <c r="D17" i="3"/>
  <c r="E17" i="3"/>
  <c r="C17" i="3"/>
  <c r="D13" i="3"/>
  <c r="D14" i="3"/>
  <c r="E14" i="3"/>
  <c r="E13" i="3" s="1"/>
  <c r="C14" i="3"/>
  <c r="C13" i="3" s="1"/>
  <c r="E12" i="3"/>
  <c r="C12" i="3"/>
  <c r="D11" i="3"/>
  <c r="E11" i="3"/>
  <c r="C11" i="3"/>
  <c r="D10" i="3"/>
  <c r="D12" i="3" s="1"/>
  <c r="E10" i="3"/>
  <c r="C10" i="3"/>
  <c r="D9" i="3"/>
  <c r="E9" i="3"/>
  <c r="C9" i="3"/>
  <c r="D7" i="3"/>
  <c r="E7" i="3"/>
  <c r="C7" i="3"/>
  <c r="D6" i="3"/>
  <c r="E6" i="3"/>
  <c r="C6" i="3"/>
  <c r="D5" i="3"/>
  <c r="E5" i="3"/>
  <c r="C5" i="3"/>
  <c r="B42" i="1"/>
  <c r="D108" i="1"/>
  <c r="C108" i="1"/>
  <c r="B108" i="1"/>
  <c r="D99" i="1"/>
  <c r="C99" i="1"/>
  <c r="B99" i="1"/>
  <c r="E29" i="3" l="1"/>
  <c r="C48" i="3"/>
  <c r="E48" i="3"/>
  <c r="E28" i="3"/>
  <c r="D28" i="3"/>
  <c r="D48" i="3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8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<sst xmlns="http://schemas.openxmlformats.org/spreadsheetml/2006/main" count="189" uniqueCount="155">
  <si>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</si>
  <si>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</si>
  <si>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</si>
  <si>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</si>
  <si>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</si>
  <si>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</si>
  <si>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</si>
  <si>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</si>
  <si>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</si>
  <si>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</si>
  <si>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</si>
  <si>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</si>
  <si>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</si>
  <si>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</si>
  <si>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</si>
  <si>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</si>
  <si>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</si>
  <si>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</si>
  <si>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</si>
  <si>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</si>
  <si>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</si>
  <si>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</si>
  <si>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</si>
  <si>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</si>
  <si>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</si>
  <si>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</si>
  <si>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</si>
  <si>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</si>
  <si>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</si>
  <si>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</si>
  <si>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</si>
  <si>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</si>
  <si>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</si>
  <si>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</si>
  <si>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</si>
  <si>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</si>
  <si>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</si>
  <si>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</si>
  <si>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</si>
  <si>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</si>
  <si>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</si>
  <si>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</si>
  <si>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</si>
  <si>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</si>
  <si>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</si>
  <si>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</si>
  <si>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</si>
  <si>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</si>
  <si>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</si>
  <si>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</si>
  <si>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</si>
  <si>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</si>
  <si>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</si>
  <si>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</si>
  <si>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</si>
  <si>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</si>
  <si>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</si>
  <si>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</si>
  <si>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</si>
  <si>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</si>
  <si>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</si>
  <si>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</si>
  <si>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</si>
  <si>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</si>
  <si>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</si>
  <si>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</si>
  <si>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</si>
  <si>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</si>
  <si>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</si>
  <si>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</si>
  <si>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</si>
  <si>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</si>
  <si>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</si>
  <si>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</si>
  <si>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</si>
  <si>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</si>
  <si>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</si>
  <si>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</si>
  <si>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</si>
  <si>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</si>
  <si>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</si>
  <si>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</si>
  <si>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</si>
  <si>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</si>
  <si>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</si>
  <si>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</si>
  <si>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</si>
  <si>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</si>
  <si>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</si>
  <si>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</si>
  <si>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</si>
  <si>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</si>
  <si>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</si>
  <si>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</si>
  <si>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</si>
  <si>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</si>
  <si>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</si>
  <si>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</si>
  <si>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</si>
  <si>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</si>
  <si>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</si>
  <si>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</si>
  <si>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</si>
  <si>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</si>
  <si>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</si>
  <si>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</si>
  <si>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</si>
  <si>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</si>
  <si>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</si>
  <si>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</si>
  <si>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</si>
  <si>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</si>
  <si>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</si>
  <si>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</si>
  <si>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</si>
  <si>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</si>
  <si>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</si>
  <si>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</si>
  <si>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</si>
  <si>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</si>
  <si>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</si>
  <si>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</si>
  <si>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</si>
  <si>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</si>
  <si>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</si>
  <si>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</si>
  <si>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</si>
  <si>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</si>
  <si>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</si>
  <si>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</si>
  <si>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</si>
  <si>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</si>
  <si>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</si>
  <si>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</si>
  <si>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</si>
  <si>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</si>
  <si>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</si>
  <si>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</si>
  <si>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</si>
  <si>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</si>
  <si>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</si>
  <si>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</si>
  <si>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</si>
  <si>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</si>
  <si>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</si>
  <si>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</si>
  <si>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</si>
  <si>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</si>
  <si>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</si>
  <si>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</si>
  <si>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Outstanding Shares</t>
  </si>
  <si>
    <t>Growth Rates</t>
  </si>
  <si>
    <t xml:space="preserve">Sales </t>
  </si>
  <si>
    <t>Profit</t>
  </si>
  <si>
    <t>Margins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</si>
</sst>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0"/>
    <numFmt numFmtId="168" formatCode="0.0000"/>
    <numFmt numFmtId="169" formatCode="0.000"/>
    <numFmt numFmtId="170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2" fontId="0" fillId="0" borderId="0" xfId="0" applyNumberFormat="1"/>
    <xf numFmtId="10" fontId="0" fillId="0" borderId="0" xfId="3" applyNumberFormat="1" applyFont="1"/>
    <xf numFmtId="170" fontId="0" fillId="0" borderId="0" xfId="3" applyNumberFormat="1" applyFont="1"/>
    <xf numFmtId="165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24" sqref="A24"/>
    </sheetView>
  </sheetViews>
  <sheetFormatPr defaultRowHeight="14.5" x14ac:dyDescent="0.35"/>
  <cols>
    <col min="1" max="1" width="104.54296875" customWidth="1"/>
  </cols>
  <sheetData>
    <row r="1" spans="1:1" ht="23.5" x14ac:dyDescent="0.55000000000000004">
      <c r="A1" s="5" t="s">
        <v>87</v>
      </c>
    </row>
    <row r="3" spans="1:1" x14ac:dyDescent="0.35">
      <c r="A3" s="7" t="s">
        <v>141</v>
      </c>
    </row>
    <row r="4" spans="1:1" x14ac:dyDescent="0.35">
      <c r="A4" s="16" t="s">
        <v>88</v>
      </c>
    </row>
    <row r="5" spans="1:1" x14ac:dyDescent="0.35">
      <c r="A5" s="7" t="s">
        <v>97</v>
      </c>
    </row>
    <row r="6" spans="1:1" x14ac:dyDescent="0.35">
      <c r="A6" s="1" t="s">
        <v>148</v>
      </c>
    </row>
    <row r="7" spans="1:1" x14ac:dyDescent="0.35">
      <c r="A7" s="1"/>
    </row>
    <row r="8" spans="1:1" x14ac:dyDescent="0.35">
      <c r="A8" s="17" t="s">
        <v>149</v>
      </c>
    </row>
    <row r="9" spans="1:1" x14ac:dyDescent="0.35">
      <c r="A9" s="1" t="s">
        <v>145</v>
      </c>
    </row>
    <row r="10" spans="1:1" x14ac:dyDescent="0.35">
      <c r="A10" s="1" t="s">
        <v>89</v>
      </c>
    </row>
    <row r="11" spans="1:1" x14ac:dyDescent="0.35">
      <c r="A11" s="1" t="s">
        <v>90</v>
      </c>
    </row>
    <row r="12" spans="1:1" x14ac:dyDescent="0.35">
      <c r="A12" s="1" t="s">
        <v>91</v>
      </c>
    </row>
    <row r="13" spans="1:1" x14ac:dyDescent="0.35">
      <c r="A13" s="1"/>
    </row>
    <row r="14" spans="1:1" x14ac:dyDescent="0.35">
      <c r="A14" s="17" t="s">
        <v>92</v>
      </c>
    </row>
    <row r="15" spans="1:1" x14ac:dyDescent="0.35">
      <c r="A15" s="1" t="s">
        <v>146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144</v>
      </c>
    </row>
    <row r="27" spans="1:1" x14ac:dyDescent="0.35">
      <c r="A27" s="16" t="s">
        <v>143</v>
      </c>
    </row>
    <row r="29" spans="1:1" x14ac:dyDescent="0.3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4" workbookViewId="0">
      <selection activeCell="B16" sqref="B16"/>
    </sheetView>
  </sheetViews>
  <sheetFormatPr defaultRowHeight="14.5" x14ac:dyDescent="0.35"/>
  <cols>
    <col min="1" max="1" width="57.26953125" customWidth="1"/>
    <col min="2" max="3" width="11.54296875" bestFit="1" customWidth="1"/>
    <col min="4" max="4" width="11.6328125" bestFit="1" customWidth="1"/>
  </cols>
  <sheetData>
    <row r="1" spans="1:10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32" t="s">
        <v>1</v>
      </c>
      <c r="B2" s="32"/>
      <c r="C2" s="32"/>
      <c r="D2" s="32"/>
    </row>
    <row r="3" spans="1:10" x14ac:dyDescent="0.35">
      <c r="B3" s="31" t="s">
        <v>23</v>
      </c>
      <c r="C3" s="31"/>
      <c r="D3" s="31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  <c r="G6" s="30"/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35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5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35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5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35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4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5" thickTop="1" x14ac:dyDescent="0.35">
      <c r="A23" t="s">
        <v>19</v>
      </c>
    </row>
    <row r="24" spans="1:4" x14ac:dyDescent="0.3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5">
      <c r="A26" t="s">
        <v>22</v>
      </c>
    </row>
    <row r="27" spans="1:4" x14ac:dyDescent="0.3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5">
      <c r="A31" s="32" t="s">
        <v>24</v>
      </c>
      <c r="B31" s="32"/>
      <c r="C31" s="32"/>
      <c r="D31" s="32"/>
    </row>
    <row r="32" spans="1:4" x14ac:dyDescent="0.35">
      <c r="B32" s="31" t="s">
        <v>142</v>
      </c>
      <c r="C32" s="31"/>
      <c r="D32" s="31"/>
    </row>
    <row r="33" spans="1:4" x14ac:dyDescent="0.35">
      <c r="B33" s="7">
        <f>+B4</f>
        <v>2022</v>
      </c>
      <c r="C33" s="7">
        <f>+C4</f>
        <v>2021</v>
      </c>
      <c r="D33" s="7">
        <f>+D4</f>
        <v>2020</v>
      </c>
    </row>
    <row r="35" spans="1:4" x14ac:dyDescent="0.35">
      <c r="A35" t="s">
        <v>25</v>
      </c>
    </row>
    <row r="36" spans="1:4" x14ac:dyDescent="0.3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5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4" x14ac:dyDescent="0.35">
      <c r="A43" t="s">
        <v>48</v>
      </c>
      <c r="B43" s="12"/>
      <c r="C43" s="12"/>
      <c r="D43" s="12"/>
    </row>
    <row r="44" spans="1:4" x14ac:dyDescent="0.3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5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4" ht="15" thickBot="1" x14ac:dyDescent="0.4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</row>
    <row r="49" spans="1:4" ht="15" thickTop="1" x14ac:dyDescent="0.35"/>
    <row r="50" spans="1:4" x14ac:dyDescent="0.35">
      <c r="A50" t="s">
        <v>34</v>
      </c>
    </row>
    <row r="51" spans="1:4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4" x14ac:dyDescent="0.35">
      <c r="A57" t="s">
        <v>51</v>
      </c>
      <c r="B57" s="12"/>
      <c r="C57" s="12"/>
      <c r="D57" s="12"/>
    </row>
    <row r="58" spans="1:4" x14ac:dyDescent="0.35">
      <c r="A58" s="1" t="s">
        <v>37</v>
      </c>
      <c r="B58" s="12"/>
      <c r="C58" s="12"/>
      <c r="D58" s="12"/>
    </row>
    <row r="59" spans="1:4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5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4" x14ac:dyDescent="0.35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4" x14ac:dyDescent="0.35">
      <c r="B63" s="12"/>
      <c r="C63" s="12"/>
      <c r="D63" s="12"/>
    </row>
    <row r="64" spans="1:4" x14ac:dyDescent="0.35">
      <c r="A64" t="s">
        <v>42</v>
      </c>
      <c r="B64" s="12"/>
      <c r="C64" s="12"/>
      <c r="D64" s="12"/>
    </row>
    <row r="65" spans="1:4" x14ac:dyDescent="0.3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5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</row>
    <row r="69" spans="1:4" ht="15" thickBot="1" x14ac:dyDescent="0.4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0" spans="1:4" ht="15" thickTop="1" x14ac:dyDescent="0.35"/>
    <row r="71" spans="1:4" x14ac:dyDescent="0.35">
      <c r="A71" s="32" t="s">
        <v>55</v>
      </c>
      <c r="B71" s="32"/>
      <c r="C71" s="32"/>
      <c r="D71" s="32"/>
    </row>
    <row r="72" spans="1:4" x14ac:dyDescent="0.35">
      <c r="B72" s="31" t="s">
        <v>23</v>
      </c>
      <c r="C72" s="31"/>
      <c r="D72" s="31"/>
    </row>
    <row r="73" spans="1:4" x14ac:dyDescent="0.35">
      <c r="B73" s="7">
        <f>+B33</f>
        <v>2022</v>
      </c>
      <c r="C73" s="7">
        <f>+C33</f>
        <v>2021</v>
      </c>
      <c r="D73" s="7">
        <f>+D33</f>
        <v>2020</v>
      </c>
    </row>
    <row r="75" spans="1:4" x14ac:dyDescent="0.35">
      <c r="A75" s="7" t="s">
        <v>56</v>
      </c>
      <c r="B75" s="15"/>
      <c r="C75" s="15"/>
      <c r="D75" s="15"/>
    </row>
    <row r="76" spans="1:4" x14ac:dyDescent="0.35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 x14ac:dyDescent="0.35">
      <c r="A77" s="11" t="s">
        <v>18</v>
      </c>
      <c r="B77" s="15"/>
      <c r="C77" s="15"/>
      <c r="D77" s="15"/>
    </row>
    <row r="78" spans="1:4" x14ac:dyDescent="0.35">
      <c r="A78" s="1" t="s">
        <v>58</v>
      </c>
      <c r="B78" s="12"/>
      <c r="C78" s="12"/>
      <c r="D78" s="12"/>
    </row>
    <row r="79" spans="1:4" x14ac:dyDescent="0.3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62</v>
      </c>
      <c r="B83" s="12"/>
      <c r="C83" s="12"/>
      <c r="D83" s="12"/>
    </row>
    <row r="84" spans="1:4" x14ac:dyDescent="0.3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35">
      <c r="A92" s="7" t="s">
        <v>64</v>
      </c>
      <c r="B92" s="12"/>
      <c r="C92" s="12"/>
      <c r="D92" s="12"/>
    </row>
    <row r="93" spans="1:4" x14ac:dyDescent="0.3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 x14ac:dyDescent="0.35">
      <c r="A100" s="7" t="s">
        <v>71</v>
      </c>
      <c r="B100" s="12"/>
      <c r="C100" s="12"/>
      <c r="D100" s="12"/>
    </row>
    <row r="101" spans="1:4" x14ac:dyDescent="0.3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80</v>
      </c>
      <c r="B112" s="12"/>
      <c r="C112" s="12"/>
      <c r="D112" s="12"/>
    </row>
    <row r="113" spans="1:4" x14ac:dyDescent="0.3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0"/>
  <sheetViews>
    <sheetView tabSelected="1" topLeftCell="A26" workbookViewId="0">
      <selection activeCell="B62" sqref="B62"/>
    </sheetView>
  </sheetViews>
  <sheetFormatPr defaultRowHeight="14.5" x14ac:dyDescent="0.35"/>
  <cols>
    <col min="1" max="1" width="4.6328125" customWidth="1"/>
    <col min="2" max="2" width="44.90625" customWidth="1"/>
    <col min="3" max="4" width="17.54296875" bestFit="1" customWidth="1"/>
    <col min="5" max="5" width="16.453125" bestFit="1" customWidth="1"/>
    <col min="8" max="8" width="18.81640625" customWidth="1"/>
  </cols>
  <sheetData>
    <row r="1" spans="1:10" ht="60" customHeight="1" x14ac:dyDescent="0.6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5">
      <c r="C2" s="31" t="s">
        <v>23</v>
      </c>
      <c r="D2" s="31"/>
      <c r="E2" s="31"/>
    </row>
    <row r="3" spans="1:10" x14ac:dyDescent="0.3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5">
      <c r="A4" s="18">
        <v>1</v>
      </c>
      <c r="B4" s="7" t="s">
        <v>99</v>
      </c>
      <c r="H4" t="s">
        <v>150</v>
      </c>
      <c r="I4" s="2">
        <v>4754986</v>
      </c>
    </row>
    <row r="5" spans="1:10" x14ac:dyDescent="0.35">
      <c r="A5" s="18">
        <f>+A4+0.1</f>
        <v>1.1000000000000001</v>
      </c>
      <c r="B5" s="1" t="s">
        <v>100</v>
      </c>
      <c r="C5" s="26">
        <f>'Financial Statements'!B42/'Financial Statements'!B56</f>
        <v>0.87935602862672257</v>
      </c>
      <c r="D5" s="26">
        <f>'Financial Statements'!C42/'Financial Statements'!C56</f>
        <v>1.0745531195957954</v>
      </c>
      <c r="E5" s="26">
        <f>'Financial Statements'!D42/'Financial Statements'!D56</f>
        <v>1.3636044481554577</v>
      </c>
    </row>
    <row r="6" spans="1:10" x14ac:dyDescent="0.35">
      <c r="A6" s="18">
        <f t="shared" ref="A6:A13" si="0">+A5+0.1</f>
        <v>1.2000000000000002</v>
      </c>
      <c r="B6" s="1" t="s">
        <v>101</v>
      </c>
      <c r="C6" s="26">
        <f>('Financial Statements'!B42-'Financial Statements'!B39)/'Financial Statements'!B56</f>
        <v>0.84723539114961488</v>
      </c>
      <c r="D6" s="26">
        <f>('Financial Statements'!C42-'Financial Statements'!C39)/'Financial Statements'!C56</f>
        <v>1.0221149018576519</v>
      </c>
      <c r="E6" s="26">
        <f>('Financial Statements'!D42-'Financial Statements'!D39)/'Financial Statements'!D56</f>
        <v>1.325072111735236</v>
      </c>
    </row>
    <row r="7" spans="1:10" x14ac:dyDescent="0.35">
      <c r="A7" s="18">
        <f t="shared" si="0"/>
        <v>1.3000000000000003</v>
      </c>
      <c r="B7" s="1" t="s">
        <v>102</v>
      </c>
      <c r="C7" s="26">
        <f>'Financial Statements'!B36/'Financial Statements'!B56</f>
        <v>0.15356340351469652</v>
      </c>
      <c r="D7" s="26">
        <f>'Financial Statements'!C36/'Financial Statements'!C56</f>
        <v>0.27844853005634318</v>
      </c>
      <c r="E7" s="26">
        <f>'Financial Statements'!D36/'Financial Statements'!D56</f>
        <v>0.36071049035979963</v>
      </c>
    </row>
    <row r="8" spans="1:10" x14ac:dyDescent="0.35">
      <c r="A8" s="18">
        <f t="shared" si="0"/>
        <v>1.4000000000000004</v>
      </c>
      <c r="B8" s="1" t="s">
        <v>103</v>
      </c>
      <c r="C8" s="26"/>
      <c r="D8" s="26"/>
      <c r="E8" s="26"/>
    </row>
    <row r="9" spans="1:10" x14ac:dyDescent="0.35">
      <c r="A9" s="18">
        <f t="shared" si="0"/>
        <v>1.5000000000000004</v>
      </c>
      <c r="B9" s="1" t="s">
        <v>104</v>
      </c>
      <c r="C9" s="26">
        <f>365/('Financial Statements'!B12/'Financial Statements'!B39)</f>
        <v>8.0756980666171607</v>
      </c>
      <c r="D9" s="26">
        <f>365/('Financial Statements'!C12/'Financial Statements'!C39)</f>
        <v>11.27659274770989</v>
      </c>
      <c r="E9" s="26">
        <f>365/('Financial Statements'!D12/'Financial Statements'!D39)</f>
        <v>8.7418833562358813</v>
      </c>
    </row>
    <row r="10" spans="1:10" x14ac:dyDescent="0.35">
      <c r="A10" s="18">
        <f t="shared" si="0"/>
        <v>1.6000000000000005</v>
      </c>
      <c r="B10" s="1" t="s">
        <v>105</v>
      </c>
      <c r="C10" s="26">
        <f>('Financial Statements'!B51/'Financial Statements'!B12)*365</f>
        <v>104.68527730310539</v>
      </c>
      <c r="D10" s="26">
        <f>('Financial Statements'!C51/'Financial Statements'!C12)*365</f>
        <v>93.851071222315596</v>
      </c>
      <c r="E10" s="26">
        <f>('Financial Statements'!D51/'Financial Statements'!D12)*365</f>
        <v>91.048189715674198</v>
      </c>
    </row>
    <row r="11" spans="1:10" x14ac:dyDescent="0.35">
      <c r="A11" s="18">
        <f t="shared" si="0"/>
        <v>1.7000000000000006</v>
      </c>
      <c r="B11" s="1" t="s">
        <v>106</v>
      </c>
      <c r="C11" s="26">
        <f>('Financial Statements'!B38/'Financial Statements'!B8)*365</f>
        <v>26.087825363656648</v>
      </c>
      <c r="D11" s="26">
        <f>('Financial Statements'!C38/'Financial Statements'!C8)*365</f>
        <v>26.219311841713207</v>
      </c>
      <c r="E11" s="26">
        <f>('Financial Statements'!D38/'Financial Statements'!D8)*365</f>
        <v>21.433437152796749</v>
      </c>
    </row>
    <row r="12" spans="1:10" x14ac:dyDescent="0.35">
      <c r="A12" s="18">
        <f t="shared" si="0"/>
        <v>1.8000000000000007</v>
      </c>
      <c r="B12" s="1" t="s">
        <v>107</v>
      </c>
      <c r="C12" s="26">
        <f>('Financial Statements'!B39/'Financial Statements'!B12)*365+'List of Ratios'!C11-'List of Ratios'!C10</f>
        <v>-70.521753872831582</v>
      </c>
      <c r="D12" s="26">
        <f>('Financial Statements'!C39/'Financial Statements'!C12)*365+'List of Ratios'!D11-'List of Ratios'!D10</f>
        <v>-56.355166632892498</v>
      </c>
      <c r="E12" s="26">
        <f>('Financial Statements'!D39/'Financial Statements'!D12)*365+'List of Ratios'!E11-'List of Ratios'!E10</f>
        <v>-60.872869206641568</v>
      </c>
    </row>
    <row r="13" spans="1:10" x14ac:dyDescent="0.35">
      <c r="A13" s="18">
        <f t="shared" si="0"/>
        <v>1.9000000000000008</v>
      </c>
      <c r="B13" s="1" t="s">
        <v>108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E14/'Financial Statements'!D8</f>
        <v>0.13959528623208203</v>
      </c>
    </row>
    <row r="14" spans="1:10" x14ac:dyDescent="0.35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35">
      <c r="A15" s="18"/>
    </row>
    <row r="16" spans="1:10" x14ac:dyDescent="0.35">
      <c r="A16" s="18">
        <f>+A4+1</f>
        <v>2</v>
      </c>
      <c r="B16" s="17" t="s">
        <v>110</v>
      </c>
    </row>
    <row r="17" spans="1:5" x14ac:dyDescent="0.35">
      <c r="A17" s="18">
        <f>+A16+0.1</f>
        <v>2.1</v>
      </c>
      <c r="B17" s="1" t="s">
        <v>9</v>
      </c>
      <c r="C17" s="26">
        <f>('Financial Statements'!B8-'Financial Statements'!B12)/'Financial Statements'!B8</f>
        <v>0.43309630561360085</v>
      </c>
      <c r="D17" s="26">
        <f>('Financial Statements'!C8-'Financial Statements'!C12)/'Financial Statements'!C8</f>
        <v>0.41779359625167778</v>
      </c>
      <c r="E17" s="26">
        <f>('Financial Statements'!D8-'Financial Statements'!D12)/'Financial Statements'!D8</f>
        <v>0.38233247727810865</v>
      </c>
    </row>
    <row r="18" spans="1:5" x14ac:dyDescent="0.35">
      <c r="A18" s="18">
        <f>+A17+0.1</f>
        <v>2.2000000000000002</v>
      </c>
      <c r="B18" s="1" t="s">
        <v>111</v>
      </c>
      <c r="C18" s="26">
        <f>('Financial Statements'!B22+'Financial Statements'!B114+'Financial Statements'!B79+'Financial Statements'!B113)/'Financial Statements'!B8</f>
        <v>0.33815757440506383</v>
      </c>
      <c r="D18" s="26">
        <f>('Financial Statements'!C22+'Financial Statements'!C114+'Financial Statements'!C79+'Financial Statements'!C113)/'Financial Statements'!C8</f>
        <v>0.36640178012503521</v>
      </c>
      <c r="E18" s="26">
        <f>('Financial Statements'!D22+'Financial Statements'!D114+'Financial Statements'!D79+'Financial Statements'!D113)/'Financial Statements'!D8</f>
        <v>0.29495655975083329</v>
      </c>
    </row>
    <row r="19" spans="1:5" x14ac:dyDescent="0.35">
      <c r="A19" s="18"/>
      <c r="B19" s="3" t="s">
        <v>112</v>
      </c>
      <c r="C19" s="26">
        <f>('Financial Statements'!B22+'Financial Statements'!B114+'Financial Statements'!B79+'Financial Statements'!B113)</f>
        <v>133345</v>
      </c>
      <c r="D19" s="26">
        <f>('Financial Statements'!C22+'Financial Statements'!C114+'Financial Statements'!C79+'Financial Statements'!C113)</f>
        <v>134036</v>
      </c>
      <c r="E19" s="26">
        <f>('Financial Statements'!D22+'Financial Statements'!D114+'Financial Statements'!D79+'Financial Statements'!D113)</f>
        <v>80970</v>
      </c>
    </row>
    <row r="20" spans="1:5" x14ac:dyDescent="0.35">
      <c r="A20" s="18">
        <f>+A18+0.1</f>
        <v>2.3000000000000003</v>
      </c>
      <c r="B20" s="1" t="s">
        <v>113</v>
      </c>
      <c r="C20" s="26">
        <f>C21/'Financial Statements'!B8</f>
        <v>0.30288744395528594</v>
      </c>
      <c r="D20" s="26">
        <f>D21/'Financial Statements'!C8</f>
        <v>0.29782377527561593</v>
      </c>
      <c r="E20" s="26">
        <f>E21/'Financial Statements'!D8</f>
        <v>0.24147314354406862</v>
      </c>
    </row>
    <row r="21" spans="1:5" x14ac:dyDescent="0.35">
      <c r="A21" s="18"/>
      <c r="B21" s="3" t="s">
        <v>114</v>
      </c>
      <c r="C21" s="26">
        <f>'Financial Statements'!B13-'Financial Statements'!B17</f>
        <v>119437</v>
      </c>
      <c r="D21" s="26">
        <f>'Financial Statements'!C13-'Financial Statements'!C17</f>
        <v>108949</v>
      </c>
      <c r="E21" s="26">
        <f>'Financial Statements'!D13-'Financial Statements'!D17</f>
        <v>66288</v>
      </c>
    </row>
    <row r="22" spans="1:5" x14ac:dyDescent="0.35">
      <c r="A22" s="18">
        <f>+A20+0.1</f>
        <v>2.4000000000000004</v>
      </c>
      <c r="B22" s="1" t="s">
        <v>115</v>
      </c>
      <c r="C22" s="26">
        <f>'Financial Statements'!B22/'Financial Statements'!B8</f>
        <v>0.25309640705199732</v>
      </c>
      <c r="D22" s="26">
        <f>'Financial Statements'!C22/'Financial Statements'!C8</f>
        <v>0.25881793355694238</v>
      </c>
      <c r="E22" s="26">
        <f>'Financial Statements'!D22/'Financial Statements'!D8</f>
        <v>0.20913611278072236</v>
      </c>
    </row>
    <row r="23" spans="1:5" x14ac:dyDescent="0.35">
      <c r="A23" s="18"/>
      <c r="C23" s="26"/>
      <c r="D23" s="26"/>
      <c r="E23" s="26"/>
    </row>
    <row r="24" spans="1:5" x14ac:dyDescent="0.35">
      <c r="A24" s="18">
        <f>+A16+1</f>
        <v>3</v>
      </c>
      <c r="B24" s="7" t="s">
        <v>116</v>
      </c>
      <c r="C24" s="26"/>
      <c r="D24" s="26"/>
      <c r="E24" s="26"/>
    </row>
    <row r="25" spans="1:5" x14ac:dyDescent="0.35">
      <c r="A25" s="18">
        <f t="shared" ref="A25:A30" si="1">+A24+0.1</f>
        <v>3.1</v>
      </c>
      <c r="B25" s="1" t="s">
        <v>117</v>
      </c>
      <c r="C25" s="26">
        <f>('Financial Statements'!B55+'Financial Statements'!B59)/'Financial Statements'!B68</f>
        <v>2.1725410483107042</v>
      </c>
      <c r="D25" s="26">
        <f>('Financial Statements'!C55+'Financial Statements'!C59)/'Financial Statements'!C68</f>
        <v>1.8817403708987162</v>
      </c>
      <c r="E25" s="26">
        <f>('Financial Statements'!D55+'Financial Statements'!D59)/'Financial Statements'!D68</f>
        <v>1.6443471739696047</v>
      </c>
    </row>
    <row r="26" spans="1:5" x14ac:dyDescent="0.35">
      <c r="A26" s="18">
        <f t="shared" si="1"/>
        <v>3.2</v>
      </c>
      <c r="B26" s="1" t="s">
        <v>118</v>
      </c>
      <c r="C26" s="26">
        <f>('Financial Statements'!B55+'Financial Statements'!B59)/'Financial Statements'!B48</f>
        <v>0.31207778769967826</v>
      </c>
      <c r="D26" s="26">
        <f>('Financial Statements'!C55+'Financial Statements'!C59)/'Financial Statements'!C48</f>
        <v>0.33822884200090025</v>
      </c>
      <c r="E26" s="26">
        <f>('Financial Statements'!D55+'Financial Statements'!D59)/'Financial Statements'!D48</f>
        <v>0.33171960677765155</v>
      </c>
    </row>
    <row r="27" spans="1:5" x14ac:dyDescent="0.35">
      <c r="A27" s="18">
        <f t="shared" si="1"/>
        <v>3.3000000000000003</v>
      </c>
      <c r="B27" s="1" t="s">
        <v>119</v>
      </c>
      <c r="C27" s="26">
        <f>'Financial Statements'!B59/('Financial Statements'!B59+'Financial Statements'!B68)</f>
        <v>0.66135359651409131</v>
      </c>
      <c r="D27" s="26">
        <f>'Financial Statements'!C59/('Financial Statements'!C59+'Financial Statements'!C68)</f>
        <v>0.63361518269878514</v>
      </c>
      <c r="E27" s="26">
        <f>'Financial Statements'!D59/('Financial Statements'!D59+'Financial Statements'!D68)</f>
        <v>0.60160603880345842</v>
      </c>
    </row>
    <row r="28" spans="1:5" x14ac:dyDescent="0.35">
      <c r="A28" s="18">
        <f t="shared" si="1"/>
        <v>3.4000000000000004</v>
      </c>
      <c r="B28" s="1" t="s">
        <v>120</v>
      </c>
      <c r="C28" s="26">
        <f>C21/'Financial Statements'!B114</f>
        <v>41.68830715532286</v>
      </c>
      <c r="D28" s="26">
        <f>D21/'Financial Statements'!C114</f>
        <v>40.546706363974693</v>
      </c>
      <c r="E28" s="26">
        <f>E21/'Financial Statements'!D114</f>
        <v>22.081279147235175</v>
      </c>
    </row>
    <row r="29" spans="1:5" x14ac:dyDescent="0.35">
      <c r="A29" s="18">
        <f t="shared" si="1"/>
        <v>3.5000000000000004</v>
      </c>
      <c r="B29" s="1" t="s">
        <v>121</v>
      </c>
      <c r="C29" s="26">
        <f>C19/'Financial Statements'!B114</f>
        <v>46.542757417102969</v>
      </c>
      <c r="D29" s="26">
        <f>D19/'Financial Statements'!C114</f>
        <v>49.883141049497581</v>
      </c>
      <c r="E29" s="26">
        <f>E19/'Financial Statements'!D114</f>
        <v>26.972018654230514</v>
      </c>
    </row>
    <row r="30" spans="1:5" x14ac:dyDescent="0.35">
      <c r="A30" s="18">
        <f t="shared" si="1"/>
        <v>3.6000000000000005</v>
      </c>
      <c r="B30" s="1" t="s">
        <v>122</v>
      </c>
      <c r="C30" s="26"/>
      <c r="D30" s="26">
        <f>D31/$I$4</f>
        <v>4.5036935965742063E-2</v>
      </c>
      <c r="E30" s="26">
        <f>E31/$I$4</f>
        <v>3.7798639154773536E-2</v>
      </c>
    </row>
    <row r="31" spans="1:5" x14ac:dyDescent="0.35">
      <c r="A31" s="18"/>
      <c r="B31" s="3" t="s">
        <v>123</v>
      </c>
      <c r="C31" s="26"/>
      <c r="D31" s="26">
        <f>'Financial Statements'!C91-('Financial Statements'!C45-'Financial Statements'!B45+'Financial Statements'!C79)+'Financial Statements'!C55+'Financial Statements'!C59</f>
        <v>214150</v>
      </c>
      <c r="E31" s="26">
        <f>'Financial Statements'!D91-('Financial Statements'!D45-'Financial Statements'!C45+'Financial Statements'!D79)+'Financial Statements'!D55+'Financial Statements'!D59</f>
        <v>179732</v>
      </c>
    </row>
    <row r="32" spans="1:5" x14ac:dyDescent="0.35">
      <c r="A32" s="18"/>
      <c r="C32" s="26"/>
      <c r="D32" s="26"/>
      <c r="E32" s="26"/>
    </row>
    <row r="33" spans="1:5" x14ac:dyDescent="0.35">
      <c r="A33" s="18">
        <f>+A24+1</f>
        <v>4</v>
      </c>
      <c r="B33" s="17" t="s">
        <v>124</v>
      </c>
      <c r="C33" s="26"/>
      <c r="D33" s="26"/>
      <c r="E33" s="26"/>
    </row>
    <row r="34" spans="1:5" x14ac:dyDescent="0.35">
      <c r="A34" s="18">
        <f>+A33+0.1</f>
        <v>4.0999999999999996</v>
      </c>
      <c r="B34" s="1" t="s">
        <v>125</v>
      </c>
      <c r="C34" s="26">
        <f>'Financial Statements'!B8/'Financial Statements'!B48</f>
        <v>1.1178523337727317</v>
      </c>
      <c r="D34" s="26">
        <f>'Financial Statements'!C8/'Financial Statements'!C48</f>
        <v>1.0422077367080529</v>
      </c>
      <c r="E34" s="26">
        <f>'Financial Statements'!D8/'Financial Statements'!D48</f>
        <v>0.84756150274168851</v>
      </c>
    </row>
    <row r="35" spans="1:5" x14ac:dyDescent="0.35">
      <c r="A35" s="18">
        <f>+A34+0.1</f>
        <v>4.1999999999999993</v>
      </c>
      <c r="B35" s="1" t="s">
        <v>126</v>
      </c>
      <c r="C35" s="26">
        <f>'Financial Statements'!B8/'Financial Statements'!B45</f>
        <v>9.3626801529073767</v>
      </c>
      <c r="D35" s="26">
        <f>'Financial Statements'!C8/'Financial Statements'!C45</f>
        <v>9.2752789046653152</v>
      </c>
      <c r="E35" s="26">
        <f>'Financial Statements'!D8/'Financial Statements'!D45</f>
        <v>7.4665451776097482</v>
      </c>
    </row>
    <row r="36" spans="1:5" x14ac:dyDescent="0.35">
      <c r="A36" s="18">
        <f>+A35+0.1</f>
        <v>4.2999999999999989</v>
      </c>
      <c r="B36" s="1" t="s">
        <v>127</v>
      </c>
      <c r="C36" s="26">
        <f>'Financial Statements'!B12/'Financial Statements'!B39</f>
        <v>45.197331176708452</v>
      </c>
      <c r="D36" s="26">
        <f>'Financial Statements'!C12/'Financial Statements'!C39</f>
        <v>32.367933130699086</v>
      </c>
      <c r="E36" s="26">
        <f>'Financial Statements'!D12/'Financial Statements'!D39</f>
        <v>41.753016498399411</v>
      </c>
    </row>
    <row r="37" spans="1:5" x14ac:dyDescent="0.35">
      <c r="A37" s="18">
        <f>+A36+0.1</f>
        <v>4.3999999999999986</v>
      </c>
      <c r="B37" s="1" t="s">
        <v>128</v>
      </c>
      <c r="C37" s="26">
        <f>'Financial Statements'!B22/'Financial Statements'!B48</f>
        <v>0.28292440929256851</v>
      </c>
      <c r="D37" s="26">
        <f>'Financial Statements'!C22/'Financial Statements'!C48</f>
        <v>0.26974205275183616</v>
      </c>
      <c r="E37" s="26">
        <f>'Financial Statements'!D22/'Financial Statements'!D48</f>
        <v>0.1772557180259843</v>
      </c>
    </row>
    <row r="38" spans="1:5" x14ac:dyDescent="0.35">
      <c r="A38" s="18"/>
    </row>
    <row r="39" spans="1:5" x14ac:dyDescent="0.35">
      <c r="A39" s="18">
        <f>+A33+1</f>
        <v>5</v>
      </c>
      <c r="B39" s="17" t="s">
        <v>129</v>
      </c>
    </row>
    <row r="40" spans="1:5" x14ac:dyDescent="0.35">
      <c r="A40" s="18">
        <f>+A39+0.1</f>
        <v>5.0999999999999996</v>
      </c>
      <c r="B40" s="1" t="s">
        <v>130</v>
      </c>
      <c r="C40" s="25">
        <f>138.2/'Financial Statements'!B68</f>
        <v>2.7273444900536782E-3</v>
      </c>
      <c r="D40" s="25">
        <f>141.5/'Financial Statements'!C68</f>
        <v>2.2428277064511018E-3</v>
      </c>
      <c r="E40" s="25">
        <f>115.81/'Financial Statements'!D68</f>
        <v>1.7724483080549136E-3</v>
      </c>
    </row>
    <row r="41" spans="1:5" x14ac:dyDescent="0.35">
      <c r="A41" s="18">
        <f>+A40+0.1</f>
        <v>5.1999999999999993</v>
      </c>
      <c r="B41" s="3" t="s">
        <v>131</v>
      </c>
      <c r="C41" s="25">
        <f>'Financial Statements'!B22/'List of Ratios'!$I$4</f>
        <v>2.0989125940644199E-2</v>
      </c>
      <c r="D41" s="25">
        <f>'Financial Statements'!C22/'List of Ratios'!$I$4</f>
        <v>1.9911730549785005E-2</v>
      </c>
      <c r="E41" s="25">
        <f>'Financial Statements'!D22/'List of Ratios'!$I$4</f>
        <v>1.2073852583372485E-2</v>
      </c>
    </row>
    <row r="42" spans="1:5" x14ac:dyDescent="0.35">
      <c r="A42" s="18">
        <f>+A41+0.1</f>
        <v>5.2999999999999989</v>
      </c>
      <c r="B42" s="1" t="s">
        <v>132</v>
      </c>
      <c r="C42" s="25">
        <f>138.2/('Financial Statements'!B48-'Financial Statements'!B62)</f>
        <v>2.7273444900536782E-3</v>
      </c>
      <c r="D42" s="25">
        <f>141.5/('Financial Statements'!C48-'Financial Statements'!C62)</f>
        <v>2.2428277064511018E-3</v>
      </c>
      <c r="E42" s="25">
        <f>115.81/('Financial Statements'!B48-'Financial Statements'!C62)</f>
        <v>1.7860061995897784E-3</v>
      </c>
    </row>
    <row r="43" spans="1:5" x14ac:dyDescent="0.35">
      <c r="A43" s="18">
        <f>+A42+0.1</f>
        <v>5.3999999999999986</v>
      </c>
      <c r="B43" s="3" t="s">
        <v>133</v>
      </c>
      <c r="C43" s="25">
        <f>('Financial Statements'!B48-'Financial Statements'!B62)/$I$4</f>
        <v>1.0656603405351772E-2</v>
      </c>
      <c r="D43" s="25">
        <f>('Financial Statements'!C48-'Financial Statements'!C62)/$I$4</f>
        <v>1.3268177866349134E-2</v>
      </c>
      <c r="E43" s="25">
        <f>('Financial Statements'!D48-'Financial Statements'!D62)/$I$4</f>
        <v>1.3741155073853003E-2</v>
      </c>
    </row>
    <row r="44" spans="1:5" x14ac:dyDescent="0.35">
      <c r="A44" s="18">
        <f>+A43+0.1</f>
        <v>5.4999999999999982</v>
      </c>
      <c r="B44" s="1" t="s">
        <v>134</v>
      </c>
      <c r="C44" s="25">
        <f>(-'Financial Statements'!B102/'Financial Statements'!B22)*100</f>
        <v>14.870294480125848</v>
      </c>
      <c r="D44" s="25">
        <f>(-'Financial Statements'!C102/'Financial Statements'!C22)*100</f>
        <v>15.279890156316011</v>
      </c>
      <c r="E44" s="25">
        <f>(-'Financial Statements'!D102/'Financial Statements'!D22)*100</f>
        <v>24.526658654264864</v>
      </c>
    </row>
    <row r="45" spans="1:5" x14ac:dyDescent="0.35">
      <c r="A45" s="18"/>
      <c r="B45" s="3" t="s">
        <v>135</v>
      </c>
      <c r="C45" s="24">
        <f>-'Financial Statements'!B102/'List of Ratios'!$I$4</f>
        <v>3.121144836178277E-3</v>
      </c>
      <c r="D45" s="24">
        <f>-'Financial Statements'!C102/'List of Ratios'!$I$4</f>
        <v>3.0424905562287672E-3</v>
      </c>
      <c r="E45" s="24">
        <f>-'Financial Statements'!D102/'List of Ratios'!$I$4</f>
        <v>2.9613126095429094E-3</v>
      </c>
    </row>
    <row r="46" spans="1:5" x14ac:dyDescent="0.35">
      <c r="A46" s="18">
        <f>+A44+0.1</f>
        <v>5.5999999999999979</v>
      </c>
      <c r="B46" s="1" t="s">
        <v>136</v>
      </c>
      <c r="C46" s="29">
        <f>C45/138.2</f>
        <v>2.2584260753822556E-5</v>
      </c>
      <c r="D46" s="29">
        <f>D45/141.5</f>
        <v>2.1501700044019555E-5</v>
      </c>
      <c r="E46" s="29">
        <f>E45/115.81</f>
        <v>2.5570439595396852E-5</v>
      </c>
    </row>
    <row r="47" spans="1:5" x14ac:dyDescent="0.35">
      <c r="A47" s="18">
        <f>+A45+0.1</f>
        <v>0.1</v>
      </c>
      <c r="B47" s="1" t="s">
        <v>137</v>
      </c>
      <c r="C47" s="26">
        <f>'Financial Statements'!B22/'Financial Statements'!B68</f>
        <v>1.9695887275023682</v>
      </c>
      <c r="D47" s="26">
        <f>'Financial Statements'!C22/'Financial Statements'!C68</f>
        <v>1.5007132667617689</v>
      </c>
      <c r="E47" s="26">
        <f>'Financial Statements'!D22/'Financial Statements'!D68</f>
        <v>0.87866358530127486</v>
      </c>
    </row>
    <row r="48" spans="1:5" x14ac:dyDescent="0.35">
      <c r="A48" s="18">
        <f>+A46+0.1</f>
        <v>5.6999999999999975</v>
      </c>
      <c r="B48" s="1" t="s">
        <v>138</v>
      </c>
      <c r="C48" s="25">
        <f>C21/('Financial Statements'!B59+'Financial Statements'!B68)</f>
        <v>0.79821026391589978</v>
      </c>
      <c r="D48" s="25">
        <f>D21/('Financial Statements'!C59+'Financial Statements'!C68)</f>
        <v>0.63270343097400639</v>
      </c>
      <c r="E48" s="25">
        <f>E21/('Financial Statements'!D59+'Financial Statements'!D68)</f>
        <v>0.40418033486579757</v>
      </c>
    </row>
    <row r="49" spans="1:5" x14ac:dyDescent="0.35">
      <c r="A49" s="18">
        <f>+A47+0.1</f>
        <v>0.2</v>
      </c>
      <c r="B49" s="1" t="s">
        <v>128</v>
      </c>
      <c r="C49" s="25">
        <f>'Financial Statements'!B22/'Financial Statements'!B48</f>
        <v>0.28292440929256851</v>
      </c>
      <c r="D49" s="25">
        <f>'Financial Statements'!C22/'Financial Statements'!C48</f>
        <v>0.26974205275183616</v>
      </c>
      <c r="E49" s="25">
        <f>'Financial Statements'!D22/'Financial Statements'!D48</f>
        <v>0.1772557180259843</v>
      </c>
    </row>
    <row r="50" spans="1:5" x14ac:dyDescent="0.35">
      <c r="A50" s="18">
        <f>+A48+0.1</f>
        <v>5.7999999999999972</v>
      </c>
      <c r="B50" s="1" t="s">
        <v>139</v>
      </c>
      <c r="C50" s="27">
        <f>C51/C19</f>
        <v>4928.7600299973747</v>
      </c>
      <c r="D50" s="27">
        <f>D51/D19</f>
        <v>5020.3353278223758</v>
      </c>
      <c r="E50" s="27">
        <f>E51/E19</f>
        <v>6801.8321929109543</v>
      </c>
    </row>
    <row r="51" spans="1:5" x14ac:dyDescent="0.35">
      <c r="A51" s="18"/>
      <c r="B51" s="3" t="s">
        <v>140</v>
      </c>
      <c r="C51">
        <f>138.2*I4+'Financial Statements'!B55+'Financial Statements'!B59-'Financial Statements'!B36</f>
        <v>657225506.19999993</v>
      </c>
      <c r="D51">
        <f>141.5*I4+'Financial Statements'!B59+'Financial Statements'!B55-'Financial Statements'!C36</f>
        <v>672905666</v>
      </c>
      <c r="E51">
        <f>115.81*I4+'Financial Statements'!D55+'Financial Statements'!D59-'Financial Statements'!D36</f>
        <v>550744352.65999997</v>
      </c>
    </row>
    <row r="52" spans="1:5" x14ac:dyDescent="0.35">
      <c r="A52" s="18"/>
      <c r="B52" s="3"/>
    </row>
    <row r="53" spans="1:5" x14ac:dyDescent="0.35">
      <c r="B53" s="1" t="s">
        <v>151</v>
      </c>
    </row>
    <row r="54" spans="1:5" x14ac:dyDescent="0.35">
      <c r="B54" s="1" t="s">
        <v>152</v>
      </c>
      <c r="C54" s="28">
        <f>('Financial Statements'!B8-'Financial Statements'!C8)/'Financial Statements'!C8</f>
        <v>7.7937876041846058E-2</v>
      </c>
      <c r="D54" s="28">
        <f>('Financial Statements'!C8-'Financial Statements'!D8)/'Financial Statements'!D8</f>
        <v>0.33259384733074693</v>
      </c>
    </row>
    <row r="55" spans="1:5" x14ac:dyDescent="0.35">
      <c r="B55" s="1" t="s">
        <v>153</v>
      </c>
      <c r="C55" s="28">
        <f>('Financial Statements'!B13-'Financial Statements'!C13)/'Financial Statements'!C13</f>
        <v>0.11741997958596143</v>
      </c>
      <c r="D55" s="28">
        <f>('Financial Statements'!C13-'Financial Statements'!D13)/'Financial Statements'!D13</f>
        <v>0.45619116582186819</v>
      </c>
    </row>
    <row r="56" spans="1:5" x14ac:dyDescent="0.35">
      <c r="B56" s="1" t="s">
        <v>11</v>
      </c>
      <c r="C56" s="23">
        <f>('Financial Statements'!B15-'Financial Statements'!C15)/'Financial Statements'!C15</f>
        <v>0.19791001186456147</v>
      </c>
      <c r="D56" s="23">
        <f>('Financial Statements'!C15-'Financial Statements'!D15)/'Financial Statements'!D15</f>
        <v>0.16862201365187712</v>
      </c>
    </row>
    <row r="57" spans="1:5" x14ac:dyDescent="0.35">
      <c r="B57" s="1" t="s">
        <v>12</v>
      </c>
      <c r="C57" s="23">
        <f>('Financial Statements'!B16-'Financial Statements'!C16)/'Financial Statements'!C16</f>
        <v>0.14203795567287125</v>
      </c>
      <c r="D57" s="23">
        <f>('Financial Statements'!C16-'Financial Statements'!D16)/'Financial Statements'!D16</f>
        <v>0.10328379192608958</v>
      </c>
    </row>
    <row r="60" spans="1:5" x14ac:dyDescent="0.35">
      <c r="B60" s="1" t="s">
        <v>154</v>
      </c>
    </row>
    <row r="61" spans="1:5" x14ac:dyDescent="0.35">
      <c r="B61" s="1" t="s">
        <v>146</v>
      </c>
      <c r="C61" s="23">
        <f>'Financial Statements'!B12/'Financial Statements'!B8</f>
        <v>0.56690369438639909</v>
      </c>
      <c r="D61" s="23">
        <f>'Financial Statements'!C12/'Financial Statements'!C8</f>
        <v>0.58220640374832222</v>
      </c>
      <c r="E61" s="23">
        <f>'Financial Statements'!D12/'Financial Statements'!D8</f>
        <v>0.61766752272189129</v>
      </c>
    </row>
    <row r="62" spans="1:5" x14ac:dyDescent="0.35">
      <c r="B62" s="1" t="s">
        <v>89</v>
      </c>
      <c r="C62" s="23">
        <f>'Financial Statements'!B13/'Financial Statements'!B8</f>
        <v>0.43309630561360085</v>
      </c>
      <c r="D62" s="23">
        <f>'Financial Statements'!C13/'Financial Statements'!C8</f>
        <v>0.41779359625167778</v>
      </c>
      <c r="E62" s="23">
        <f>'Financial Statements'!D13/'Financial Statements'!D8</f>
        <v>0.38233247727810865</v>
      </c>
    </row>
    <row r="63" spans="1:5" x14ac:dyDescent="0.35">
      <c r="B63" s="1" t="s">
        <v>11</v>
      </c>
      <c r="C63" s="23">
        <f>'Financial Statements'!B15/'Financial Statements'!B8</f>
        <v>6.657148363798665E-2</v>
      </c>
      <c r="D63" s="23">
        <f>'Financial Statements'!C15/'Financial Statements'!C8</f>
        <v>5.9904269074427925E-2</v>
      </c>
      <c r="E63" s="23">
        <f>'Financial Statements'!D15/'Financial Statements'!D8</f>
        <v>6.8309564140393061E-2</v>
      </c>
    </row>
    <row r="64" spans="1:5" x14ac:dyDescent="0.35">
      <c r="B64" s="1" t="s">
        <v>12</v>
      </c>
      <c r="C64" s="23">
        <f>'Financial Statements'!B16/'Financial Statements'!B8</f>
        <v>6.3637378020328261E-2</v>
      </c>
      <c r="D64" s="23">
        <f>'Financial Statements'!C16/'Financial Statements'!C8</f>
        <v>6.006555190163388E-2</v>
      </c>
      <c r="E64" s="23">
        <f>'Financial Statements'!D16/'Financial Statements'!D8</f>
        <v>7.2549769593646979E-2</v>
      </c>
    </row>
    <row r="65" spans="2:5" x14ac:dyDescent="0.35">
      <c r="B65" s="1" t="s">
        <v>14</v>
      </c>
      <c r="C65" s="23">
        <f>'Financial Statements'!B18/'Financial Statements'!B8</f>
        <v>0.30288744395528594</v>
      </c>
      <c r="D65" s="23">
        <f>'Financial Statements'!C18/'Financial Statements'!C8</f>
        <v>0.29782377527561593</v>
      </c>
      <c r="E65" s="23">
        <f>'Financial Statements'!D18/'Financial Statements'!D8</f>
        <v>0.24147314354406862</v>
      </c>
    </row>
    <row r="66" spans="2:5" x14ac:dyDescent="0.35">
      <c r="B66" s="1" t="s">
        <v>93</v>
      </c>
      <c r="C66" s="23">
        <f>'Financial Statements'!B22/'Financial Statements'!B8</f>
        <v>0.25309640705199732</v>
      </c>
      <c r="D66" s="23">
        <f>'Financial Statements'!C22/'Financial Statements'!C8</f>
        <v>0.25881793355694238</v>
      </c>
      <c r="E66" s="23">
        <f>'Financial Statements'!D22/'Financial Statements'!D8</f>
        <v>0.20913611278072236</v>
      </c>
    </row>
    <row r="68" spans="2:5" x14ac:dyDescent="0.35">
      <c r="B68" s="1" t="s">
        <v>94</v>
      </c>
      <c r="C68" s="23">
        <f>'Financial Statements'!B21/'Financial Statements'!B20</f>
        <v>0.16204461684424407</v>
      </c>
      <c r="D68" s="23">
        <f>'Financial Statements'!C21/'Financial Statements'!C20</f>
        <v>0.13302260844085087</v>
      </c>
      <c r="E68" s="23">
        <f>'Financial Statements'!D21/'Financial Statements'!D20</f>
        <v>0.14428164731484103</v>
      </c>
    </row>
    <row r="69" spans="2:5" x14ac:dyDescent="0.35">
      <c r="B69" s="1" t="s">
        <v>95</v>
      </c>
      <c r="C69" s="23">
        <f>'Financial Statements'!B96/'Financial Statements'!B8</f>
        <v>-2.7155058732831552E-2</v>
      </c>
      <c r="D69" s="23">
        <f>'Financial Statements'!C96/'Financial Statements'!C8</f>
        <v>-3.0302036264033657E-2</v>
      </c>
      <c r="E69" s="23">
        <f>'Financial Statements'!D96/'Financial Statements'!D8</f>
        <v>-2.6625138881299748E-2</v>
      </c>
    </row>
    <row r="70" spans="2:5" x14ac:dyDescent="0.35">
      <c r="B70" s="1" t="s">
        <v>96</v>
      </c>
      <c r="C70" s="23">
        <f>'Financial Statements'!B96/'Financial Statements'!B45</f>
        <v>-0.25424412944891611</v>
      </c>
      <c r="D70" s="23">
        <f>'Financial Statements'!C96/'Financial Statements'!C45</f>
        <v>-0.28105983772819471</v>
      </c>
      <c r="E70" s="23">
        <f>'Financial Statements'!D96/'Financial Statements'!D45</f>
        <v>-0.19879780231735844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Amro Alkasasbeh</cp:lastModifiedBy>
  <dcterms:created xsi:type="dcterms:W3CDTF">2020-05-18T16:32:37Z</dcterms:created>
  <dcterms:modified xsi:type="dcterms:W3CDTF">2024-04-04T01:01:46Z</dcterms:modified>
</cp:coreProperties>
</file>