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23250" windowHeight="12450" activeTab="2"/>
  </bookViews>
  <sheets>
    <sheet name="Instructions" sheetId="1" r:id="rId1"/>
    <sheet name="Financial statements" sheetId="4" r:id="rId2"/>
    <sheet name="List of Ratios" sheetId="3" r:id="rId3"/>
  </sheets>
  <definedNames>
    <definedName name="ExternalData_1" localSheetId="1" hidden="1">'Financial statements'!$A$7:$A$109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C31" i="3"/>
  <c r="D50" i="3"/>
  <c r="C50" i="3"/>
  <c r="D51" i="3"/>
  <c r="C51" i="3"/>
  <c r="D52" i="3"/>
  <c r="C52" i="3"/>
  <c r="C64" i="3" l="1"/>
  <c r="C63" i="3"/>
  <c r="C62" i="3"/>
  <c r="C61" i="3"/>
  <c r="C60" i="3"/>
  <c r="C59" i="3"/>
  <c r="C58" i="3"/>
  <c r="C57" i="3"/>
  <c r="C56" i="3"/>
  <c r="D64" i="3"/>
  <c r="D63" i="3"/>
  <c r="D62" i="3"/>
  <c r="D61" i="3"/>
  <c r="D60" i="3"/>
  <c r="D59" i="3"/>
  <c r="D58" i="3"/>
  <c r="D57" i="3"/>
  <c r="D56" i="3"/>
  <c r="C70" i="3"/>
  <c r="C69" i="3"/>
  <c r="C68" i="3"/>
  <c r="C67" i="3"/>
  <c r="D70" i="3" l="1"/>
  <c r="D69" i="3"/>
  <c r="D68" i="3"/>
  <c r="D67" i="3"/>
  <c r="D80" i="3"/>
  <c r="C80" i="3"/>
  <c r="D79" i="3"/>
  <c r="C79" i="3"/>
  <c r="D74" i="3"/>
  <c r="C74" i="3"/>
  <c r="D77" i="3"/>
  <c r="C77" i="3"/>
  <c r="D78" i="3"/>
  <c r="C78" i="3"/>
  <c r="D76" i="3"/>
  <c r="C76" i="3"/>
  <c r="D75" i="3"/>
  <c r="C75" i="3"/>
  <c r="D73" i="3"/>
  <c r="C73" i="3"/>
  <c r="D47" i="3"/>
  <c r="C47" i="3"/>
  <c r="D43" i="3"/>
  <c r="C43" i="3"/>
  <c r="D37" i="3"/>
  <c r="D49" i="3" s="1"/>
  <c r="C37" i="3"/>
  <c r="C49" i="3" s="1"/>
  <c r="D36" i="3"/>
  <c r="C36" i="3"/>
  <c r="C35" i="3" l="1"/>
  <c r="D35" i="3"/>
  <c r="D34" i="3" l="1"/>
  <c r="C34" i="3"/>
  <c r="D27" i="3"/>
  <c r="C27" i="3"/>
  <c r="D26" i="3"/>
  <c r="C26" i="3"/>
  <c r="D25" i="3"/>
  <c r="C25" i="3"/>
  <c r="D22" i="3"/>
  <c r="C22" i="3"/>
  <c r="D21" i="3"/>
  <c r="D48" i="3" s="1"/>
  <c r="C21" i="3"/>
  <c r="C48" i="3" s="1"/>
  <c r="D29" i="3" l="1"/>
  <c r="D20" i="3"/>
  <c r="C28" i="3"/>
  <c r="D28" i="3"/>
  <c r="C20" i="3"/>
  <c r="C29" i="3"/>
  <c r="C19" i="3"/>
  <c r="C18" i="3" s="1"/>
  <c r="D19" i="3"/>
  <c r="D18" i="3" s="1"/>
  <c r="D17" i="3"/>
  <c r="C17" i="3"/>
  <c r="D14" i="3"/>
  <c r="D13" i="3" s="1"/>
  <c r="C14" i="3"/>
  <c r="C13" i="3" s="1"/>
  <c r="D11" i="3"/>
  <c r="C11" i="3"/>
  <c r="D10" i="3"/>
  <c r="C10" i="3"/>
  <c r="D9" i="3" l="1"/>
  <c r="D12" i="3" s="1"/>
  <c r="C9" i="3"/>
  <c r="C12" i="3" s="1"/>
  <c r="D8" i="3"/>
  <c r="C8" i="3" l="1"/>
  <c r="D7" i="3"/>
  <c r="C7" i="3"/>
  <c r="D6" i="3"/>
  <c r="C6" i="3"/>
  <c r="C60" i="4"/>
  <c r="B60" i="4"/>
  <c r="C61" i="4"/>
  <c r="B61" i="4"/>
  <c r="C48" i="4"/>
  <c r="B48" i="4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comments1.xml><?xml version="1.0" encoding="utf-8"?>
<comments xmlns="http://schemas.openxmlformats.org/spreadsheetml/2006/main">
  <authors>
    <author>Erkan Kubilay</author>
  </authors>
  <commentList>
    <comment ref="E46" authorId="0" shapeId="0">
      <text>
        <r>
          <rPr>
            <b/>
            <sz val="9"/>
            <color indexed="81"/>
            <rFont val="Tahoma"/>
            <charset val="1"/>
          </rPr>
          <t>Erkan Kubilay:</t>
        </r>
        <r>
          <rPr>
            <sz val="9"/>
            <color indexed="81"/>
            <rFont val="Tahoma"/>
            <charset val="1"/>
          </rPr>
          <t xml:space="preserve">
Amazon does not pay out dividends to shareholders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Table039 (Page 37)" description="Connection to the 'Table039 (Page 37)' query in the workbook." type="5" refreshedVersion="8" background="1" saveData="1">
    <dbPr connection="Provider=Microsoft.Mashup.OleDb.1;Data Source=$Workbook$;Location=&quot;Table039 (Page 37)&quot;;Extended Properties=&quot;&quot;" command="SELECT * FROM [Table039 (Page 37)]"/>
  </connection>
  <connection id="2" keepAlive="1" name="Query - Table045 (Page 47)" description="Connection to the 'Table045 (Page 47)' query in the workbook." type="5" refreshedVersion="0" background="1">
    <dbPr connection="Provider=Microsoft.Mashup.OleDb.1;Data Source=$Workbook$;Location=&quot;Table045 (Page 47)&quot;;Extended Properties=&quot;&quot;" command="SELECT * FROM [Table045 (Page 47)]"/>
  </connection>
  <connection id="3" keepAlive="1" name="Query - Table050 (Page 50)" description="Connection to the 'Table050 (Page 50)' query in the workbook." type="5" refreshedVersion="0" background="1">
    <dbPr connection="Provider=Microsoft.Mashup.OleDb.1;Data Source=$Workbook$;Location=&quot;Table050 (Page 50)&quot;;Extended Properties=&quot;&quot;" command="SELECT * FROM [Table050 (Page 50)]"/>
  </connection>
  <connection id="4" keepAlive="1" name="Query - Table106 (Page 83)" description="Connection to the 'Table106 (Page 83)' query in the workbook." type="5" refreshedVersion="0" background="1">
    <dbPr connection="Provider=Microsoft.Mashup.OleDb.1;Data Source=$Workbook$;Location=&quot;Table106 (Page 83)&quot;;Extended Properties=&quot;&quot;" command="SELECT * FROM [Table106 (Page 83)]"/>
  </connection>
</connections>
</file>

<file path=xl/sharedStrings.xml><?xml version="1.0" encoding="utf-8"?>
<sst xmlns="http://schemas.openxmlformats.org/spreadsheetml/2006/main" count="245" uniqueCount="221">
  <si>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</si>
  <si>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</si>
  <si>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</si>
  <si>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</si>
  <si>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</si>
  <si>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</si>
  <si>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</si>
  <si>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</si>
  <si>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</si>
  <si>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</si>
  <si>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</si>
  <si>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</si>
  <si>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</si>
  <si>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</si>
  <si>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</si>
  <si>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</si>
  <si>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</si>
  <si>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</si>
  <si>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</si>
  <si>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</si>
  <si>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</si>
  <si>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</si>
  <si>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</si>
  <si>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</si>
  <si>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</si>
  <si>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</si>
  <si>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</si>
  <si>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</si>
  <si>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</si>
  <si>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</si>
  <si>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</si>
  <si>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</si>
  <si>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</si>
  <si>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</si>
  <si>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</si>
  <si>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</si>
  <si>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</si>
  <si>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</si>
  <si>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</si>
  <si>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</si>
  <si>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</si>
  <si>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</si>
  <si>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</si>
  <si>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</si>
  <si>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</si>
  <si>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</si>
  <si>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</si>
  <si>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</si>
  <si>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</si>
  <si>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</si>
  <si>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</si>
  <si>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</si>
  <si>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</si>
  <si>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</si>
  <si>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</si>
  <si>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</si>
  <si>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</si>
  <si>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</si>
  <si>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net sales</t>
  </si>
  <si>
    <t>Operating expenses:</t>
  </si>
  <si>
    <t>Cost of sales</t>
  </si>
  <si>
    <t>Fulfillment</t>
  </si>
  <si>
    <t>Technology and content</t>
  </si>
  <si>
    <t>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</si>
  <si>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</si>
  <si>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</si>
  <si>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</si>
  <si>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</si>
  <si>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</si>
  <si>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</si>
  <si>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</si>
  <si>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</si>
  <si>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before income taxes</t>
  </si>
  <si>
    <t>Provision for income taxes</t>
  </si>
  <si>
    <t>Equity-method investment activity, net of tax</t>
  </si>
  <si>
    <t>Net income</t>
  </si>
  <si>
    <t>Basic earnings per share</t>
  </si>
  <si>
    <t>Diluted earnings per share</t>
  </si>
  <si>
    <t>Weighted-average shares used in computation of earnings per share:</t>
  </si>
  <si>
    <t>Amazon</t>
  </si>
  <si>
    <t>2021</t>
  </si>
  <si>
    <t>2022</t>
  </si>
  <si>
    <t xml:space="preserve"> </t>
  </si>
  <si>
    <t>Basic</t>
  </si>
  <si>
    <t>Diluted</t>
  </si>
  <si>
    <t>Cash and cash equivalents</t>
  </si>
  <si>
    <t>36,220</t>
  </si>
  <si>
    <t>Marketable securities</t>
  </si>
  <si>
    <t>59,829</t>
  </si>
  <si>
    <t>Inventories</t>
  </si>
  <si>
    <t>32,640</t>
  </si>
  <si>
    <t>Accounts receivable, net and other</t>
  </si>
  <si>
    <t>32,891</t>
  </si>
  <si>
    <t>Total current assets</t>
  </si>
  <si>
    <t>161,580</t>
  </si>
  <si>
    <t>Property and equipment, net</t>
  </si>
  <si>
    <t>160,281</t>
  </si>
  <si>
    <t>Operating leases</t>
  </si>
  <si>
    <t>56,082</t>
  </si>
  <si>
    <t>Goodwill</t>
  </si>
  <si>
    <t>15,371</t>
  </si>
  <si>
    <t>Other assets</t>
  </si>
  <si>
    <t>27,235</t>
  </si>
  <si>
    <t>Total assets</t>
  </si>
  <si>
    <t>420,549</t>
  </si>
  <si>
    <t>LIABILITIES AND STOCKHOLDERS’ EQUITY</t>
  </si>
  <si>
    <t>Current liabilities:</t>
  </si>
  <si>
    <t>Accounts payable</t>
  </si>
  <si>
    <t>78,664</t>
  </si>
  <si>
    <t>Accrued expenses and other</t>
  </si>
  <si>
    <t>51,775</t>
  </si>
  <si>
    <t>Unearned revenue</t>
  </si>
  <si>
    <t>11,827</t>
  </si>
  <si>
    <t>Total current liabilities</t>
  </si>
  <si>
    <t>142,266</t>
  </si>
  <si>
    <t>Long-term lease liabilities</t>
  </si>
  <si>
    <t>67,651</t>
  </si>
  <si>
    <t>Long-term debt</t>
  </si>
  <si>
    <t>48,744</t>
  </si>
  <si>
    <t>Other long-term liabilities</t>
  </si>
  <si>
    <t>23,643</t>
  </si>
  <si>
    <t>Stockholders’ equity:</t>
  </si>
  <si>
    <t>Preferred stock ($0.01 par value; 500 shares authorized; no shares issued or outstanding)</t>
  </si>
  <si>
    <t>—</t>
  </si>
  <si>
    <t>Common stock ($0.01 par value; 100,000 shares authorized; 10,644 and 10,757 shares
issued; 10,175 and 10,242 shares outstanding)</t>
  </si>
  <si>
    <t>106</t>
  </si>
  <si>
    <t>Treasury stock, at cost</t>
  </si>
  <si>
    <t>(1,837)</t>
  </si>
  <si>
    <t>Additional paid-in capital</t>
  </si>
  <si>
    <t>55,437</t>
  </si>
  <si>
    <t>Accumulated other comprehensive income (loss)</t>
  </si>
  <si>
    <t>(1,376)</t>
  </si>
  <si>
    <t>Retained earnings</t>
  </si>
  <si>
    <t>85,915</t>
  </si>
  <si>
    <t>Total stockholders’ equity</t>
  </si>
  <si>
    <t>138,245</t>
  </si>
  <si>
    <t>Total liabilities and stockholders’ equity</t>
  </si>
  <si>
    <t>Consolidated Balance Sheets</t>
  </si>
  <si>
    <t>Current Assets:</t>
  </si>
  <si>
    <t>42,377</t>
  </si>
  <si>
    <t>OPERATING ACTIVITIES:</t>
  </si>
  <si>
    <t>Net income (loss)</t>
  </si>
  <si>
    <t>33,364</t>
  </si>
  <si>
    <t>Adjustments to reconcile net income (loss) to net cash from operating activities:</t>
  </si>
  <si>
    <t>34,433</t>
  </si>
  <si>
    <t>Stock-based compensation</t>
  </si>
  <si>
    <t>12,757</t>
  </si>
  <si>
    <t>Other expense (income), net</t>
  </si>
  <si>
    <t>(14,306)</t>
  </si>
  <si>
    <t>Deferred income taxes</t>
  </si>
  <si>
    <t>(310)</t>
  </si>
  <si>
    <t>Changes in operating assets and liabilities:</t>
  </si>
  <si>
    <t>(9,487)</t>
  </si>
  <si>
    <t>(18,163)</t>
  </si>
  <si>
    <t>3,602</t>
  </si>
  <si>
    <t>2,123</t>
  </si>
  <si>
    <t>2,314</t>
  </si>
  <si>
    <t>Net cash provided by (used in) operating activities</t>
  </si>
  <si>
    <t>46,327</t>
  </si>
  <si>
    <t>INVESTING ACTIVITIES:</t>
  </si>
  <si>
    <t>Purchases of property and equipment</t>
  </si>
  <si>
    <t>(61,053)</t>
  </si>
  <si>
    <t>Proceeds from property and equipment sales and incentives</t>
  </si>
  <si>
    <t>5,657</t>
  </si>
  <si>
    <t>Acquisitions, net of cash acquired, and other</t>
  </si>
  <si>
    <t>(1,985)</t>
  </si>
  <si>
    <t>Sales and maturities of marketable securities</t>
  </si>
  <si>
    <t>59,384</t>
  </si>
  <si>
    <t>Purchases of marketable securities</t>
  </si>
  <si>
    <t>(60,157)</t>
  </si>
  <si>
    <t>Net cash provided by (used in) investing activities</t>
  </si>
  <si>
    <t>(58,154)</t>
  </si>
  <si>
    <t>FINANCING ACTIVITIES:</t>
  </si>
  <si>
    <t>Common stock repurchased</t>
  </si>
  <si>
    <t>Proceeds from short-term debt, and other</t>
  </si>
  <si>
    <t>7,956</t>
  </si>
  <si>
    <t>Repayments of short-term debt, and other</t>
  </si>
  <si>
    <t>(7,753)</t>
  </si>
  <si>
    <t>Proceeds from long-term debt</t>
  </si>
  <si>
    <t>19,003</t>
  </si>
  <si>
    <t>Repayments of long-term debt</t>
  </si>
  <si>
    <t>(1,590)</t>
  </si>
  <si>
    <t>Principal repayments of finance leases</t>
  </si>
  <si>
    <t>(11,163)</t>
  </si>
  <si>
    <t>Principal repayments of financing obligations</t>
  </si>
  <si>
    <t>(162)</t>
  </si>
  <si>
    <t>Net cash provided by (used in) financing activities</t>
  </si>
  <si>
    <t>6,291</t>
  </si>
  <si>
    <t>Foreign currency effect on cash, cash equivalents, and restricted cash</t>
  </si>
  <si>
    <t>(364)</t>
  </si>
  <si>
    <t>Net increase (decrease) in cash, cash equivalents, and restricted cash</t>
  </si>
  <si>
    <t>(5,900)</t>
  </si>
  <si>
    <t>CASH, CASH EQUIVALENTS, AND RESTRICTED CASH, END OF PERIOD</t>
  </si>
  <si>
    <t>36,477</t>
  </si>
  <si>
    <t>CASH, CASH EQUIVALENTS, AND RESTRICTED CASH, BEGINNING OF PERIOD</t>
  </si>
  <si>
    <t>CONSOLIDATED STATEMENT OF CASH FLOWS</t>
  </si>
  <si>
    <t>Non Current Assets:</t>
  </si>
  <si>
    <t>Total Non current assets</t>
  </si>
  <si>
    <t>Total liabilities</t>
  </si>
  <si>
    <t>Total Non Current liabilities</t>
  </si>
  <si>
    <t>Non Current Liabilities:</t>
  </si>
  <si>
    <t>Depreciation and amortization of property and equipment and capitalized content costs, operating lease assets, and other</t>
  </si>
  <si>
    <t>N/A</t>
  </si>
  <si>
    <t>Sales growth rate</t>
  </si>
  <si>
    <t>Products</t>
  </si>
  <si>
    <t>Services</t>
  </si>
  <si>
    <t>Net sales</t>
  </si>
  <si>
    <t>Current assets</t>
  </si>
  <si>
    <t>Non current assets</t>
  </si>
  <si>
    <t>Current Liabilities</t>
  </si>
  <si>
    <t>Non current liabilities</t>
  </si>
  <si>
    <t>Operating expenses</t>
  </si>
  <si>
    <t>As a % of net sales</t>
  </si>
  <si>
    <t>COGS (Cost of goods sold)</t>
  </si>
  <si>
    <t>Gross profits</t>
  </si>
  <si>
    <t>Net Profit</t>
  </si>
  <si>
    <t>General and Admin</t>
  </si>
  <si>
    <t>G&amp;A</t>
  </si>
  <si>
    <t>Share price</t>
  </si>
  <si>
    <t>Market cap</t>
  </si>
  <si>
    <t>Years ended ,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</si>
</sst>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1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8" fillId="4" borderId="0" xfId="0" applyFont="1" applyFill="1"/>
    <xf numFmtId="0" fontId="9" fillId="4" borderId="0" xfId="0" applyFont="1" applyFill="1"/>
    <xf numFmtId="0" fontId="8" fillId="4" borderId="0" xfId="0" applyNumberFormat="1" applyFont="1" applyFill="1"/>
    <xf numFmtId="0" fontId="13" fillId="4" borderId="0" xfId="0" applyFont="1" applyFill="1"/>
    <xf numFmtId="0" fontId="9" fillId="4" borderId="0" xfId="0" applyNumberFormat="1" applyFont="1" applyFill="1"/>
    <xf numFmtId="0" fontId="12" fillId="4" borderId="0" xfId="0" applyNumberFormat="1" applyFont="1" applyFill="1"/>
    <xf numFmtId="0" fontId="14" fillId="4" borderId="0" xfId="0" applyNumberFormat="1" applyFont="1" applyFill="1"/>
    <xf numFmtId="0" fontId="10" fillId="5" borderId="2" xfId="0" applyFont="1" applyFill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right"/>
    </xf>
    <xf numFmtId="0" fontId="9" fillId="5" borderId="1" xfId="0" applyFont="1" applyFill="1" applyBorder="1"/>
    <xf numFmtId="0" fontId="8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right"/>
    </xf>
    <xf numFmtId="0" fontId="8" fillId="4" borderId="2" xfId="0" applyNumberFormat="1" applyFont="1" applyFill="1" applyBorder="1" applyAlignment="1">
      <alignment horizontal="right"/>
    </xf>
    <xf numFmtId="3" fontId="8" fillId="4" borderId="2" xfId="0" applyNumberFormat="1" applyFont="1" applyFill="1" applyBorder="1" applyAlignment="1">
      <alignment horizontal="right"/>
    </xf>
    <xf numFmtId="10" fontId="0" fillId="0" borderId="3" xfId="0" applyNumberFormat="1" applyBorder="1"/>
    <xf numFmtId="10" fontId="0" fillId="0" borderId="0" xfId="0" applyNumberFormat="1"/>
    <xf numFmtId="10" fontId="0" fillId="0" borderId="0" xfId="2" applyNumberFormat="1" applyFont="1"/>
    <xf numFmtId="0" fontId="0" fillId="0" borderId="0" xfId="0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4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7" unboundColumnsRight="1">
    <queryTableFields count="2">
      <queryTableField id="1" name="Column1" tableColumnId="1"/>
      <queryTableField id="6" dataBound="0" tableColumnId="3"/>
    </queryTableFields>
    <queryTableDeletedFields count="3">
      <deletedField name="Column3"/>
      <deletedField name="Column5"/>
      <deletedField name="Column7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039__Page_37" displayName="Table039__Page_37" ref="A7:B109" tableType="queryTable" totalsRowShown="0" headerRowDxfId="3" dataDxfId="2">
  <autoFilter ref="A7:B109"/>
  <tableColumns count="2">
    <tableColumn id="1" uniqueName="1" name=" " queryTableFieldId="1" dataDxfId="1"/>
    <tableColumn id="3" uniqueName="3" name="2021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37" sqref="A37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55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53</v>
      </c>
    </row>
    <row r="8" spans="1:1" x14ac:dyDescent="0.25">
      <c r="A8" s="2" t="s">
        <v>54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73" zoomScale="80" zoomScaleNormal="80" workbookViewId="0">
      <selection activeCell="C55" sqref="C55"/>
    </sheetView>
  </sheetViews>
  <sheetFormatPr defaultRowHeight="15" x14ac:dyDescent="0.25"/>
  <cols>
    <col min="1" max="1" width="82.42578125" customWidth="1"/>
    <col min="2" max="3" width="20.85546875" customWidth="1"/>
    <col min="4" max="5" width="8.85546875" customWidth="1"/>
  </cols>
  <sheetData>
    <row r="1" spans="1:9" ht="26.25" x14ac:dyDescent="0.25">
      <c r="A1" s="7" t="s">
        <v>79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35" t="s">
        <v>9</v>
      </c>
      <c r="B2" s="35"/>
      <c r="C2" s="35"/>
    </row>
    <row r="3" spans="1:9" x14ac:dyDescent="0.25">
      <c r="B3" s="36"/>
      <c r="C3" s="36"/>
    </row>
    <row r="7" spans="1:9" ht="19.899999999999999" customHeight="1" x14ac:dyDescent="0.3">
      <c r="A7" s="16" t="s">
        <v>82</v>
      </c>
      <c r="B7" s="26" t="s">
        <v>80</v>
      </c>
      <c r="C7" s="23" t="s">
        <v>81</v>
      </c>
    </row>
    <row r="8" spans="1:9" ht="19.899999999999999" customHeight="1" x14ac:dyDescent="0.3">
      <c r="A8" s="16" t="s">
        <v>56</v>
      </c>
      <c r="B8" s="27">
        <v>241787</v>
      </c>
      <c r="C8" s="24">
        <v>242901</v>
      </c>
    </row>
    <row r="9" spans="1:9" ht="19.899999999999999" customHeight="1" x14ac:dyDescent="0.3">
      <c r="A9" s="16" t="s">
        <v>57</v>
      </c>
      <c r="B9" s="27">
        <v>228035</v>
      </c>
      <c r="C9" s="24">
        <v>271082</v>
      </c>
    </row>
    <row r="10" spans="1:9" ht="19.899999999999999" customHeight="1" x14ac:dyDescent="0.3">
      <c r="A10" s="17" t="s">
        <v>58</v>
      </c>
      <c r="B10" s="27">
        <v>469822</v>
      </c>
      <c r="C10" s="24">
        <v>513983</v>
      </c>
    </row>
    <row r="11" spans="1:9" ht="19.899999999999999" customHeight="1" x14ac:dyDescent="0.3">
      <c r="A11" s="16" t="s">
        <v>59</v>
      </c>
      <c r="B11" s="27"/>
      <c r="C11" s="24"/>
    </row>
    <row r="12" spans="1:9" ht="19.899999999999999" customHeight="1" x14ac:dyDescent="0.3">
      <c r="A12" s="17" t="s">
        <v>60</v>
      </c>
      <c r="B12" s="27">
        <v>272344</v>
      </c>
      <c r="C12" s="24">
        <v>288831</v>
      </c>
    </row>
    <row r="13" spans="1:9" ht="19.899999999999999" customHeight="1" x14ac:dyDescent="0.3">
      <c r="A13" s="16" t="s">
        <v>61</v>
      </c>
      <c r="B13" s="27">
        <v>75111</v>
      </c>
      <c r="C13" s="24">
        <v>84299</v>
      </c>
    </row>
    <row r="14" spans="1:9" ht="19.899999999999999" customHeight="1" x14ac:dyDescent="0.3">
      <c r="A14" s="16" t="s">
        <v>62</v>
      </c>
      <c r="B14" s="27">
        <v>56052</v>
      </c>
      <c r="C14" s="24">
        <v>73213</v>
      </c>
    </row>
    <row r="15" spans="1:9" ht="19.899999999999999" customHeight="1" x14ac:dyDescent="0.3">
      <c r="A15" s="16" t="s">
        <v>63</v>
      </c>
      <c r="B15" s="27">
        <v>32551</v>
      </c>
      <c r="C15" s="24">
        <v>42238</v>
      </c>
    </row>
    <row r="16" spans="1:9" ht="19.899999999999999" customHeight="1" x14ac:dyDescent="0.3">
      <c r="A16" s="16" t="s">
        <v>64</v>
      </c>
      <c r="B16" s="27">
        <v>8823</v>
      </c>
      <c r="C16" s="24">
        <v>11891</v>
      </c>
    </row>
    <row r="17" spans="1:3" ht="19.899999999999999" customHeight="1" x14ac:dyDescent="0.3">
      <c r="A17" s="16" t="s">
        <v>65</v>
      </c>
      <c r="B17" s="27">
        <v>62</v>
      </c>
      <c r="C17" s="24">
        <v>1263</v>
      </c>
    </row>
    <row r="18" spans="1:3" ht="19.899999999999999" customHeight="1" x14ac:dyDescent="0.3">
      <c r="A18" s="17" t="s">
        <v>66</v>
      </c>
      <c r="B18" s="27">
        <v>444943</v>
      </c>
      <c r="C18" s="24">
        <v>501735</v>
      </c>
    </row>
    <row r="19" spans="1:3" ht="19.899999999999999" customHeight="1" x14ac:dyDescent="0.3">
      <c r="A19" s="17" t="s">
        <v>67</v>
      </c>
      <c r="B19" s="27">
        <v>24879</v>
      </c>
      <c r="C19" s="24">
        <v>12248</v>
      </c>
    </row>
    <row r="20" spans="1:3" ht="19.899999999999999" customHeight="1" x14ac:dyDescent="0.3">
      <c r="A20" s="16" t="s">
        <v>68</v>
      </c>
      <c r="B20" s="27">
        <v>448</v>
      </c>
      <c r="C20" s="24">
        <v>989</v>
      </c>
    </row>
    <row r="21" spans="1:3" ht="19.899999999999999" customHeight="1" x14ac:dyDescent="0.3">
      <c r="A21" s="16" t="s">
        <v>69</v>
      </c>
      <c r="B21" s="27">
        <v>-1809</v>
      </c>
      <c r="C21" s="24">
        <v>-2367</v>
      </c>
    </row>
    <row r="22" spans="1:3" ht="19.899999999999999" customHeight="1" x14ac:dyDescent="0.3">
      <c r="A22" s="16" t="s">
        <v>70</v>
      </c>
      <c r="B22" s="27">
        <v>14633</v>
      </c>
      <c r="C22" s="24">
        <v>-16806</v>
      </c>
    </row>
    <row r="23" spans="1:3" ht="19.899999999999999" customHeight="1" x14ac:dyDescent="0.3">
      <c r="A23" s="16" t="s">
        <v>71</v>
      </c>
      <c r="B23" s="27">
        <v>13272</v>
      </c>
      <c r="C23" s="24">
        <v>-18184</v>
      </c>
    </row>
    <row r="24" spans="1:3" ht="19.899999999999999" customHeight="1" x14ac:dyDescent="0.3">
      <c r="A24" s="17" t="s">
        <v>72</v>
      </c>
      <c r="B24" s="27">
        <v>38151</v>
      </c>
      <c r="C24" s="24">
        <v>-5936</v>
      </c>
    </row>
    <row r="25" spans="1:3" ht="19.899999999999999" customHeight="1" x14ac:dyDescent="0.3">
      <c r="A25" s="16" t="s">
        <v>73</v>
      </c>
      <c r="B25" s="27">
        <v>-4791</v>
      </c>
      <c r="C25" s="24">
        <v>3217</v>
      </c>
    </row>
    <row r="26" spans="1:3" ht="19.899999999999999" customHeight="1" x14ac:dyDescent="0.3">
      <c r="A26" s="16" t="s">
        <v>74</v>
      </c>
      <c r="B26" s="27">
        <v>4</v>
      </c>
      <c r="C26" s="24">
        <v>-3</v>
      </c>
    </row>
    <row r="27" spans="1:3" ht="19.899999999999999" customHeight="1" x14ac:dyDescent="0.3">
      <c r="A27" s="17" t="s">
        <v>75</v>
      </c>
      <c r="B27" s="27">
        <v>33364</v>
      </c>
      <c r="C27" s="24">
        <v>-2722</v>
      </c>
    </row>
    <row r="28" spans="1:3" ht="19.899999999999999" customHeight="1" x14ac:dyDescent="0.3">
      <c r="A28" s="16" t="s">
        <v>76</v>
      </c>
      <c r="B28" s="27">
        <v>65.959999999999994</v>
      </c>
      <c r="C28" s="24">
        <v>-0.27</v>
      </c>
    </row>
    <row r="29" spans="1:3" ht="19.899999999999999" customHeight="1" x14ac:dyDescent="0.3">
      <c r="A29" s="16" t="s">
        <v>77</v>
      </c>
      <c r="B29" s="27">
        <v>64.81</v>
      </c>
      <c r="C29" s="24">
        <v>-0.27</v>
      </c>
    </row>
    <row r="30" spans="1:3" ht="19.899999999999999" customHeight="1" x14ac:dyDescent="0.3">
      <c r="A30" s="17" t="s">
        <v>78</v>
      </c>
      <c r="B30" s="27"/>
      <c r="C30" s="24"/>
    </row>
    <row r="31" spans="1:3" ht="18.75" x14ac:dyDescent="0.3">
      <c r="A31" s="16" t="s">
        <v>83</v>
      </c>
      <c r="B31" s="27">
        <v>10117</v>
      </c>
      <c r="C31" s="24">
        <v>10189</v>
      </c>
    </row>
    <row r="32" spans="1:3" ht="18.75" x14ac:dyDescent="0.3">
      <c r="A32" s="16" t="s">
        <v>84</v>
      </c>
      <c r="B32" s="27">
        <v>10296</v>
      </c>
      <c r="C32" s="24">
        <v>10189</v>
      </c>
    </row>
    <row r="33" spans="1:3" ht="18.75" x14ac:dyDescent="0.3">
      <c r="A33" s="16"/>
      <c r="B33" s="27"/>
      <c r="C33" s="24"/>
    </row>
    <row r="34" spans="1:3" ht="18.75" x14ac:dyDescent="0.3">
      <c r="A34" s="16"/>
      <c r="B34" s="27"/>
      <c r="C34" s="24"/>
    </row>
    <row r="35" spans="1:3" ht="26.25" x14ac:dyDescent="0.4">
      <c r="A35" s="19" t="s">
        <v>137</v>
      </c>
      <c r="B35" s="27"/>
      <c r="C35" s="24"/>
    </row>
    <row r="36" spans="1:3" ht="26.25" x14ac:dyDescent="0.4">
      <c r="A36" s="19"/>
      <c r="B36" s="27"/>
      <c r="C36" s="24"/>
    </row>
    <row r="37" spans="1:3" ht="18.75" x14ac:dyDescent="0.3">
      <c r="A37" s="17" t="s">
        <v>138</v>
      </c>
      <c r="B37" s="27"/>
      <c r="C37" s="24"/>
    </row>
    <row r="38" spans="1:3" ht="18.75" x14ac:dyDescent="0.3">
      <c r="A38" s="18" t="s">
        <v>85</v>
      </c>
      <c r="B38" s="28" t="s">
        <v>86</v>
      </c>
      <c r="C38" s="30">
        <v>53888</v>
      </c>
    </row>
    <row r="39" spans="1:3" ht="18.75" x14ac:dyDescent="0.3">
      <c r="A39" s="18" t="s">
        <v>87</v>
      </c>
      <c r="B39" s="28" t="s">
        <v>88</v>
      </c>
      <c r="C39" s="30">
        <v>16138</v>
      </c>
    </row>
    <row r="40" spans="1:3" ht="18.75" x14ac:dyDescent="0.3">
      <c r="A40" s="18" t="s">
        <v>89</v>
      </c>
      <c r="B40" s="28" t="s">
        <v>90</v>
      </c>
      <c r="C40" s="30">
        <v>34405</v>
      </c>
    </row>
    <row r="41" spans="1:3" ht="18.75" x14ac:dyDescent="0.3">
      <c r="A41" s="18" t="s">
        <v>91</v>
      </c>
      <c r="B41" s="28" t="s">
        <v>92</v>
      </c>
      <c r="C41" s="30">
        <v>42360</v>
      </c>
    </row>
    <row r="42" spans="1:3" ht="18.75" x14ac:dyDescent="0.3">
      <c r="A42" s="20" t="s">
        <v>93</v>
      </c>
      <c r="B42" s="28" t="s">
        <v>94</v>
      </c>
      <c r="C42" s="30">
        <v>146791</v>
      </c>
    </row>
    <row r="43" spans="1:3" ht="18.75" x14ac:dyDescent="0.3">
      <c r="A43" s="20" t="s">
        <v>196</v>
      </c>
      <c r="B43" s="28"/>
      <c r="C43" s="30"/>
    </row>
    <row r="44" spans="1:3" ht="18.75" x14ac:dyDescent="0.3">
      <c r="A44" s="18" t="s">
        <v>95</v>
      </c>
      <c r="B44" s="28" t="s">
        <v>96</v>
      </c>
      <c r="C44" s="30">
        <v>186715</v>
      </c>
    </row>
    <row r="45" spans="1:3" ht="18.75" x14ac:dyDescent="0.3">
      <c r="A45" s="18" t="s">
        <v>97</v>
      </c>
      <c r="B45" s="28" t="s">
        <v>98</v>
      </c>
      <c r="C45" s="30">
        <v>66123</v>
      </c>
    </row>
    <row r="46" spans="1:3" ht="18.75" x14ac:dyDescent="0.3">
      <c r="A46" s="18" t="s">
        <v>99</v>
      </c>
      <c r="B46" s="28" t="s">
        <v>100</v>
      </c>
      <c r="C46" s="30">
        <v>20288</v>
      </c>
    </row>
    <row r="47" spans="1:3" ht="18.75" x14ac:dyDescent="0.3">
      <c r="A47" s="18" t="s">
        <v>101</v>
      </c>
      <c r="B47" s="28" t="s">
        <v>102</v>
      </c>
      <c r="C47" s="30">
        <v>42758</v>
      </c>
    </row>
    <row r="48" spans="1:3" ht="18.75" x14ac:dyDescent="0.3">
      <c r="A48" s="20" t="s">
        <v>197</v>
      </c>
      <c r="B48" s="28">
        <f>B49-B42</f>
        <v>258969</v>
      </c>
      <c r="C48" s="30">
        <f>C49-C42</f>
        <v>315884</v>
      </c>
    </row>
    <row r="49" spans="1:3" ht="18.75" x14ac:dyDescent="0.3">
      <c r="A49" s="20" t="s">
        <v>103</v>
      </c>
      <c r="B49" s="28" t="s">
        <v>104</v>
      </c>
      <c r="C49" s="30">
        <v>462675</v>
      </c>
    </row>
    <row r="50" spans="1:3" ht="21" x14ac:dyDescent="0.35">
      <c r="A50" s="21" t="s">
        <v>105</v>
      </c>
      <c r="B50" s="28"/>
      <c r="C50" s="25"/>
    </row>
    <row r="51" spans="1:3" ht="18.75" x14ac:dyDescent="0.3">
      <c r="A51" s="20" t="s">
        <v>106</v>
      </c>
      <c r="B51" s="28"/>
      <c r="C51" s="25"/>
    </row>
    <row r="52" spans="1:3" ht="18.75" x14ac:dyDescent="0.3">
      <c r="A52" s="18" t="s">
        <v>107</v>
      </c>
      <c r="B52" s="28" t="s">
        <v>108</v>
      </c>
      <c r="C52" s="30">
        <v>79600</v>
      </c>
    </row>
    <row r="53" spans="1:3" ht="18.75" x14ac:dyDescent="0.3">
      <c r="A53" s="18" t="s">
        <v>109</v>
      </c>
      <c r="B53" s="28" t="s">
        <v>110</v>
      </c>
      <c r="C53" s="30">
        <v>62566</v>
      </c>
    </row>
    <row r="54" spans="1:3" ht="18.75" x14ac:dyDescent="0.3">
      <c r="A54" s="18" t="s">
        <v>111</v>
      </c>
      <c r="B54" s="28" t="s">
        <v>112</v>
      </c>
      <c r="C54" s="30">
        <v>13227</v>
      </c>
    </row>
    <row r="55" spans="1:3" ht="18.75" x14ac:dyDescent="0.3">
      <c r="A55" s="20" t="s">
        <v>113</v>
      </c>
      <c r="B55" s="28" t="s">
        <v>114</v>
      </c>
      <c r="C55" s="30">
        <v>155393</v>
      </c>
    </row>
    <row r="56" spans="1:3" ht="18.75" x14ac:dyDescent="0.3">
      <c r="A56" s="20" t="s">
        <v>200</v>
      </c>
      <c r="B56" s="28"/>
      <c r="C56" s="30"/>
    </row>
    <row r="57" spans="1:3" ht="18.75" x14ac:dyDescent="0.3">
      <c r="A57" s="18" t="s">
        <v>115</v>
      </c>
      <c r="B57" s="28" t="s">
        <v>116</v>
      </c>
      <c r="C57" s="30">
        <v>72968</v>
      </c>
    </row>
    <row r="58" spans="1:3" ht="18.75" x14ac:dyDescent="0.3">
      <c r="A58" s="18" t="s">
        <v>117</v>
      </c>
      <c r="B58" s="28" t="s">
        <v>118</v>
      </c>
      <c r="C58" s="30">
        <v>67150</v>
      </c>
    </row>
    <row r="59" spans="1:3" ht="18.75" x14ac:dyDescent="0.3">
      <c r="A59" s="18" t="s">
        <v>119</v>
      </c>
      <c r="B59" s="28" t="s">
        <v>120</v>
      </c>
      <c r="C59" s="30">
        <v>21121</v>
      </c>
    </row>
    <row r="60" spans="1:3" ht="18.75" x14ac:dyDescent="0.3">
      <c r="A60" s="20" t="s">
        <v>199</v>
      </c>
      <c r="B60" s="28">
        <f>B61-B55</f>
        <v>140038</v>
      </c>
      <c r="C60" s="30">
        <f>C61-C55</f>
        <v>161239</v>
      </c>
    </row>
    <row r="61" spans="1:3" ht="18.75" x14ac:dyDescent="0.3">
      <c r="A61" s="20" t="s">
        <v>198</v>
      </c>
      <c r="B61" s="28">
        <f>B70-B69</f>
        <v>282304</v>
      </c>
      <c r="C61" s="30">
        <f>C70-C69</f>
        <v>316632</v>
      </c>
    </row>
    <row r="62" spans="1:3" ht="18.75" x14ac:dyDescent="0.3">
      <c r="A62" s="18" t="s">
        <v>121</v>
      </c>
      <c r="B62" s="28"/>
      <c r="C62" s="25"/>
    </row>
    <row r="63" spans="1:3" ht="18.75" x14ac:dyDescent="0.3">
      <c r="A63" s="18" t="s">
        <v>122</v>
      </c>
      <c r="B63" s="28" t="s">
        <v>123</v>
      </c>
      <c r="C63" s="25" t="s">
        <v>123</v>
      </c>
    </row>
    <row r="64" spans="1:3" ht="18.75" x14ac:dyDescent="0.3">
      <c r="A64" s="18" t="s">
        <v>124</v>
      </c>
      <c r="B64" s="28" t="s">
        <v>125</v>
      </c>
      <c r="C64" s="29">
        <v>108</v>
      </c>
    </row>
    <row r="65" spans="1:3" ht="18.75" x14ac:dyDescent="0.3">
      <c r="A65" s="18" t="s">
        <v>126</v>
      </c>
      <c r="B65" s="28" t="s">
        <v>127</v>
      </c>
      <c r="C65" s="30">
        <v>-7837</v>
      </c>
    </row>
    <row r="66" spans="1:3" ht="18.75" x14ac:dyDescent="0.3">
      <c r="A66" s="18" t="s">
        <v>128</v>
      </c>
      <c r="B66" s="28" t="s">
        <v>129</v>
      </c>
      <c r="C66" s="30">
        <v>75066</v>
      </c>
    </row>
    <row r="67" spans="1:3" ht="18.75" x14ac:dyDescent="0.3">
      <c r="A67" s="18" t="s">
        <v>130</v>
      </c>
      <c r="B67" s="28" t="s">
        <v>131</v>
      </c>
      <c r="C67" s="30">
        <v>-4487</v>
      </c>
    </row>
    <row r="68" spans="1:3" ht="18.75" x14ac:dyDescent="0.3">
      <c r="A68" s="18" t="s">
        <v>132</v>
      </c>
      <c r="B68" s="28" t="s">
        <v>133</v>
      </c>
      <c r="C68" s="30">
        <v>83193</v>
      </c>
    </row>
    <row r="69" spans="1:3" ht="18.75" x14ac:dyDescent="0.3">
      <c r="A69" s="18" t="s">
        <v>134</v>
      </c>
      <c r="B69" s="28" t="s">
        <v>135</v>
      </c>
      <c r="C69" s="30">
        <v>146043</v>
      </c>
    </row>
    <row r="70" spans="1:3" ht="18.75" x14ac:dyDescent="0.3">
      <c r="A70" s="18" t="s">
        <v>136</v>
      </c>
      <c r="B70" s="28" t="s">
        <v>104</v>
      </c>
      <c r="C70" s="30">
        <v>462675</v>
      </c>
    </row>
    <row r="71" spans="1:3" ht="18.75" x14ac:dyDescent="0.3">
      <c r="A71" s="18"/>
      <c r="B71" s="28"/>
      <c r="C71" s="25"/>
    </row>
    <row r="72" spans="1:3" ht="18.75" x14ac:dyDescent="0.3">
      <c r="A72" s="18"/>
      <c r="B72" s="28"/>
      <c r="C72" s="25"/>
    </row>
    <row r="73" spans="1:3" ht="24.75" x14ac:dyDescent="0.4">
      <c r="A73" s="22" t="s">
        <v>195</v>
      </c>
      <c r="B73" s="28"/>
      <c r="C73" s="25"/>
    </row>
    <row r="74" spans="1:3" ht="18.75" x14ac:dyDescent="0.3">
      <c r="A74" s="18"/>
      <c r="B74" s="27"/>
      <c r="C74" s="24"/>
    </row>
    <row r="75" spans="1:3" ht="18.75" x14ac:dyDescent="0.3">
      <c r="A75" s="18" t="s">
        <v>194</v>
      </c>
      <c r="B75" s="28" t="s">
        <v>139</v>
      </c>
      <c r="C75" s="25">
        <v>36477</v>
      </c>
    </row>
    <row r="76" spans="1:3" ht="18.75" x14ac:dyDescent="0.3">
      <c r="A76" s="18" t="s">
        <v>140</v>
      </c>
      <c r="B76" s="28"/>
      <c r="C76" s="25"/>
    </row>
    <row r="77" spans="1:3" ht="18.75" x14ac:dyDescent="0.3">
      <c r="A77" s="18" t="s">
        <v>141</v>
      </c>
      <c r="B77" s="28" t="s">
        <v>142</v>
      </c>
      <c r="C77" s="25">
        <v>-2722</v>
      </c>
    </row>
    <row r="78" spans="1:3" ht="18.75" x14ac:dyDescent="0.3">
      <c r="A78" s="18" t="s">
        <v>143</v>
      </c>
      <c r="B78" s="28"/>
      <c r="C78" s="25"/>
    </row>
    <row r="79" spans="1:3" ht="18.75" x14ac:dyDescent="0.3">
      <c r="A79" s="18"/>
      <c r="B79" s="28"/>
      <c r="C79" s="25"/>
    </row>
    <row r="80" spans="1:3" ht="18.75" x14ac:dyDescent="0.3">
      <c r="A80" s="18" t="s">
        <v>201</v>
      </c>
      <c r="B80" s="28" t="s">
        <v>144</v>
      </c>
      <c r="C80" s="25">
        <v>41921</v>
      </c>
    </row>
    <row r="81" spans="1:3" ht="18.75" x14ac:dyDescent="0.3">
      <c r="A81" s="18" t="s">
        <v>145</v>
      </c>
      <c r="B81" s="28" t="s">
        <v>146</v>
      </c>
      <c r="C81" s="25">
        <v>19621</v>
      </c>
    </row>
    <row r="82" spans="1:3" ht="18.75" x14ac:dyDescent="0.3">
      <c r="A82" s="18" t="s">
        <v>147</v>
      </c>
      <c r="B82" s="28" t="s">
        <v>148</v>
      </c>
      <c r="C82" s="25">
        <v>16966</v>
      </c>
    </row>
    <row r="83" spans="1:3" ht="18.75" x14ac:dyDescent="0.3">
      <c r="A83" s="18" t="s">
        <v>149</v>
      </c>
      <c r="B83" s="28" t="s">
        <v>150</v>
      </c>
      <c r="C83" s="25">
        <v>-8148</v>
      </c>
    </row>
    <row r="84" spans="1:3" ht="18.75" x14ac:dyDescent="0.3">
      <c r="A84" s="18" t="s">
        <v>151</v>
      </c>
      <c r="B84" s="28"/>
      <c r="C84" s="25"/>
    </row>
    <row r="85" spans="1:3" ht="18.75" x14ac:dyDescent="0.3">
      <c r="A85" s="18" t="s">
        <v>89</v>
      </c>
      <c r="B85" s="28" t="s">
        <v>152</v>
      </c>
      <c r="C85" s="25">
        <v>-2592</v>
      </c>
    </row>
    <row r="86" spans="1:3" ht="18.75" x14ac:dyDescent="0.3">
      <c r="A86" s="18" t="s">
        <v>91</v>
      </c>
      <c r="B86" s="28" t="s">
        <v>153</v>
      </c>
      <c r="C86" s="25">
        <v>-21897</v>
      </c>
    </row>
    <row r="87" spans="1:3" ht="18.75" x14ac:dyDescent="0.3">
      <c r="A87" s="18" t="s">
        <v>107</v>
      </c>
      <c r="B87" s="28" t="s">
        <v>154</v>
      </c>
      <c r="C87" s="25">
        <v>2945</v>
      </c>
    </row>
    <row r="88" spans="1:3" ht="18.75" x14ac:dyDescent="0.3">
      <c r="A88" s="18" t="s">
        <v>109</v>
      </c>
      <c r="B88" s="28" t="s">
        <v>155</v>
      </c>
      <c r="C88" s="25">
        <v>-1558</v>
      </c>
    </row>
    <row r="89" spans="1:3" ht="18.75" x14ac:dyDescent="0.3">
      <c r="A89" s="18" t="s">
        <v>111</v>
      </c>
      <c r="B89" s="28" t="s">
        <v>156</v>
      </c>
      <c r="C89" s="25">
        <v>2216</v>
      </c>
    </row>
    <row r="90" spans="1:3" ht="18.75" x14ac:dyDescent="0.3">
      <c r="A90" s="18" t="s">
        <v>157</v>
      </c>
      <c r="B90" s="28" t="s">
        <v>158</v>
      </c>
      <c r="C90" s="25">
        <v>46752</v>
      </c>
    </row>
    <row r="91" spans="1:3" ht="18.75" x14ac:dyDescent="0.3">
      <c r="A91" s="18" t="s">
        <v>159</v>
      </c>
      <c r="B91" s="28"/>
      <c r="C91" s="25"/>
    </row>
    <row r="92" spans="1:3" ht="18.75" x14ac:dyDescent="0.3">
      <c r="A92" s="18" t="s">
        <v>160</v>
      </c>
      <c r="B92" s="28" t="s">
        <v>161</v>
      </c>
      <c r="C92" s="25">
        <v>-63645</v>
      </c>
    </row>
    <row r="93" spans="1:3" ht="18.75" x14ac:dyDescent="0.3">
      <c r="A93" s="18" t="s">
        <v>162</v>
      </c>
      <c r="B93" s="28" t="s">
        <v>163</v>
      </c>
      <c r="C93" s="25">
        <v>5324</v>
      </c>
    </row>
    <row r="94" spans="1:3" ht="18.75" x14ac:dyDescent="0.3">
      <c r="A94" s="18" t="s">
        <v>164</v>
      </c>
      <c r="B94" s="28" t="s">
        <v>165</v>
      </c>
      <c r="C94" s="25">
        <v>-8316</v>
      </c>
    </row>
    <row r="95" spans="1:3" ht="18.75" x14ac:dyDescent="0.3">
      <c r="A95" s="18" t="s">
        <v>166</v>
      </c>
      <c r="B95" s="28" t="s">
        <v>167</v>
      </c>
      <c r="C95" s="25">
        <v>31601</v>
      </c>
    </row>
    <row r="96" spans="1:3" ht="18.75" x14ac:dyDescent="0.3">
      <c r="A96" s="18" t="s">
        <v>168</v>
      </c>
      <c r="B96" s="28" t="s">
        <v>169</v>
      </c>
      <c r="C96" s="25">
        <v>-2565</v>
      </c>
    </row>
    <row r="97" spans="1:3" ht="18.75" x14ac:dyDescent="0.3">
      <c r="A97" s="18" t="s">
        <v>170</v>
      </c>
      <c r="B97" s="28" t="s">
        <v>171</v>
      </c>
      <c r="C97" s="25">
        <v>-37601</v>
      </c>
    </row>
    <row r="98" spans="1:3" ht="18.75" x14ac:dyDescent="0.3">
      <c r="A98" s="18" t="s">
        <v>172</v>
      </c>
      <c r="B98" s="28"/>
      <c r="C98" s="25"/>
    </row>
    <row r="99" spans="1:3" ht="18.75" x14ac:dyDescent="0.3">
      <c r="A99" s="18" t="s">
        <v>173</v>
      </c>
      <c r="B99" s="28" t="s">
        <v>123</v>
      </c>
      <c r="C99" s="25">
        <v>-6000</v>
      </c>
    </row>
    <row r="100" spans="1:3" ht="18.75" x14ac:dyDescent="0.3">
      <c r="A100" s="18" t="s">
        <v>174</v>
      </c>
      <c r="B100" s="28" t="s">
        <v>175</v>
      </c>
      <c r="C100" s="25">
        <v>41553</v>
      </c>
    </row>
    <row r="101" spans="1:3" ht="18.75" x14ac:dyDescent="0.3">
      <c r="A101" s="18" t="s">
        <v>176</v>
      </c>
      <c r="B101" s="28" t="s">
        <v>177</v>
      </c>
      <c r="C101" s="25">
        <v>-37554</v>
      </c>
    </row>
    <row r="102" spans="1:3" ht="18.75" x14ac:dyDescent="0.3">
      <c r="A102" s="18" t="s">
        <v>178</v>
      </c>
      <c r="B102" s="28" t="s">
        <v>179</v>
      </c>
      <c r="C102" s="25">
        <v>21166</v>
      </c>
    </row>
    <row r="103" spans="1:3" ht="18.75" x14ac:dyDescent="0.3">
      <c r="A103" s="18" t="s">
        <v>180</v>
      </c>
      <c r="B103" s="28" t="s">
        <v>181</v>
      </c>
      <c r="C103" s="25">
        <v>-1258</v>
      </c>
    </row>
    <row r="104" spans="1:3" ht="18.75" x14ac:dyDescent="0.3">
      <c r="A104" s="18" t="s">
        <v>182</v>
      </c>
      <c r="B104" s="28" t="s">
        <v>183</v>
      </c>
      <c r="C104" s="25">
        <v>-7941</v>
      </c>
    </row>
    <row r="105" spans="1:3" ht="18.75" x14ac:dyDescent="0.3">
      <c r="A105" s="18" t="s">
        <v>184</v>
      </c>
      <c r="B105" s="28" t="s">
        <v>185</v>
      </c>
      <c r="C105" s="25">
        <v>-248</v>
      </c>
    </row>
    <row r="106" spans="1:3" ht="18.75" x14ac:dyDescent="0.3">
      <c r="A106" s="18" t="s">
        <v>186</v>
      </c>
      <c r="B106" s="28" t="s">
        <v>187</v>
      </c>
      <c r="C106" s="25">
        <v>9718</v>
      </c>
    </row>
    <row r="107" spans="1:3" ht="18.75" x14ac:dyDescent="0.3">
      <c r="A107" s="18" t="s">
        <v>188</v>
      </c>
      <c r="B107" s="28" t="s">
        <v>189</v>
      </c>
      <c r="C107" s="25">
        <v>-1093</v>
      </c>
    </row>
    <row r="108" spans="1:3" ht="18.75" x14ac:dyDescent="0.3">
      <c r="A108" s="18" t="s">
        <v>190</v>
      </c>
      <c r="B108" s="28" t="s">
        <v>191</v>
      </c>
      <c r="C108" s="25">
        <v>17776</v>
      </c>
    </row>
    <row r="109" spans="1:3" ht="18.75" x14ac:dyDescent="0.3">
      <c r="A109" s="18" t="s">
        <v>192</v>
      </c>
      <c r="B109" s="28" t="s">
        <v>193</v>
      </c>
      <c r="C109" s="25">
        <v>54253</v>
      </c>
    </row>
  </sheetData>
  <mergeCells count="2">
    <mergeCell ref="A2:C2"/>
    <mergeCell ref="B3:C3"/>
  </mergeCells>
  <phoneticPr fontId="1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tabSelected="1" topLeftCell="A46" workbookViewId="0">
      <selection activeCell="M3" sqref="M3"/>
    </sheetView>
  </sheetViews>
  <sheetFormatPr defaultRowHeight="15" x14ac:dyDescent="0.25"/>
  <cols>
    <col min="1" max="1" width="4.7109375" customWidth="1"/>
    <col min="2" max="2" width="44.85546875" customWidth="1"/>
    <col min="3" max="3" width="9.5703125" bestFit="1" customWidth="1"/>
  </cols>
  <sheetData>
    <row r="1" spans="1:10" ht="60" customHeight="1" x14ac:dyDescent="0.4">
      <c r="A1" s="7"/>
      <c r="B1" s="12" t="s">
        <v>79</v>
      </c>
      <c r="C1" s="13"/>
      <c r="D1" s="13"/>
      <c r="E1" s="13"/>
      <c r="F1" s="13"/>
      <c r="G1" s="13"/>
      <c r="H1" s="13"/>
      <c r="I1" s="13"/>
      <c r="J1" s="13"/>
    </row>
    <row r="2" spans="1:10" x14ac:dyDescent="0.25">
      <c r="C2" s="36" t="s">
        <v>220</v>
      </c>
      <c r="D2" s="36"/>
      <c r="E2" s="36"/>
    </row>
    <row r="3" spans="1:10" x14ac:dyDescent="0.25">
      <c r="C3" s="9">
        <v>2021</v>
      </c>
      <c r="D3" s="9">
        <v>2022</v>
      </c>
      <c r="E3" s="9"/>
    </row>
    <row r="4" spans="1:10" x14ac:dyDescent="0.25">
      <c r="A4" s="14">
        <v>1</v>
      </c>
      <c r="B4" s="9" t="s">
        <v>11</v>
      </c>
    </row>
    <row r="5" spans="1:10" x14ac:dyDescent="0.25">
      <c r="A5" s="14">
        <f>+A4+0.1</f>
        <v>1.1000000000000001</v>
      </c>
      <c r="B5" s="1" t="s">
        <v>12</v>
      </c>
      <c r="C5">
        <f>'Financial statements'!B42/'Financial statements'!B55</f>
        <v>1.1357597739445826</v>
      </c>
      <c r="D5">
        <f>'Financial statements'!C42/'Financial statements'!C55</f>
        <v>0.9446435811136924</v>
      </c>
    </row>
    <row r="6" spans="1:10" x14ac:dyDescent="0.25">
      <c r="A6" s="14">
        <f t="shared" ref="A6:A13" si="0">+A5+0.1</f>
        <v>1.2000000000000002</v>
      </c>
      <c r="B6" s="1" t="s">
        <v>13</v>
      </c>
      <c r="C6">
        <f>('Financial statements'!B38+'Financial statements'!B41)/'Financial statements'!B55</f>
        <v>0.48578718738138416</v>
      </c>
      <c r="D6">
        <f>('Financial statements'!C38+'Financial statements'!C41)/'Financial statements'!C55</f>
        <v>0.6193843995546775</v>
      </c>
    </row>
    <row r="7" spans="1:10" x14ac:dyDescent="0.25">
      <c r="A7" s="14">
        <f t="shared" si="0"/>
        <v>1.3000000000000003</v>
      </c>
      <c r="B7" s="1" t="s">
        <v>14</v>
      </c>
      <c r="C7">
        <f>'Financial statements'!B38/'Financial statements'!B55</f>
        <v>0.25459350793583851</v>
      </c>
      <c r="D7">
        <f>'Financial statements'!C38/'Financial statements'!C55</f>
        <v>0.34678524772673158</v>
      </c>
    </row>
    <row r="8" spans="1:10" x14ac:dyDescent="0.25">
      <c r="A8" s="14">
        <f t="shared" si="0"/>
        <v>1.4000000000000004</v>
      </c>
      <c r="B8" s="1" t="s">
        <v>15</v>
      </c>
      <c r="C8">
        <f>'Financial statements'!B42/(('Financial statements'!B18-'Financial statements'!B80)/365)</f>
        <v>143.66690214611094</v>
      </c>
      <c r="D8">
        <f>('Financial statements'!C42/(('Financial statements'!C18-'Financial statements'!C80)/365))</f>
        <v>116.52258304444841</v>
      </c>
    </row>
    <row r="9" spans="1:10" x14ac:dyDescent="0.25">
      <c r="A9" s="14">
        <f t="shared" si="0"/>
        <v>1.5000000000000004</v>
      </c>
      <c r="B9" s="1" t="s">
        <v>16</v>
      </c>
      <c r="C9">
        <f>((('Financial statements'!B40+'Financial statements'!B85)/2)/'Financial statements'!B12)*365</f>
        <v>15.51501960755515</v>
      </c>
      <c r="D9">
        <f>((('Financial statements'!C40+'Financial statements'!C85)/2)/'Financial statements'!C12)*365</f>
        <v>20.101278948589314</v>
      </c>
    </row>
    <row r="10" spans="1:10" x14ac:dyDescent="0.25">
      <c r="A10" s="14">
        <f t="shared" si="0"/>
        <v>1.6000000000000005</v>
      </c>
      <c r="B10" s="1" t="s">
        <v>17</v>
      </c>
      <c r="C10">
        <f>('Financial statements'!B52*365)/'Financial statements'!B12</f>
        <v>105.42681314807743</v>
      </c>
      <c r="D10">
        <f>('Financial statements'!C52*365)/'Financial statements'!C12</f>
        <v>100.59169548975007</v>
      </c>
    </row>
    <row r="11" spans="1:10" x14ac:dyDescent="0.25">
      <c r="A11" s="14">
        <f t="shared" si="0"/>
        <v>1.7000000000000006</v>
      </c>
      <c r="B11" s="1" t="s">
        <v>18</v>
      </c>
      <c r="C11">
        <f>('Financial statements'!B41*365)/'Financial statements'!B10</f>
        <v>25.552688039299991</v>
      </c>
      <c r="D11">
        <f>('Financial statements'!C41*365)/'Financial statements'!C10</f>
        <v>30.081539661817608</v>
      </c>
    </row>
    <row r="12" spans="1:10" x14ac:dyDescent="0.25">
      <c r="A12" s="14">
        <f t="shared" si="0"/>
        <v>1.8000000000000007</v>
      </c>
      <c r="B12" s="1" t="s">
        <v>19</v>
      </c>
      <c r="C12">
        <f>C11+C9-C10</f>
        <v>-64.359105501222288</v>
      </c>
      <c r="D12">
        <f>D11+D9-D10</f>
        <v>-50.40887687934314</v>
      </c>
    </row>
    <row r="13" spans="1:10" x14ac:dyDescent="0.25">
      <c r="A13" s="14">
        <f t="shared" si="0"/>
        <v>1.9000000000000008</v>
      </c>
      <c r="B13" s="1" t="s">
        <v>20</v>
      </c>
      <c r="C13" s="31">
        <f>C14/'Financial statements'!B10</f>
        <v>4.1109186032156859E-2</v>
      </c>
      <c r="D13" s="32">
        <f>D14/'Financial statements'!C10</f>
        <v>-1.6735962084349094E-2</v>
      </c>
    </row>
    <row r="14" spans="1:10" x14ac:dyDescent="0.25">
      <c r="A14" s="14"/>
      <c r="B14" s="11" t="s">
        <v>21</v>
      </c>
      <c r="C14">
        <f>'Financial statements'!B42-'Financial statements'!B55</f>
        <v>19314</v>
      </c>
      <c r="D14" s="10">
        <f>'Financial statements'!C42-'Financial statements'!C55</f>
        <v>-8602</v>
      </c>
    </row>
    <row r="15" spans="1:10" x14ac:dyDescent="0.25">
      <c r="A15" s="14"/>
    </row>
    <row r="16" spans="1:10" x14ac:dyDescent="0.25">
      <c r="A16" s="14">
        <f>+A4+1</f>
        <v>2</v>
      </c>
      <c r="B16" s="15" t="s">
        <v>22</v>
      </c>
    </row>
    <row r="17" spans="1:4" x14ac:dyDescent="0.25">
      <c r="A17" s="14">
        <f>+A16+0.1</f>
        <v>2.1</v>
      </c>
      <c r="B17" s="1" t="s">
        <v>10</v>
      </c>
      <c r="C17" s="32">
        <f>('Financial statements'!B10-'Financial statements'!B12)/'Financial statements'!B10</f>
        <v>0.42032514441639601</v>
      </c>
      <c r="D17" s="33">
        <f>('Financial statements'!C10-'Financial statements'!C12)/'Financial statements'!C10</f>
        <v>0.43805339865326287</v>
      </c>
    </row>
    <row r="18" spans="1:4" x14ac:dyDescent="0.25">
      <c r="A18" s="14">
        <f>+A17+0.1</f>
        <v>2.2000000000000002</v>
      </c>
      <c r="B18" s="1" t="s">
        <v>23</v>
      </c>
      <c r="C18" s="33">
        <f>C19/'Financial statements'!B10</f>
        <v>0.12624355607017126</v>
      </c>
      <c r="D18" s="32">
        <f>D19/'Financial statements'!C10</f>
        <v>0.10539064521589235</v>
      </c>
    </row>
    <row r="19" spans="1:4" x14ac:dyDescent="0.25">
      <c r="A19" s="14"/>
      <c r="B19" s="11" t="s">
        <v>24</v>
      </c>
      <c r="C19">
        <f>Table039__Page_37[[#This Row],[2021]]+'Financial statements'!B80</f>
        <v>59312</v>
      </c>
      <c r="D19">
        <f>'Financial statements'!C19+'Financial statements'!C80</f>
        <v>54169</v>
      </c>
    </row>
    <row r="20" spans="1:4" x14ac:dyDescent="0.25">
      <c r="A20" s="14">
        <f>+A18+0.1</f>
        <v>2.3000000000000003</v>
      </c>
      <c r="B20" s="1" t="s">
        <v>25</v>
      </c>
      <c r="C20" s="33">
        <f>C21/'Financial statements'!B10</f>
        <v>-0.36737104690712652</v>
      </c>
      <c r="D20" s="33">
        <f>D21/'Financial statements'!C10</f>
        <v>-0.4142238167410206</v>
      </c>
    </row>
    <row r="21" spans="1:4" x14ac:dyDescent="0.25">
      <c r="A21" s="14"/>
      <c r="B21" s="11" t="s">
        <v>26</v>
      </c>
      <c r="C21">
        <f>'Financial statements'!B12-'Financial statements'!B18</f>
        <v>-172599</v>
      </c>
      <c r="D21">
        <f>'Financial statements'!C12-'Financial statements'!C18</f>
        <v>-212904</v>
      </c>
    </row>
    <row r="22" spans="1:4" x14ac:dyDescent="0.25">
      <c r="A22" s="14">
        <f>+A20+0.1</f>
        <v>2.4000000000000004</v>
      </c>
      <c r="B22" s="1" t="s">
        <v>27</v>
      </c>
      <c r="C22" s="33">
        <f>'Financial statements'!B75/'Financial statements'!B10</f>
        <v>9.0197989877017257E-2</v>
      </c>
      <c r="D22" s="33">
        <f>'Financial statements'!C75/'Financial statements'!C10</f>
        <v>7.0969273302813524E-2</v>
      </c>
    </row>
    <row r="23" spans="1:4" x14ac:dyDescent="0.25">
      <c r="A23" s="14"/>
    </row>
    <row r="24" spans="1:4" x14ac:dyDescent="0.25">
      <c r="A24" s="14">
        <f>+A16+1</f>
        <v>3</v>
      </c>
      <c r="B24" s="9" t="s">
        <v>28</v>
      </c>
    </row>
    <row r="25" spans="1:4" x14ac:dyDescent="0.25">
      <c r="A25" s="14">
        <f>+A24+0.1</f>
        <v>3.1</v>
      </c>
      <c r="B25" s="1" t="s">
        <v>29</v>
      </c>
      <c r="C25">
        <f>'Financial statements'!B58/'Financial statements'!B69</f>
        <v>0.35259141379435061</v>
      </c>
      <c r="D25">
        <f>'Financial statements'!C58/'Financial statements'!C69</f>
        <v>0.45979608745369516</v>
      </c>
    </row>
    <row r="26" spans="1:4" x14ac:dyDescent="0.25">
      <c r="A26" s="14">
        <f t="shared" ref="A26:A30" si="1">+A25+0.1</f>
        <v>3.2</v>
      </c>
      <c r="B26" s="1" t="s">
        <v>30</v>
      </c>
      <c r="C26">
        <f>'Financial statements'!B58/'Financial statements'!B49</f>
        <v>0.11590563763081116</v>
      </c>
      <c r="D26">
        <f>'Financial statements'!C58/'Financial statements'!C49</f>
        <v>0.14513427351812827</v>
      </c>
    </row>
    <row r="27" spans="1:4" x14ac:dyDescent="0.25">
      <c r="A27" s="14">
        <f t="shared" si="1"/>
        <v>3.3000000000000003</v>
      </c>
      <c r="B27" s="1" t="s">
        <v>31</v>
      </c>
      <c r="C27">
        <f>'Financial statements'!B58/('Financial statements'!B58+'Financial statements'!B69)</f>
        <v>0.26067843562990334</v>
      </c>
      <c r="D27">
        <f>('Financial statements'!C58)/('Financial statements'!C58+'Financial statements'!C69)</f>
        <v>0.31497281805687805</v>
      </c>
    </row>
    <row r="28" spans="1:4" x14ac:dyDescent="0.25">
      <c r="A28" s="14">
        <f t="shared" si="1"/>
        <v>3.4000000000000004</v>
      </c>
      <c r="B28" s="1" t="s">
        <v>32</v>
      </c>
      <c r="C28">
        <f>C21/'Financial statements'!B21</f>
        <v>95.411276948590384</v>
      </c>
      <c r="D28">
        <f>D21/'Financial statements'!C21</f>
        <v>89.946768060836504</v>
      </c>
    </row>
    <row r="29" spans="1:4" x14ac:dyDescent="0.25">
      <c r="A29" s="14">
        <f t="shared" si="1"/>
        <v>3.5000000000000004</v>
      </c>
      <c r="B29" s="1" t="s">
        <v>33</v>
      </c>
      <c r="C29">
        <f>C21/('Financial statements'!B21+'Financial statements'!B100+'Financial statements'!B102)</f>
        <v>-6.8627833001988074</v>
      </c>
      <c r="D29">
        <f>D21/('Financial statements'!C21+'Financial statements'!C100+'Financial statements'!C102)</f>
        <v>-3.5277041357370096</v>
      </c>
    </row>
    <row r="30" spans="1:4" x14ac:dyDescent="0.25">
      <c r="A30" s="14">
        <f t="shared" si="1"/>
        <v>3.6000000000000005</v>
      </c>
      <c r="B30" s="1" t="s">
        <v>34</v>
      </c>
    </row>
    <row r="31" spans="1:4" x14ac:dyDescent="0.25">
      <c r="A31" s="14"/>
      <c r="B31" s="11" t="s">
        <v>35</v>
      </c>
      <c r="C31">
        <f>'Financial statements'!B90+'Financial statements'!B92+'Financial statements'!B102+'Financial statements'!B103</f>
        <v>2687</v>
      </c>
      <c r="D31">
        <f>'Financial statements'!C90+'Financial statements'!C92+'Financial statements'!C102+'Financial statements'!C103</f>
        <v>3015</v>
      </c>
    </row>
    <row r="32" spans="1:4" x14ac:dyDescent="0.25">
      <c r="A32" s="14"/>
    </row>
    <row r="33" spans="1:5" x14ac:dyDescent="0.25">
      <c r="A33" s="14">
        <f>+A24+1</f>
        <v>4</v>
      </c>
      <c r="B33" s="15" t="s">
        <v>36</v>
      </c>
    </row>
    <row r="34" spans="1:5" x14ac:dyDescent="0.25">
      <c r="A34" s="14">
        <f>+A33+0.1</f>
        <v>4.0999999999999996</v>
      </c>
      <c r="B34" s="1" t="s">
        <v>37</v>
      </c>
      <c r="C34">
        <f>'Financial statements'!B10/'Financial statements'!B49</f>
        <v>1.1171635172120253</v>
      </c>
      <c r="D34">
        <f>'Financial statements'!C10/'Financial statements'!C49</f>
        <v>1.1108942562273734</v>
      </c>
    </row>
    <row r="35" spans="1:5" x14ac:dyDescent="0.25">
      <c r="A35" s="14">
        <f t="shared" ref="A35:A37" si="2">+A34+0.1</f>
        <v>4.1999999999999993</v>
      </c>
      <c r="B35" s="1" t="s">
        <v>38</v>
      </c>
      <c r="C35" s="34">
        <f>'Financial statements'!B10/(('Financial statements'!B44+113114)/2)</f>
        <v>3.4369465425483274</v>
      </c>
      <c r="D35">
        <f>'Financial statements'!C10/(('Financial statements'!B44+'Financial statements'!C44)/2)</f>
        <v>2.9624721898811512</v>
      </c>
    </row>
    <row r="36" spans="1:5" x14ac:dyDescent="0.25">
      <c r="A36" s="14">
        <f t="shared" si="2"/>
        <v>4.2999999999999989</v>
      </c>
      <c r="B36" s="1" t="s">
        <v>39</v>
      </c>
      <c r="C36">
        <f>'Financial statements'!B12/(('Financial statements'!B40+23795)/2)</f>
        <v>9.6515991849029863</v>
      </c>
      <c r="D36">
        <f>'Financial statements'!C12/(('Financial statements'!C40+'Financial statements'!B40)/2)</f>
        <v>8.6160340070102173</v>
      </c>
    </row>
    <row r="37" spans="1:5" x14ac:dyDescent="0.25">
      <c r="A37" s="14">
        <f t="shared" si="2"/>
        <v>4.3999999999999986</v>
      </c>
      <c r="B37" s="1" t="s">
        <v>40</v>
      </c>
      <c r="C37">
        <f>'Financial statements'!B27/'Financial statements'!B49</f>
        <v>7.9334393851846041E-2</v>
      </c>
      <c r="D37">
        <f>'Financial statements'!C27/'Financial statements'!C49</f>
        <v>-5.8831793375479545E-3</v>
      </c>
    </row>
    <row r="38" spans="1:5" x14ac:dyDescent="0.25">
      <c r="A38" s="14"/>
    </row>
    <row r="39" spans="1:5" x14ac:dyDescent="0.25">
      <c r="A39" s="14">
        <f>+A33+1</f>
        <v>5</v>
      </c>
      <c r="B39" s="15" t="s">
        <v>41</v>
      </c>
    </row>
    <row r="40" spans="1:5" x14ac:dyDescent="0.25">
      <c r="A40" s="14">
        <f>+A39+0.1</f>
        <v>5.0999999999999996</v>
      </c>
      <c r="B40" s="1" t="s">
        <v>42</v>
      </c>
    </row>
    <row r="41" spans="1:5" x14ac:dyDescent="0.25">
      <c r="A41" s="14">
        <f t="shared" ref="A41:A44" si="3">+A40+0.1</f>
        <v>5.1999999999999993</v>
      </c>
      <c r="B41" s="11" t="s">
        <v>43</v>
      </c>
    </row>
    <row r="42" spans="1:5" x14ac:dyDescent="0.25">
      <c r="A42" s="14">
        <f t="shared" si="3"/>
        <v>5.2999999999999989</v>
      </c>
      <c r="B42" s="1" t="s">
        <v>44</v>
      </c>
    </row>
    <row r="43" spans="1:5" x14ac:dyDescent="0.25">
      <c r="A43" s="14">
        <f t="shared" si="3"/>
        <v>5.3999999999999986</v>
      </c>
      <c r="B43" s="11" t="s">
        <v>45</v>
      </c>
      <c r="C43">
        <f>'Financial statements'!B69/'Financial statements'!B31</f>
        <v>13.66462390036572</v>
      </c>
      <c r="D43">
        <f>'Financial statements'!C69/'Financial statements'!C31</f>
        <v>14.333398763372264</v>
      </c>
    </row>
    <row r="44" spans="1:5" x14ac:dyDescent="0.25">
      <c r="A44" s="14">
        <f t="shared" si="3"/>
        <v>5.4999999999999982</v>
      </c>
      <c r="B44" s="1" t="s">
        <v>46</v>
      </c>
      <c r="C44" t="s">
        <v>202</v>
      </c>
      <c r="D44" t="s">
        <v>202</v>
      </c>
    </row>
    <row r="45" spans="1:5" x14ac:dyDescent="0.25">
      <c r="A45" s="14"/>
      <c r="B45" s="11" t="s">
        <v>47</v>
      </c>
      <c r="C45" t="s">
        <v>202</v>
      </c>
      <c r="D45" t="s">
        <v>202</v>
      </c>
    </row>
    <row r="46" spans="1:5" x14ac:dyDescent="0.25">
      <c r="A46" s="14">
        <f>+A44+0.1</f>
        <v>5.5999999999999979</v>
      </c>
      <c r="B46" s="1" t="s">
        <v>48</v>
      </c>
      <c r="C46" t="s">
        <v>202</v>
      </c>
      <c r="D46" t="s">
        <v>202</v>
      </c>
    </row>
    <row r="47" spans="1:5" x14ac:dyDescent="0.25">
      <c r="A47" s="14">
        <f t="shared" ref="A47:A50" si="4">+A45+0.1</f>
        <v>0.1</v>
      </c>
      <c r="B47" s="1" t="s">
        <v>49</v>
      </c>
      <c r="C47">
        <f>'Financial statements'!B27/'Financial statements'!B69</f>
        <v>0.2413396506202756</v>
      </c>
      <c r="D47">
        <f>'Financial statements'!C27/'Financial statements'!C69</f>
        <v>-1.8638346240490815E-2</v>
      </c>
    </row>
    <row r="48" spans="1:5" x14ac:dyDescent="0.25">
      <c r="A48" s="14">
        <f t="shared" si="4"/>
        <v>5.6999999999999975</v>
      </c>
      <c r="B48" s="1" t="s">
        <v>50</v>
      </c>
      <c r="C48">
        <f>C21/('Financial statements'!B58+'Financial statements'!B69)</f>
        <v>-0.92304360149527509</v>
      </c>
      <c r="D48">
        <f>D21/('Financial statements'!C69+'Financial statements'!C58)</f>
        <v>-0.99864442078304638</v>
      </c>
    </row>
    <row r="49" spans="1:4" x14ac:dyDescent="0.25">
      <c r="A49" s="14">
        <f t="shared" si="4"/>
        <v>0.2</v>
      </c>
      <c r="B49" s="1" t="s">
        <v>40</v>
      </c>
      <c r="C49">
        <f>C37</f>
        <v>7.9334393851846041E-2</v>
      </c>
      <c r="D49">
        <f>D37</f>
        <v>-5.8831793375479545E-3</v>
      </c>
    </row>
    <row r="50" spans="1:4" x14ac:dyDescent="0.25">
      <c r="A50" s="14">
        <f t="shared" si="4"/>
        <v>5.7999999999999972</v>
      </c>
      <c r="B50" s="1" t="s">
        <v>51</v>
      </c>
      <c r="C50">
        <f>C51/C19</f>
        <v>33.093455624494197</v>
      </c>
      <c r="D50">
        <f>D51/D19</f>
        <v>20.650556591408371</v>
      </c>
    </row>
    <row r="51" spans="1:4" x14ac:dyDescent="0.25">
      <c r="A51" s="14"/>
      <c r="B51" s="11" t="s">
        <v>52</v>
      </c>
      <c r="C51">
        <f>C52+'Financial statements'!B61-'Financial statements'!B38</f>
        <v>1962839.04</v>
      </c>
      <c r="D51" s="10">
        <f>D52+'Financial statements'!C61-'Financial statements'!C38</f>
        <v>1118620</v>
      </c>
    </row>
    <row r="52" spans="1:4" x14ac:dyDescent="0.25">
      <c r="A52" s="14"/>
      <c r="B52" s="11" t="s">
        <v>219</v>
      </c>
      <c r="C52">
        <f>C53*'Financial statements'!B32</f>
        <v>1716755.04</v>
      </c>
      <c r="D52">
        <f>D53*'Financial statements'!C32</f>
        <v>855876</v>
      </c>
    </row>
    <row r="53" spans="1:4" x14ac:dyDescent="0.25">
      <c r="A53" s="14"/>
      <c r="B53" s="11" t="s">
        <v>218</v>
      </c>
      <c r="C53">
        <v>166.74</v>
      </c>
      <c r="D53">
        <v>84</v>
      </c>
    </row>
    <row r="55" spans="1:4" x14ac:dyDescent="0.25">
      <c r="A55">
        <v>6</v>
      </c>
      <c r="B55" s="1" t="s">
        <v>203</v>
      </c>
    </row>
    <row r="56" spans="1:4" x14ac:dyDescent="0.25">
      <c r="A56">
        <v>6.1</v>
      </c>
      <c r="B56" s="1" t="s">
        <v>204</v>
      </c>
      <c r="C56" s="33">
        <f>('Financial statements'!B8/215915)-1</f>
        <v>0.11982493110714865</v>
      </c>
      <c r="D56" s="33">
        <f>('Financial statements'!C8/'Financial statements'!B8)-1</f>
        <v>4.6073610243726471E-3</v>
      </c>
    </row>
    <row r="57" spans="1:4" x14ac:dyDescent="0.25">
      <c r="A57">
        <v>6.2</v>
      </c>
      <c r="B57" s="1" t="s">
        <v>205</v>
      </c>
      <c r="C57" s="33">
        <f>('Financial statements'!B9/170149)-1</f>
        <v>0.34020770030972858</v>
      </c>
      <c r="D57" s="33">
        <f>('Financial statements'!C9/'Financial statements'!B9)-1</f>
        <v>0.18877365316727701</v>
      </c>
    </row>
    <row r="58" spans="1:4" x14ac:dyDescent="0.25">
      <c r="A58">
        <v>6.3</v>
      </c>
      <c r="B58" s="1" t="s">
        <v>206</v>
      </c>
      <c r="C58" s="33">
        <f>('Financial statements'!B10/386064)-1</f>
        <v>0.21695366571345676</v>
      </c>
      <c r="D58" s="33">
        <f>('Financial statements'!C10/'Financial statements'!B10)-1</f>
        <v>9.399517263985091E-2</v>
      </c>
    </row>
    <row r="59" spans="1:4" x14ac:dyDescent="0.25">
      <c r="A59">
        <v>6.4</v>
      </c>
      <c r="B59" s="1" t="s">
        <v>207</v>
      </c>
      <c r="C59" s="33">
        <f>('Financial statements'!B42/132733)-1</f>
        <v>0.21733103297597434</v>
      </c>
      <c r="D59" s="33">
        <f>('Financial statements'!C42/'Financial statements'!B42)-1</f>
        <v>-9.1527416759499935E-2</v>
      </c>
    </row>
    <row r="60" spans="1:4" x14ac:dyDescent="0.25">
      <c r="A60">
        <v>6.5</v>
      </c>
      <c r="B60" s="1" t="s">
        <v>208</v>
      </c>
      <c r="C60" s="33">
        <f>('Financial statements'!B48/(321195-132733))-1</f>
        <v>0.37411785930320174</v>
      </c>
      <c r="D60" s="33">
        <f>('Financial statements'!C48/'Financial statements'!B48)-1</f>
        <v>0.21977533990554865</v>
      </c>
    </row>
    <row r="61" spans="1:4" x14ac:dyDescent="0.25">
      <c r="A61">
        <v>6.6</v>
      </c>
      <c r="B61" s="1" t="s">
        <v>103</v>
      </c>
      <c r="C61" s="33">
        <f>('Financial statements'!B49/321195)-1</f>
        <v>0.309326110306823</v>
      </c>
      <c r="D61" s="33">
        <f>('Financial statements'!C49/'Financial statements'!B49)-1</f>
        <v>0.10016906472254128</v>
      </c>
    </row>
    <row r="62" spans="1:4" x14ac:dyDescent="0.25">
      <c r="A62">
        <v>6.7</v>
      </c>
      <c r="B62" s="1" t="s">
        <v>209</v>
      </c>
      <c r="C62" s="33">
        <f>('Financial statements'!B55/126385)-1</f>
        <v>0.12565573446215939</v>
      </c>
      <c r="D62" s="33">
        <f>('Financial statements'!C55/'Financial statements'!B55)-1</f>
        <v>9.2270816639253184E-2</v>
      </c>
    </row>
    <row r="63" spans="1:4" x14ac:dyDescent="0.25">
      <c r="A63">
        <v>6.8</v>
      </c>
      <c r="B63" s="1" t="s">
        <v>210</v>
      </c>
      <c r="C63" s="33">
        <f>('Financial statements'!B60/(321195-93404-126385))-1</f>
        <v>0.38096365106601193</v>
      </c>
      <c r="D63" s="33">
        <f>('Financial statements'!C60/'Financial statements'!B60)-1</f>
        <v>0.15139462145988936</v>
      </c>
    </row>
    <row r="64" spans="1:4" x14ac:dyDescent="0.25">
      <c r="A64">
        <v>6.9</v>
      </c>
      <c r="B64" s="1" t="s">
        <v>198</v>
      </c>
      <c r="C64" s="33">
        <f>('Financial statements'!B61/(321195-93404))-1</f>
        <v>0.23931147411442955</v>
      </c>
      <c r="D64" s="33">
        <f>('Financial statements'!C61/'Financial statements'!B61)-1</f>
        <v>0.12159941056449775</v>
      </c>
    </row>
    <row r="66" spans="1:4" x14ac:dyDescent="0.25">
      <c r="A66">
        <v>7</v>
      </c>
      <c r="B66" s="1" t="s">
        <v>211</v>
      </c>
    </row>
    <row r="67" spans="1:4" x14ac:dyDescent="0.25">
      <c r="A67">
        <v>7.1</v>
      </c>
      <c r="B67" s="1" t="s">
        <v>63</v>
      </c>
      <c r="C67" s="33">
        <f>('Financial statements'!B15/22008)-1</f>
        <v>0.47905307161032362</v>
      </c>
      <c r="D67" s="33">
        <f>('Financial statements'!C15/'Financial statements'!B15)-1</f>
        <v>0.29759454394642249</v>
      </c>
    </row>
    <row r="68" spans="1:4" x14ac:dyDescent="0.25">
      <c r="A68">
        <v>7.2</v>
      </c>
      <c r="B68" s="1" t="s">
        <v>217</v>
      </c>
      <c r="C68" s="33">
        <f>('Financial statements'!B16/6668)-1</f>
        <v>0.32318536292741462</v>
      </c>
      <c r="D68" s="33">
        <f>('Financial statements'!C16/'Financial statements'!B16)-1</f>
        <v>0.34772753031848569</v>
      </c>
    </row>
    <row r="69" spans="1:4" x14ac:dyDescent="0.25">
      <c r="A69">
        <v>7.3</v>
      </c>
      <c r="B69" s="1" t="s">
        <v>61</v>
      </c>
      <c r="C69" s="33">
        <f>('Financial statements'!B13/58517)-1</f>
        <v>0.28357571304065488</v>
      </c>
      <c r="D69" s="33">
        <f>('Financial statements'!C13/'Financial statements'!B13)-1</f>
        <v>0.12232562474204833</v>
      </c>
    </row>
    <row r="70" spans="1:4" x14ac:dyDescent="0.25">
      <c r="A70">
        <v>7.4</v>
      </c>
      <c r="B70" s="1" t="s">
        <v>62</v>
      </c>
      <c r="C70" s="33">
        <f>('Financial statements'!B14/42740)-1</f>
        <v>0.31146467009826861</v>
      </c>
      <c r="D70" s="33">
        <f>('Financial statements'!C14/'Financial statements'!B14)-1</f>
        <v>0.3061621351602084</v>
      </c>
    </row>
    <row r="72" spans="1:4" x14ac:dyDescent="0.25">
      <c r="A72">
        <v>8</v>
      </c>
      <c r="B72" s="1" t="s">
        <v>212</v>
      </c>
    </row>
    <row r="73" spans="1:4" x14ac:dyDescent="0.25">
      <c r="A73">
        <v>8.1</v>
      </c>
      <c r="B73" t="s">
        <v>213</v>
      </c>
      <c r="C73" s="33">
        <f>'Financial statements'!B12/'Financial statements'!B10</f>
        <v>0.57967485558360399</v>
      </c>
      <c r="D73" s="33">
        <f>'Financial statements'!C12/'Financial statements'!C10</f>
        <v>0.56194660134673713</v>
      </c>
    </row>
    <row r="74" spans="1:4" x14ac:dyDescent="0.25">
      <c r="A74">
        <v>8.1999999999999993</v>
      </c>
      <c r="B74" t="s">
        <v>214</v>
      </c>
      <c r="C74" s="33">
        <f>('Financial statements'!B10-'Financial statements'!B12)/'Financial statements'!B10</f>
        <v>0.42032514441639601</v>
      </c>
      <c r="D74" s="33">
        <f>('Financial statements'!C10-'Financial statements'!C12)/'Financial statements'!C10</f>
        <v>0.43805339865326287</v>
      </c>
    </row>
    <row r="75" spans="1:4" x14ac:dyDescent="0.25">
      <c r="A75">
        <v>8.3000000000000007</v>
      </c>
      <c r="B75" t="s">
        <v>215</v>
      </c>
      <c r="C75" s="33">
        <f>'Financial statements'!B27/'Financial statements'!B10</f>
        <v>7.1014128755145567E-2</v>
      </c>
      <c r="D75" s="33">
        <f>'Financial statements'!C27/'Financial statements'!C10</f>
        <v>-5.2958950004183018E-3</v>
      </c>
    </row>
    <row r="76" spans="1:4" x14ac:dyDescent="0.25">
      <c r="A76">
        <v>8.4</v>
      </c>
      <c r="B76" t="s">
        <v>67</v>
      </c>
      <c r="C76" s="33">
        <f>'Financial statements'!B19/'Financial statements'!B10</f>
        <v>5.2954097509269465E-2</v>
      </c>
      <c r="D76" s="33">
        <f>'Financial statements'!C19/'Financial statements'!C10</f>
        <v>2.3829581912242232E-2</v>
      </c>
    </row>
    <row r="77" spans="1:4" x14ac:dyDescent="0.25">
      <c r="A77">
        <v>8.5</v>
      </c>
      <c r="B77" t="s">
        <v>63</v>
      </c>
      <c r="C77" s="33">
        <f>'Financial statements'!B15/'Financial statements'!B10</f>
        <v>6.9283686161993263E-2</v>
      </c>
      <c r="D77" s="33">
        <f>'Financial statements'!C15/'Financial statements'!C10</f>
        <v>8.2177815219569517E-2</v>
      </c>
    </row>
    <row r="78" spans="1:4" x14ac:dyDescent="0.25">
      <c r="A78">
        <v>8.6</v>
      </c>
      <c r="B78" t="s">
        <v>216</v>
      </c>
      <c r="C78" s="33">
        <f>'Financial statements'!B16/'Financial statements'!B10</f>
        <v>1.8779452643767215E-2</v>
      </c>
      <c r="D78" s="33">
        <f>'Financial statements'!C16/'Financial statements'!C10</f>
        <v>2.3135006410717866E-2</v>
      </c>
    </row>
    <row r="79" spans="1:4" x14ac:dyDescent="0.25">
      <c r="A79">
        <v>8.6999999999999993</v>
      </c>
      <c r="B79" t="s">
        <v>61</v>
      </c>
      <c r="C79" s="33">
        <f>'Financial statements'!B13/'Financial statements'!B10</f>
        <v>0.15987118525739535</v>
      </c>
      <c r="D79" s="33">
        <f>'Financial statements'!C13/'Financial statements'!C10</f>
        <v>0.16401126107283703</v>
      </c>
    </row>
    <row r="80" spans="1:4" x14ac:dyDescent="0.25">
      <c r="A80">
        <v>8.8000000000000007</v>
      </c>
      <c r="B80" t="s">
        <v>62</v>
      </c>
      <c r="C80" s="33">
        <f>'Financial statements'!B14/'Financial statements'!B10</f>
        <v>0.11930475797216818</v>
      </c>
      <c r="D80" s="33">
        <f>'Financial statements'!C14/'Financial statements'!C10</f>
        <v>0.14244245432241923</v>
      </c>
    </row>
  </sheetData>
  <mergeCells count="1">
    <mergeCell ref="C2:E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2ACD0F-754A-412C-BD47-6E3725E423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Erkan Kubilay</cp:lastModifiedBy>
  <dcterms:created xsi:type="dcterms:W3CDTF">2020-05-19T16:15:53Z</dcterms:created>
  <dcterms:modified xsi:type="dcterms:W3CDTF">2024-02-22T11:08:59Z</dcterms:modified>
</cp:coreProperties>
</file>