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8EAAF93-C545-4750-8B9D-8E12F3566A94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8" i="3" l="1"/>
  <c r="D86" i="3"/>
  <c r="C78" i="3"/>
  <c r="D71" i="3"/>
  <c r="C71" i="3"/>
  <c r="D70" i="3"/>
  <c r="C70" i="3"/>
  <c r="D65" i="3"/>
  <c r="D64" i="3"/>
  <c r="C64" i="3"/>
  <c r="D63" i="3"/>
  <c r="C63" i="3"/>
  <c r="D59" i="3"/>
  <c r="C59" i="3"/>
  <c r="D58" i="3"/>
  <c r="C58" i="3"/>
  <c r="E51" i="3"/>
  <c r="A47" i="3"/>
  <c r="A49" i="3" s="1"/>
  <c r="E45" i="3"/>
  <c r="D45" i="3"/>
  <c r="C45" i="3"/>
  <c r="E41" i="3"/>
  <c r="D41" i="3"/>
  <c r="C41" i="3"/>
  <c r="E40" i="3"/>
  <c r="D40" i="3"/>
  <c r="C40" i="3"/>
  <c r="D34" i="3"/>
  <c r="C34" i="3"/>
  <c r="D26" i="3"/>
  <c r="C26" i="3"/>
  <c r="A16" i="3"/>
  <c r="A17" i="3" s="1"/>
  <c r="A18" i="3" s="1"/>
  <c r="A20" i="3" s="1"/>
  <c r="A22" i="3" s="1"/>
  <c r="D10" i="3"/>
  <c r="C10" i="3"/>
  <c r="D7" i="3"/>
  <c r="C7" i="3"/>
  <c r="A5" i="3"/>
  <c r="A6" i="3" s="1"/>
  <c r="A7" i="3" s="1"/>
  <c r="A8" i="3" s="1"/>
  <c r="A9" i="3" s="1"/>
  <c r="A10" i="3" s="1"/>
  <c r="A11" i="3" s="1"/>
  <c r="A12" i="3" s="1"/>
  <c r="A13" i="3" s="1"/>
  <c r="E3" i="3"/>
  <c r="D3" i="3"/>
  <c r="C3" i="3"/>
  <c r="D108" i="2"/>
  <c r="C108" i="2"/>
  <c r="B108" i="2"/>
  <c r="D99" i="2"/>
  <c r="E99" i="3" s="1"/>
  <c r="C99" i="2"/>
  <c r="D99" i="3" s="1"/>
  <c r="B99" i="2"/>
  <c r="C99" i="3" s="1"/>
  <c r="D68" i="2"/>
  <c r="E25" i="3" s="1"/>
  <c r="C68" i="2"/>
  <c r="C69" i="2" s="1"/>
  <c r="B68" i="2"/>
  <c r="C82" i="3" s="1"/>
  <c r="D62" i="2"/>
  <c r="D69" i="2" s="1"/>
  <c r="D61" i="2"/>
  <c r="C61" i="2"/>
  <c r="I22" i="2" s="1"/>
  <c r="D27" i="3" s="1"/>
  <c r="B61" i="2"/>
  <c r="H22" i="2" s="1"/>
  <c r="C27" i="3" s="1"/>
  <c r="D56" i="2"/>
  <c r="E6" i="3" s="1"/>
  <c r="C56" i="2"/>
  <c r="C62" i="2" s="1"/>
  <c r="D80" i="3" s="1"/>
  <c r="B56" i="2"/>
  <c r="H11" i="2" s="1"/>
  <c r="C48" i="2"/>
  <c r="B48" i="2"/>
  <c r="C76" i="3" s="1"/>
  <c r="D47" i="2"/>
  <c r="E35" i="3" s="1"/>
  <c r="C47" i="2"/>
  <c r="D75" i="3" s="1"/>
  <c r="B47" i="2"/>
  <c r="C75" i="3" s="1"/>
  <c r="D42" i="2"/>
  <c r="E8" i="3" s="1"/>
  <c r="C42" i="2"/>
  <c r="C74" i="3" s="1"/>
  <c r="B42" i="2"/>
  <c r="C8" i="3" s="1"/>
  <c r="D33" i="2"/>
  <c r="D73" i="2" s="1"/>
  <c r="C33" i="2"/>
  <c r="C73" i="2" s="1"/>
  <c r="B33" i="2"/>
  <c r="B73" i="2" s="1"/>
  <c r="J24" i="2"/>
  <c r="E44" i="3" s="1"/>
  <c r="I24" i="2"/>
  <c r="D44" i="3" s="1"/>
  <c r="H24" i="2"/>
  <c r="C44" i="3" s="1"/>
  <c r="J22" i="2"/>
  <c r="E27" i="3" s="1"/>
  <c r="J21" i="2"/>
  <c r="I21" i="2"/>
  <c r="H21" i="2"/>
  <c r="H19" i="2"/>
  <c r="D17" i="2"/>
  <c r="C17" i="2"/>
  <c r="D72" i="3" s="1"/>
  <c r="B17" i="2"/>
  <c r="C72" i="3" s="1"/>
  <c r="J15" i="2"/>
  <c r="I15" i="2"/>
  <c r="D8" i="3" s="1"/>
  <c r="H15" i="2"/>
  <c r="C51" i="3" s="1"/>
  <c r="J13" i="2"/>
  <c r="I13" i="2"/>
  <c r="H13" i="2"/>
  <c r="D12" i="2"/>
  <c r="E9" i="3" s="1"/>
  <c r="C12" i="2"/>
  <c r="D9" i="3" s="1"/>
  <c r="B12" i="2"/>
  <c r="C9" i="3" s="1"/>
  <c r="J11" i="2"/>
  <c r="E13" i="3" s="1"/>
  <c r="I11" i="2"/>
  <c r="I12" i="2" s="1"/>
  <c r="J9" i="2"/>
  <c r="I9" i="2"/>
  <c r="H9" i="2"/>
  <c r="D8" i="2"/>
  <c r="D13" i="2" s="1"/>
  <c r="C8" i="2"/>
  <c r="D93" i="3" s="1"/>
  <c r="B8" i="2"/>
  <c r="C93" i="3" s="1"/>
  <c r="A24" i="3" l="1"/>
  <c r="A33" i="3" s="1"/>
  <c r="D83" i="3"/>
  <c r="E17" i="3"/>
  <c r="D18" i="2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D76" i="3"/>
  <c r="C13" i="3"/>
  <c r="H12" i="2"/>
  <c r="D51" i="3"/>
  <c r="C65" i="3"/>
  <c r="C86" i="3"/>
  <c r="D48" i="2"/>
  <c r="E7" i="3"/>
  <c r="E10" i="3"/>
  <c r="D78" i="3"/>
  <c r="C97" i="3"/>
  <c r="C14" i="3"/>
  <c r="C35" i="3"/>
  <c r="C46" i="3"/>
  <c r="C79" i="3"/>
  <c r="D97" i="3"/>
  <c r="C5" i="3"/>
  <c r="C11" i="3"/>
  <c r="C12" i="3" s="1"/>
  <c r="D14" i="3"/>
  <c r="D35" i="3"/>
  <c r="C43" i="3"/>
  <c r="C42" i="3" s="1"/>
  <c r="D46" i="3"/>
  <c r="D79" i="3"/>
  <c r="E97" i="3"/>
  <c r="C98" i="3"/>
  <c r="D5" i="3"/>
  <c r="D11" i="3"/>
  <c r="D12" i="3" s="1"/>
  <c r="E14" i="3"/>
  <c r="D43" i="3"/>
  <c r="D42" i="3" s="1"/>
  <c r="E46" i="3"/>
  <c r="C60" i="3"/>
  <c r="B13" i="2"/>
  <c r="E5" i="3"/>
  <c r="E11" i="3"/>
  <c r="E12" i="3" s="1"/>
  <c r="A25" i="3"/>
  <c r="A26" i="3" s="1"/>
  <c r="A27" i="3" s="1"/>
  <c r="A28" i="3" s="1"/>
  <c r="A29" i="3" s="1"/>
  <c r="A30" i="3" s="1"/>
  <c r="E43" i="3"/>
  <c r="E42" i="3" s="1"/>
  <c r="D60" i="3"/>
  <c r="D98" i="3"/>
  <c r="D13" i="3"/>
  <c r="H5" i="2"/>
  <c r="C25" i="3"/>
  <c r="C36" i="3"/>
  <c r="C92" i="3"/>
  <c r="C6" i="3"/>
  <c r="D25" i="3"/>
  <c r="D36" i="3"/>
  <c r="D74" i="3"/>
  <c r="D82" i="3"/>
  <c r="D92" i="3"/>
  <c r="I16" i="2"/>
  <c r="C13" i="2"/>
  <c r="I5" i="2"/>
  <c r="J5" i="2"/>
  <c r="B62" i="2"/>
  <c r="C80" i="3" s="1"/>
  <c r="D6" i="3"/>
  <c r="E36" i="3"/>
  <c r="J16" i="2"/>
  <c r="E34" i="3" l="1"/>
  <c r="E26" i="3"/>
  <c r="C87" i="3"/>
  <c r="C17" i="3"/>
  <c r="B18" i="2"/>
  <c r="E20" i="3"/>
  <c r="J7" i="2"/>
  <c r="D20" i="2"/>
  <c r="E21" i="3"/>
  <c r="E19" i="3"/>
  <c r="E50" i="3" s="1"/>
  <c r="J6" i="2"/>
  <c r="E18" i="3" s="1"/>
  <c r="D17" i="3"/>
  <c r="C18" i="2"/>
  <c r="D87" i="3"/>
  <c r="B69" i="2"/>
  <c r="C83" i="3" s="1"/>
  <c r="E28" i="3" l="1"/>
  <c r="E29" i="3"/>
  <c r="E48" i="3"/>
  <c r="D22" i="2"/>
  <c r="E96" i="3"/>
  <c r="I7" i="2"/>
  <c r="C20" i="2"/>
  <c r="D20" i="3"/>
  <c r="D21" i="3"/>
  <c r="I6" i="2"/>
  <c r="D18" i="3" s="1"/>
  <c r="D88" i="3"/>
  <c r="D19" i="3"/>
  <c r="D50" i="3" s="1"/>
  <c r="C21" i="3"/>
  <c r="H6" i="2"/>
  <c r="C18" i="3" s="1"/>
  <c r="C20" i="3"/>
  <c r="H7" i="2"/>
  <c r="B20" i="2"/>
  <c r="C88" i="3"/>
  <c r="C19" i="3"/>
  <c r="C50" i="3" s="1"/>
  <c r="C28" i="3" l="1"/>
  <c r="C29" i="3"/>
  <c r="B22" i="2"/>
  <c r="C96" i="3"/>
  <c r="C48" i="3"/>
  <c r="C22" i="2"/>
  <c r="D48" i="3"/>
  <c r="D96" i="3"/>
  <c r="D29" i="3"/>
  <c r="D28" i="3"/>
  <c r="E37" i="3"/>
  <c r="E47" i="3"/>
  <c r="D76" i="2"/>
  <c r="D91" i="2" s="1"/>
  <c r="E49" i="3"/>
  <c r="E22" i="3"/>
  <c r="C76" i="2" l="1"/>
  <c r="C91" i="2" s="1"/>
  <c r="D37" i="3"/>
  <c r="D47" i="3"/>
  <c r="D49" i="3"/>
  <c r="D22" i="3"/>
  <c r="D89" i="3"/>
  <c r="B76" i="2"/>
  <c r="B91" i="2" s="1"/>
  <c r="C47" i="3"/>
  <c r="C37" i="3"/>
  <c r="C49" i="3"/>
  <c r="C22" i="3"/>
  <c r="C89" i="3"/>
  <c r="E31" i="3"/>
  <c r="E30" i="3" s="1"/>
  <c r="D109" i="2"/>
  <c r="B109" i="2" l="1"/>
  <c r="C31" i="3"/>
  <c r="C30" i="3" s="1"/>
  <c r="C109" i="2"/>
  <c r="D31" i="3"/>
  <c r="D30" i="3" s="1"/>
</calcChain>
</file>

<file path=xl/sharedStrings.xml><?xml version="1.0" encoding="utf-8"?>
<sst xmlns="http://schemas.openxmlformats.org/spreadsheetml/2006/main" count="254" uniqueCount="192">
  <si>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</si>
  <si>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</si>
  <si>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</si>
  <si>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</si>
  <si>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</si>
  <si>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</si>
  <si>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</si>
  <si>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</si>
  <si>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</si>
  <si>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</si>
  <si>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</si>
  <si>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</si>
  <si>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</si>
  <si>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</si>
  <si>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</si>
  <si>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</si>
  <si>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</si>
  <si>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</si>
  <si>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</si>
  <si>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</si>
  <si>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</si>
  <si>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</si>
  <si>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</si>
  <si>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</si>
  <si>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</si>
  <si>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</si>
  <si>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 xml:space="preserve">Capex </t>
  </si>
  <si>
    <t>Products</t>
  </si>
  <si>
    <t>EBITDA</t>
  </si>
  <si>
    <t>Services</t>
  </si>
  <si>
    <t>EBIT</t>
  </si>
  <si>
    <t>Total net sales</t>
  </si>
  <si>
    <t>Share price</t>
  </si>
  <si>
    <t>Cost of sales:</t>
  </si>
  <si>
    <t>Total capitalization</t>
  </si>
  <si>
    <t>Net Working Capital =</t>
  </si>
  <si>
    <t>Total cost of sales</t>
  </si>
  <si>
    <t xml:space="preserve">                         Change:</t>
  </si>
  <si>
    <t>Gross margin</t>
  </si>
  <si>
    <t>Net Borrowing</t>
  </si>
  <si>
    <t>Operating expenses:</t>
  </si>
  <si>
    <t>Research and development</t>
  </si>
  <si>
    <t>DOA</t>
  </si>
  <si>
    <t>Selling, general and administrative</t>
  </si>
  <si>
    <t>Inventories Average</t>
  </si>
  <si>
    <t>Total operating expenses</t>
  </si>
  <si>
    <t>Other income/(expense), net</t>
  </si>
  <si>
    <t>Income before provision for income taxes</t>
  </si>
  <si>
    <t>Provision for income taxes</t>
  </si>
  <si>
    <t>Non cash charges</t>
  </si>
  <si>
    <t>Net income</t>
  </si>
  <si>
    <t>Capital employed</t>
  </si>
  <si>
    <t>Earnings per share:</t>
  </si>
  <si>
    <t>Basic</t>
  </si>
  <si>
    <t>Dividend per share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</si>
  <si>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</si>
  <si>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</si>
  <si>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</si>
  <si>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</si>
  <si>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</si>
  <si>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</si>
  <si>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</si>
  <si>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</si>
  <si>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</si>
  <si>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</si>
  <si>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</si>
  <si>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</si>
  <si>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</si>
  <si>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</si>
  <si>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</si>
  <si>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</si>
  <si>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</si>
  <si>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</si>
  <si>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</si>
  <si>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</si>
  <si>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</si>
  <si>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</si>
  <si>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</si>
  <si>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</si>
  <si>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</si>
  <si>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</si>
  <si>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</si>
  <si>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</si>
  <si>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</si>
  <si>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</si>
  <si>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</si>
  <si>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</si>
  <si>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</si>
  <si>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</si>
  <si>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</si>
  <si>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</si>
  <si>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</si>
  <si>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</si>
  <si>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</si>
  <si>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</si>
  <si>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</si>
  <si>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</si>
  <si>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</si>
  <si>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</si>
  <si>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</si>
  <si>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</si>
  <si>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</si>
  <si>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</si>
  <si>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</si>
  <si>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</si>
  <si>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</si>
  <si>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</si>
  <si>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</si>
  <si>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</si>
  <si>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</si>
  <si>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</si>
  <si>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</si>
  <si>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</si>
  <si>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</si>
  <si>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</si>
  <si>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</si>
  <si>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</si>
  <si>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</si>
  <si>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</si>
  <si>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</si>
  <si>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</si>
  <si>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Feedback</t>
  </si>
  <si>
    <t>Liquidity</t>
  </si>
  <si>
    <t>Current ratio</t>
  </si>
  <si>
    <t>Quick Ratio</t>
  </si>
  <si>
    <t>Cash Ratio</t>
  </si>
  <si>
    <t>Defensive Interval</t>
  </si>
  <si>
    <t>Current Assets / Daily Operational Expenses where Daily Operational Expenses = (Annual Operating Expenses - Noncash Charges) / 365</t>
  </si>
  <si>
    <t>Inventory Days</t>
  </si>
  <si>
    <t>Inventory / COGS x 365, you have done this on cell J16 and have done it again here in the formula/</t>
  </si>
  <si>
    <t>Payable Days</t>
  </si>
  <si>
    <t>(Accounts Payable / COGS) x 365, change brackets</t>
  </si>
  <si>
    <t>Receivable Days</t>
  </si>
  <si>
    <t>Net trading cycle</t>
  </si>
  <si>
    <t>Working Capital as a % of Sales</t>
  </si>
  <si>
    <t>Working Capital</t>
  </si>
  <si>
    <t>Profitability</t>
  </si>
  <si>
    <t>Gross profit/Sales revenue</t>
  </si>
  <si>
    <t>EBITDA margin</t>
  </si>
  <si>
    <t>Should be linked to operating income, not the income before tax and add D&amp;A to that</t>
  </si>
  <si>
    <t xml:space="preserve">      BITDA</t>
  </si>
  <si>
    <t>EBIT margin</t>
  </si>
  <si>
    <t>Should be linked to operating income, not the income before tax</t>
  </si>
  <si>
    <t>Net margin</t>
  </si>
  <si>
    <t>Solvency/ debt management</t>
  </si>
  <si>
    <t>Debt to equity (D/E)</t>
  </si>
  <si>
    <t>Include only term debt for Debt figure, since differed revenue is not an actual form of capital</t>
  </si>
  <si>
    <t>Debt to total assets</t>
  </si>
  <si>
    <t>Long-term debt to capital</t>
  </si>
  <si>
    <t>Include only term debt for Debt figure, since differed revenue is not an actual form of capital. Capital employed = Term debt + Total shareholder equity</t>
  </si>
  <si>
    <t>Times interest earned</t>
  </si>
  <si>
    <t>EBIT / Interest Expense</t>
  </si>
  <si>
    <t>Debt coverage</t>
  </si>
  <si>
    <t>EBIT/ (Interest + Debt repayment), interest can be found at the bottom of cash flow, debt repayment can be found in the cash flow statement</t>
  </si>
  <si>
    <t>Free cash flow (FCFE) per share</t>
  </si>
  <si>
    <t>FCFE</t>
  </si>
  <si>
    <t>Cash flow from operation - Capex + Net debt issuance (capex and debt issuance can be found in cash flow)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</si>
  <si>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</si>
  <si>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</si>
  <si>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</si>
  <si>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</si>
  <si>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</si>
  <si>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</si>
  <si>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</si>
  <si>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</si>
  <si>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Link to diluted EPS</t>
  </si>
  <si>
    <t>Price to book value (PBV)</t>
  </si>
  <si>
    <t>Book value per share (BV)</t>
  </si>
  <si>
    <t>Total shareholder equity/Diluted number of share *1000</t>
  </si>
  <si>
    <t>Dividend payout ratio</t>
  </si>
  <si>
    <t>DPS/EPS</t>
  </si>
  <si>
    <t>Dividends paid (can be found in cash flow)/Diluted number of shares</t>
  </si>
  <si>
    <t>Dividend yield</t>
  </si>
  <si>
    <t>DPS/Share price</t>
  </si>
  <si>
    <t>Return on equity (ROE)</t>
  </si>
  <si>
    <t>Return on capital employed (ROCE)</t>
  </si>
  <si>
    <t xml:space="preserve"> Capital employed = Term debt + Total shareholder equity</t>
  </si>
  <si>
    <t>Enterprise value to EBITDA (EV/EBITDA)</t>
  </si>
  <si>
    <t>Enterprise value (EV)</t>
  </si>
  <si>
    <t>Market Cap + Term Debt - (Cash + Cash Equivalents)</t>
  </si>
  <si>
    <t>Growth rates for the following:</t>
  </si>
  <si>
    <t>Calculate for year 2021 as well</t>
  </si>
  <si>
    <t>Margins/ as a % of net sales for the following:</t>
  </si>
  <si>
    <t xml:space="preserve">   Capex </t>
  </si>
  <si>
    <t>Link capex from Cash flow</t>
  </si>
  <si>
    <t>Daily operational expense has already been divided by 365, do not divide again</t>
  </si>
  <si>
    <t>remove other income/expense from this, EBIT should be purely income from operations</t>
  </si>
  <si>
    <t>remove other income/expense from this, EBIT should be purely income from operations, link debt repayment with - sign to make the negative figure (cash outflow) positive here</t>
  </si>
  <si>
    <t>Link capex with - sign to remove the negative sign</t>
  </si>
  <si>
    <t>The debt figure in Capital calculation is incorrectly linked to total non-current liabilities</t>
  </si>
  <si>
    <t>Debt figure in capital should be only Term debt under non-current liabilities, not the total non-current liabilities</t>
  </si>
  <si>
    <t>Market cap is incorrectly linked to daily operational expenses, Market Cap = Share price * diluted number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</si>
</sst>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0000000"/>
    <numFmt numFmtId="165" formatCode="_(* #,##0_);_(* \(#,##0\);_(* \-??_);_(@_)"/>
    <numFmt numFmtId="166" formatCode="_(* #,##0.00_);_(* \(#,##0.00\);_(* \-??_);_(@_)"/>
    <numFmt numFmtId="167" formatCode="0.0"/>
  </numFmts>
  <fonts count="11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81D41A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  <fill>
      <patternFill patternType="solid">
        <fgColor rgb="FF81D41A"/>
        <bgColor rgb="FF969696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10" fillId="0" borderId="0" applyBorder="0" applyProtection="0"/>
    <xf numFmtId="0" fontId="3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/>
    <xf numFmtId="0" fontId="3" fillId="0" borderId="0" xfId="2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10" fontId="0" fillId="0" borderId="0" xfId="0" applyNumberFormat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65" fontId="10" fillId="0" borderId="0" xfId="1" applyNumberFormat="1" applyBorder="1" applyProtection="1"/>
    <xf numFmtId="0" fontId="0" fillId="0" borderId="0" xfId="0" applyAlignment="1">
      <alignment horizontal="right"/>
    </xf>
    <xf numFmtId="0" fontId="2" fillId="0" borderId="1" xfId="0" applyFont="1" applyBorder="1"/>
    <xf numFmtId="165" fontId="2" fillId="0" borderId="1" xfId="1" applyNumberFormat="1" applyFont="1" applyBorder="1" applyProtection="1"/>
    <xf numFmtId="0" fontId="0" fillId="0" borderId="0" xfId="0" applyAlignment="1">
      <alignment horizontal="center"/>
    </xf>
    <xf numFmtId="0" fontId="2" fillId="0" borderId="2" xfId="0" applyFont="1" applyBorder="1"/>
    <xf numFmtId="165" fontId="2" fillId="0" borderId="2" xfId="1" applyNumberFormat="1" applyFont="1" applyBorder="1" applyProtection="1"/>
    <xf numFmtId="0" fontId="0" fillId="4" borderId="0" xfId="0" applyFill="1"/>
    <xf numFmtId="3" fontId="0" fillId="0" borderId="0" xfId="0" applyNumberFormat="1"/>
    <xf numFmtId="0" fontId="2" fillId="0" borderId="3" xfId="0" applyFont="1" applyBorder="1" applyAlignment="1">
      <alignment horizontal="left"/>
    </xf>
    <xf numFmtId="165" fontId="10" fillId="0" borderId="3" xfId="1" applyNumberFormat="1" applyBorder="1" applyProtection="1"/>
    <xf numFmtId="165" fontId="2" fillId="0" borderId="0" xfId="1" applyNumberFormat="1" applyFont="1" applyBorder="1" applyProtection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7" fontId="0" fillId="0" borderId="0" xfId="0" applyNumberFormat="1"/>
    <xf numFmtId="166" fontId="10" fillId="0" borderId="0" xfId="1" applyBorder="1" applyProtection="1"/>
    <xf numFmtId="0" fontId="0" fillId="5" borderId="0" xfId="0" applyFill="1"/>
    <xf numFmtId="165" fontId="10" fillId="0" borderId="1" xfId="1" applyNumberFormat="1" applyBorder="1" applyProtection="1"/>
    <xf numFmtId="10" fontId="0" fillId="5" borderId="0" xfId="0" applyNumberFormat="1" applyFill="1"/>
    <xf numFmtId="0" fontId="10" fillId="0" borderId="0" xfId="1" applyNumberFormat="1" applyBorder="1" applyProtection="1"/>
    <xf numFmtId="0" fontId="8" fillId="5" borderId="0" xfId="0" applyFont="1" applyFill="1"/>
    <xf numFmtId="0" fontId="9" fillId="5" borderId="0" xfId="0" applyFont="1" applyFill="1"/>
    <xf numFmtId="10" fontId="2" fillId="0" borderId="0" xfId="0" applyNumberFormat="1" applyFont="1"/>
    <xf numFmtId="0" fontId="0" fillId="0" borderId="1" xfId="0" applyBorder="1"/>
    <xf numFmtId="0" fontId="0" fillId="0" borderId="3" xfId="0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zoomScaleNormal="100" workbookViewId="0">
      <selection activeCell="B21" sqref="B21"/>
    </sheetView>
  </sheetViews>
  <sheetFormatPr defaultColWidth="8.5546875" defaultRowHeight="14.4" x14ac:dyDescent="0.3"/>
  <cols>
    <col min="1" max="1" width="104.5546875" customWidth="1"/>
  </cols>
  <sheetData>
    <row r="1" spans="1:1" ht="23.4" x14ac:dyDescent="0.45">
      <c r="A1" s="3" t="s">
        <v>0</v>
      </c>
    </row>
    <row r="3" spans="1:1" x14ac:dyDescent="0.3">
      <c r="A3" s="4" t="s">
        <v>1</v>
      </c>
    </row>
    <row r="4" spans="1:1" x14ac:dyDescent="0.3">
      <c r="A4" s="5" t="s">
        <v>2</v>
      </c>
    </row>
    <row r="5" spans="1:1" x14ac:dyDescent="0.3">
      <c r="A5" s="4" t="s">
        <v>3</v>
      </c>
    </row>
    <row r="6" spans="1:1" x14ac:dyDescent="0.3">
      <c r="A6" s="6" t="s">
        <v>4</v>
      </c>
    </row>
    <row r="7" spans="1:1" x14ac:dyDescent="0.3">
      <c r="A7" s="6"/>
    </row>
    <row r="8" spans="1:1" x14ac:dyDescent="0.3">
      <c r="A8" s="7" t="s">
        <v>5</v>
      </c>
    </row>
    <row r="9" spans="1:1" x14ac:dyDescent="0.3">
      <c r="A9" s="6" t="s">
        <v>6</v>
      </c>
    </row>
    <row r="10" spans="1:1" x14ac:dyDescent="0.3">
      <c r="A10" s="6" t="s">
        <v>7</v>
      </c>
    </row>
    <row r="11" spans="1:1" x14ac:dyDescent="0.3">
      <c r="A11" s="6" t="s">
        <v>8</v>
      </c>
    </row>
    <row r="12" spans="1:1" x14ac:dyDescent="0.3">
      <c r="A12" s="6" t="s">
        <v>9</v>
      </c>
    </row>
    <row r="13" spans="1:1" x14ac:dyDescent="0.3">
      <c r="A13" s="6"/>
    </row>
    <row r="14" spans="1:1" x14ac:dyDescent="0.3">
      <c r="A14" s="7" t="s">
        <v>10</v>
      </c>
    </row>
    <row r="15" spans="1:1" x14ac:dyDescent="0.3">
      <c r="A15" s="6" t="s">
        <v>11</v>
      </c>
    </row>
    <row r="16" spans="1:1" x14ac:dyDescent="0.3">
      <c r="A16" s="6" t="s">
        <v>7</v>
      </c>
    </row>
    <row r="17" spans="1:2" x14ac:dyDescent="0.3">
      <c r="A17" s="6" t="s">
        <v>8</v>
      </c>
    </row>
    <row r="18" spans="1:2" x14ac:dyDescent="0.3">
      <c r="A18" s="6" t="s">
        <v>12</v>
      </c>
      <c r="B18" s="8">
        <v>0.153</v>
      </c>
    </row>
    <row r="19" spans="1:2" x14ac:dyDescent="0.3">
      <c r="A19" s="6" t="s">
        <v>13</v>
      </c>
    </row>
    <row r="20" spans="1:2" x14ac:dyDescent="0.3">
      <c r="A20" s="6"/>
    </row>
    <row r="21" spans="1:2" x14ac:dyDescent="0.3">
      <c r="A21" s="7" t="s">
        <v>14</v>
      </c>
    </row>
    <row r="22" spans="1:2" x14ac:dyDescent="0.3">
      <c r="A22" s="6" t="s">
        <v>15</v>
      </c>
    </row>
    <row r="23" spans="1:2" x14ac:dyDescent="0.3">
      <c r="A23" s="6" t="s">
        <v>16</v>
      </c>
    </row>
    <row r="24" spans="1:2" x14ac:dyDescent="0.3">
      <c r="A24" s="6" t="s">
        <v>17</v>
      </c>
    </row>
    <row r="25" spans="1:2" x14ac:dyDescent="0.3">
      <c r="A25" s="6"/>
    </row>
    <row r="26" spans="1:2" x14ac:dyDescent="0.3">
      <c r="A26" s="7" t="s">
        <v>18</v>
      </c>
    </row>
    <row r="27" spans="1:2" x14ac:dyDescent="0.3">
      <c r="A27" s="5" t="s">
        <v>19</v>
      </c>
    </row>
    <row r="29" spans="1:2" x14ac:dyDescent="0.3">
      <c r="A29" s="4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4"/>
  <sheetViews>
    <sheetView topLeftCell="A69" zoomScaleNormal="100" workbookViewId="0">
      <selection activeCell="D99" sqref="D99"/>
    </sheetView>
  </sheetViews>
  <sheetFormatPr defaultColWidth="8.5546875" defaultRowHeight="14.4" x14ac:dyDescent="0.3"/>
  <cols>
    <col min="1" max="1" width="59" customWidth="1"/>
    <col min="2" max="3" width="11.5546875" customWidth="1"/>
    <col min="4" max="4" width="11.6640625" customWidth="1"/>
    <col min="7" max="7" width="17.88671875" customWidth="1"/>
  </cols>
  <sheetData>
    <row r="1" spans="1:11" ht="60" customHeight="1" x14ac:dyDescent="0.3">
      <c r="A1" s="9" t="s">
        <v>21</v>
      </c>
      <c r="B1" s="10" t="s">
        <v>22</v>
      </c>
      <c r="C1" s="10"/>
      <c r="D1" s="10"/>
      <c r="E1" s="10"/>
      <c r="F1" s="10"/>
      <c r="G1" s="10"/>
      <c r="H1" s="10"/>
      <c r="I1" s="10"/>
      <c r="J1" s="10"/>
    </row>
    <row r="2" spans="1:11" x14ac:dyDescent="0.3">
      <c r="A2" s="2" t="s">
        <v>23</v>
      </c>
      <c r="B2" s="2"/>
      <c r="C2" s="2"/>
      <c r="D2" s="2"/>
    </row>
    <row r="3" spans="1:11" x14ac:dyDescent="0.3">
      <c r="B3" s="1" t="s">
        <v>24</v>
      </c>
      <c r="C3" s="1"/>
      <c r="D3" s="1"/>
    </row>
    <row r="4" spans="1:11" x14ac:dyDescent="0.3">
      <c r="B4" s="4">
        <v>2022</v>
      </c>
      <c r="C4" s="4">
        <v>2021</v>
      </c>
      <c r="D4" s="4">
        <v>2020</v>
      </c>
      <c r="H4" s="4">
        <v>2022</v>
      </c>
      <c r="I4" s="4">
        <v>2021</v>
      </c>
      <c r="J4" s="4">
        <v>2020</v>
      </c>
      <c r="K4" s="12"/>
    </row>
    <row r="5" spans="1:11" x14ac:dyDescent="0.3">
      <c r="A5" t="s">
        <v>25</v>
      </c>
      <c r="G5" s="13" t="s">
        <v>26</v>
      </c>
      <c r="H5" s="14">
        <f>B99</f>
        <v>-22354</v>
      </c>
      <c r="I5" s="15">
        <f>C99</f>
        <v>-14545</v>
      </c>
      <c r="J5" s="15">
        <f>D99</f>
        <v>-4289</v>
      </c>
    </row>
    <row r="6" spans="1:11" x14ac:dyDescent="0.3">
      <c r="A6" s="6" t="s">
        <v>27</v>
      </c>
      <c r="B6" s="16">
        <v>316199</v>
      </c>
      <c r="C6" s="16">
        <v>297392</v>
      </c>
      <c r="D6" s="16">
        <v>220747</v>
      </c>
      <c r="G6" s="13" t="s">
        <v>28</v>
      </c>
      <c r="H6" s="17">
        <f>B18+B79</f>
        <v>130541</v>
      </c>
      <c r="I6" s="17">
        <f>C18+C79</f>
        <v>120233</v>
      </c>
      <c r="J6" s="17">
        <f>D18+D79</f>
        <v>77344</v>
      </c>
    </row>
    <row r="7" spans="1:11" x14ac:dyDescent="0.3">
      <c r="A7" s="6" t="s">
        <v>29</v>
      </c>
      <c r="B7" s="16">
        <v>78129</v>
      </c>
      <c r="C7" s="16">
        <v>68425</v>
      </c>
      <c r="D7" s="16">
        <v>53768</v>
      </c>
      <c r="G7" s="13" t="s">
        <v>30</v>
      </c>
      <c r="H7" s="15">
        <f>B18+B19</f>
        <v>119103</v>
      </c>
      <c r="I7" s="15">
        <f>C18+C19</f>
        <v>109207</v>
      </c>
      <c r="J7" s="15">
        <f>D18+D19</f>
        <v>67091</v>
      </c>
    </row>
    <row r="8" spans="1:11" x14ac:dyDescent="0.3">
      <c r="A8" s="18" t="s">
        <v>31</v>
      </c>
      <c r="B8" s="19">
        <f>+B6+B7</f>
        <v>394328</v>
      </c>
      <c r="C8" s="19">
        <f>+C6+C7</f>
        <v>365817</v>
      </c>
      <c r="D8" s="19">
        <f>+D6+D7</f>
        <v>274515</v>
      </c>
      <c r="G8" s="13" t="s">
        <v>32</v>
      </c>
      <c r="H8" s="17">
        <v>138.19999999999999</v>
      </c>
      <c r="I8" s="17">
        <v>146.91999999999999</v>
      </c>
      <c r="J8" s="17">
        <v>112.28</v>
      </c>
    </row>
    <row r="9" spans="1:11" x14ac:dyDescent="0.3">
      <c r="A9" t="s">
        <v>33</v>
      </c>
      <c r="B9" s="16"/>
      <c r="C9" s="16"/>
      <c r="D9" s="16"/>
      <c r="G9" s="13" t="s">
        <v>34</v>
      </c>
      <c r="H9" s="17">
        <f>H8*B28</f>
        <v>2256228185.7999997</v>
      </c>
      <c r="I9" s="17">
        <f>I8*C28</f>
        <v>2477793899.48</v>
      </c>
      <c r="J9" s="17">
        <f>J8*D28</f>
        <v>1968067867.9200001</v>
      </c>
    </row>
    <row r="10" spans="1:11" x14ac:dyDescent="0.3">
      <c r="A10" s="6" t="s">
        <v>27</v>
      </c>
      <c r="B10" s="16">
        <v>201471</v>
      </c>
      <c r="C10" s="16">
        <v>192266</v>
      </c>
      <c r="D10" s="16">
        <v>151286</v>
      </c>
    </row>
    <row r="11" spans="1:11" x14ac:dyDescent="0.3">
      <c r="A11" s="6" t="s">
        <v>29</v>
      </c>
      <c r="B11" s="16">
        <v>22075</v>
      </c>
      <c r="C11" s="16">
        <v>20715</v>
      </c>
      <c r="D11" s="16">
        <v>18273</v>
      </c>
      <c r="G11" s="13" t="s">
        <v>35</v>
      </c>
      <c r="H11" s="17">
        <f>B42-B56</f>
        <v>-18577</v>
      </c>
      <c r="I11" s="17">
        <f>C42-C56</f>
        <v>9355</v>
      </c>
      <c r="J11" s="17">
        <f>D42-D56</f>
        <v>38321</v>
      </c>
    </row>
    <row r="12" spans="1:11" x14ac:dyDescent="0.3">
      <c r="A12" s="18" t="s">
        <v>36</v>
      </c>
      <c r="B12" s="19">
        <f>+B10+B11</f>
        <v>223546</v>
      </c>
      <c r="C12" s="19">
        <f>+C10+C11</f>
        <v>212981</v>
      </c>
      <c r="D12" s="19">
        <f>+D10+D11</f>
        <v>169559</v>
      </c>
      <c r="G12" s="20" t="s">
        <v>37</v>
      </c>
      <c r="H12" s="17">
        <f>H11-I11</f>
        <v>-27932</v>
      </c>
      <c r="I12" s="17">
        <f>I11-J11</f>
        <v>-28966</v>
      </c>
    </row>
    <row r="13" spans="1:11" x14ac:dyDescent="0.3">
      <c r="A13" s="18" t="s">
        <v>38</v>
      </c>
      <c r="B13" s="19">
        <f>+B8-B12</f>
        <v>170782</v>
      </c>
      <c r="C13" s="19">
        <f>+C8-C12</f>
        <v>152836</v>
      </c>
      <c r="D13" s="19">
        <f>+D8-D12</f>
        <v>104956</v>
      </c>
      <c r="G13" s="13" t="s">
        <v>39</v>
      </c>
      <c r="H13" s="17">
        <f>B105-B104</f>
        <v>-15008</v>
      </c>
      <c r="I13" s="17">
        <f>C105-C104</f>
        <v>-29143</v>
      </c>
      <c r="J13" s="17">
        <f>D105-D104</f>
        <v>-28720</v>
      </c>
    </row>
    <row r="14" spans="1:11" x14ac:dyDescent="0.3">
      <c r="A14" t="s">
        <v>40</v>
      </c>
      <c r="B14" s="16"/>
      <c r="C14" s="16"/>
      <c r="D14" s="16"/>
    </row>
    <row r="15" spans="1:11" x14ac:dyDescent="0.3">
      <c r="A15" s="6" t="s">
        <v>41</v>
      </c>
      <c r="B15" s="16">
        <v>26251</v>
      </c>
      <c r="C15" s="16">
        <v>21914</v>
      </c>
      <c r="D15" s="16">
        <v>18752</v>
      </c>
      <c r="G15" s="13" t="s">
        <v>42</v>
      </c>
      <c r="H15" s="17">
        <f>(B17-H21)/365</f>
        <v>82.731506849315068</v>
      </c>
      <c r="I15" s="17">
        <f>(C17-I21)/365</f>
        <v>81.145205479452059</v>
      </c>
      <c r="J15" s="17">
        <f>(D17-J21)/365</f>
        <v>57.794520547945204</v>
      </c>
    </row>
    <row r="16" spans="1:11" x14ac:dyDescent="0.3">
      <c r="A16" s="6" t="s">
        <v>43</v>
      </c>
      <c r="B16" s="16">
        <v>25094</v>
      </c>
      <c r="C16" s="16">
        <v>21973</v>
      </c>
      <c r="D16" s="16">
        <v>19916</v>
      </c>
      <c r="G16" s="13" t="s">
        <v>44</v>
      </c>
      <c r="I16" s="15">
        <f>(C12/C39)*365</f>
        <v>11814.295592705166</v>
      </c>
      <c r="J16" s="15">
        <f>(D12/D39)*365</f>
        <v>15239.851021915785</v>
      </c>
    </row>
    <row r="17" spans="1:17" x14ac:dyDescent="0.3">
      <c r="A17" s="18" t="s">
        <v>45</v>
      </c>
      <c r="B17" s="19">
        <f>+B15+B16</f>
        <v>51345</v>
      </c>
      <c r="C17" s="19">
        <f>+C15+C16</f>
        <v>43887</v>
      </c>
      <c r="D17" s="19">
        <f>+D15+D16</f>
        <v>38668</v>
      </c>
    </row>
    <row r="18" spans="1:17" x14ac:dyDescent="0.3">
      <c r="A18" s="18" t="s">
        <v>12</v>
      </c>
      <c r="B18" s="19">
        <f>+B13-B17</f>
        <v>119437</v>
      </c>
      <c r="C18" s="19">
        <f>+C13-C17</f>
        <v>108949</v>
      </c>
      <c r="D18" s="19">
        <f>+D13-D17</f>
        <v>66288</v>
      </c>
      <c r="E18" s="4"/>
      <c r="F18" s="4"/>
      <c r="K18" s="4"/>
      <c r="L18" s="4"/>
      <c r="M18" s="4"/>
      <c r="N18" s="4"/>
      <c r="O18" s="4"/>
      <c r="P18" s="4"/>
      <c r="Q18" s="4"/>
    </row>
    <row r="19" spans="1:17" s="4" customFormat="1" x14ac:dyDescent="0.3">
      <c r="A19" s="4" t="s">
        <v>46</v>
      </c>
      <c r="B19" s="16">
        <v>-334</v>
      </c>
      <c r="C19" s="16">
        <v>258</v>
      </c>
      <c r="D19" s="16">
        <v>803</v>
      </c>
      <c r="H19" s="4">
        <f>B8-B12</f>
        <v>170782</v>
      </c>
    </row>
    <row r="20" spans="1:17" x14ac:dyDescent="0.3">
      <c r="A20" s="18" t="s">
        <v>47</v>
      </c>
      <c r="B20" s="19">
        <f>+B18+B19</f>
        <v>119103</v>
      </c>
      <c r="C20" s="19">
        <f>+C18+C19</f>
        <v>109207</v>
      </c>
      <c r="D20" s="19">
        <f>+D18+D19</f>
        <v>67091</v>
      </c>
    </row>
    <row r="21" spans="1:17" x14ac:dyDescent="0.3">
      <c r="A21" t="s">
        <v>48</v>
      </c>
      <c r="B21" s="16">
        <v>19300</v>
      </c>
      <c r="C21" s="16">
        <v>14527</v>
      </c>
      <c r="D21" s="16">
        <v>9680</v>
      </c>
      <c r="G21" t="s">
        <v>49</v>
      </c>
      <c r="H21">
        <f>B79+B80+B81+B82</f>
        <v>21148</v>
      </c>
      <c r="I21">
        <f>C79+C80+C81+C82</f>
        <v>14269</v>
      </c>
      <c r="J21">
        <f>D79+D80+D81+D82</f>
        <v>17573</v>
      </c>
    </row>
    <row r="22" spans="1:17" x14ac:dyDescent="0.3">
      <c r="A22" s="21" t="s">
        <v>50</v>
      </c>
      <c r="B22" s="22">
        <f>+B20-B21</f>
        <v>99803</v>
      </c>
      <c r="C22" s="22">
        <f>+C20-C21</f>
        <v>94680</v>
      </c>
      <c r="D22" s="22">
        <f>+D20-D21</f>
        <v>57411</v>
      </c>
      <c r="G22" t="s">
        <v>51</v>
      </c>
      <c r="H22">
        <f>B61+B68</f>
        <v>198773</v>
      </c>
      <c r="I22">
        <f>C61+C68</f>
        <v>225521</v>
      </c>
      <c r="J22">
        <f>D61+D68</f>
        <v>218496</v>
      </c>
    </row>
    <row r="23" spans="1:17" x14ac:dyDescent="0.3">
      <c r="A23" t="s">
        <v>52</v>
      </c>
    </row>
    <row r="24" spans="1:17" x14ac:dyDescent="0.3">
      <c r="A24" s="6" t="s">
        <v>53</v>
      </c>
      <c r="B24" s="23">
        <v>6.15</v>
      </c>
      <c r="C24" s="23">
        <v>5.67</v>
      </c>
      <c r="D24" s="23">
        <v>3.31</v>
      </c>
      <c r="G24" s="13" t="s">
        <v>54</v>
      </c>
      <c r="H24">
        <f>ABS(B102/B28*1000)</f>
        <v>0.90905087211857483</v>
      </c>
      <c r="I24">
        <f>ABS(C102/C28*1000)</f>
        <v>0.85781615672153544</v>
      </c>
      <c r="J24">
        <f>ABS(D102/D28*1000)</f>
        <v>0.80333341434558025</v>
      </c>
    </row>
    <row r="25" spans="1:17" x14ac:dyDescent="0.3">
      <c r="A25" s="6" t="s">
        <v>55</v>
      </c>
      <c r="B25" s="23">
        <v>6.11</v>
      </c>
      <c r="C25" s="23">
        <v>5.61</v>
      </c>
      <c r="D25" s="23">
        <v>3.28</v>
      </c>
    </row>
    <row r="26" spans="1:17" x14ac:dyDescent="0.3">
      <c r="A26" t="s">
        <v>56</v>
      </c>
    </row>
    <row r="27" spans="1:17" x14ac:dyDescent="0.3">
      <c r="A27" s="6" t="s">
        <v>53</v>
      </c>
      <c r="B27" s="24">
        <v>16215963</v>
      </c>
      <c r="C27" s="24">
        <v>16701272</v>
      </c>
      <c r="D27" s="24">
        <v>17352119</v>
      </c>
    </row>
    <row r="28" spans="1:17" x14ac:dyDescent="0.3">
      <c r="A28" s="6" t="s">
        <v>55</v>
      </c>
      <c r="B28" s="24">
        <v>16325819</v>
      </c>
      <c r="C28" s="24">
        <v>16864919</v>
      </c>
      <c r="D28" s="24">
        <v>17528214</v>
      </c>
      <c r="I28" s="8"/>
      <c r="J28" s="8"/>
    </row>
    <row r="31" spans="1:17" x14ac:dyDescent="0.3">
      <c r="A31" s="2" t="s">
        <v>57</v>
      </c>
      <c r="B31" s="2"/>
      <c r="C31" s="2"/>
      <c r="D31" s="2"/>
    </row>
    <row r="32" spans="1:17" x14ac:dyDescent="0.3">
      <c r="B32" s="1" t="s">
        <v>58</v>
      </c>
      <c r="C32" s="1"/>
      <c r="D32" s="1"/>
    </row>
    <row r="33" spans="1:9" x14ac:dyDescent="0.3">
      <c r="B33" s="4">
        <f>+B4</f>
        <v>2022</v>
      </c>
      <c r="C33" s="4">
        <f>+C4</f>
        <v>2021</v>
      </c>
      <c r="D33" s="4">
        <f>+D4</f>
        <v>2020</v>
      </c>
    </row>
    <row r="34" spans="1:9" x14ac:dyDescent="0.3">
      <c r="I34" s="14"/>
    </row>
    <row r="35" spans="1:9" x14ac:dyDescent="0.3">
      <c r="A35" t="s">
        <v>59</v>
      </c>
    </row>
    <row r="36" spans="1:9" x14ac:dyDescent="0.3">
      <c r="A36" s="6" t="s">
        <v>60</v>
      </c>
      <c r="B36" s="16">
        <v>23646</v>
      </c>
      <c r="C36" s="16">
        <v>34940</v>
      </c>
      <c r="D36" s="16">
        <v>38016</v>
      </c>
    </row>
    <row r="37" spans="1:9" x14ac:dyDescent="0.3">
      <c r="A37" s="6" t="s">
        <v>61</v>
      </c>
      <c r="B37" s="16">
        <v>24658</v>
      </c>
      <c r="C37" s="16">
        <v>27699</v>
      </c>
      <c r="D37" s="16">
        <v>52927</v>
      </c>
    </row>
    <row r="38" spans="1:9" x14ac:dyDescent="0.3">
      <c r="A38" s="6" t="s">
        <v>62</v>
      </c>
      <c r="B38" s="16">
        <v>28184</v>
      </c>
      <c r="C38" s="16">
        <v>26278</v>
      </c>
      <c r="D38" s="16">
        <v>16120</v>
      </c>
    </row>
    <row r="39" spans="1:9" x14ac:dyDescent="0.3">
      <c r="A39" s="6" t="s">
        <v>63</v>
      </c>
      <c r="B39" s="16">
        <v>4946</v>
      </c>
      <c r="C39" s="16">
        <v>6580</v>
      </c>
      <c r="D39" s="16">
        <v>4061</v>
      </c>
    </row>
    <row r="40" spans="1:9" x14ac:dyDescent="0.3">
      <c r="A40" s="6" t="s">
        <v>64</v>
      </c>
      <c r="B40" s="16">
        <v>32748</v>
      </c>
      <c r="C40" s="16">
        <v>25228</v>
      </c>
      <c r="D40" s="16">
        <v>21325</v>
      </c>
    </row>
    <row r="41" spans="1:9" x14ac:dyDescent="0.3">
      <c r="A41" s="6" t="s">
        <v>65</v>
      </c>
      <c r="B41" s="16">
        <v>21223</v>
      </c>
      <c r="C41" s="16">
        <v>14111</v>
      </c>
      <c r="D41" s="16">
        <v>11264</v>
      </c>
    </row>
    <row r="42" spans="1:9" x14ac:dyDescent="0.3">
      <c r="A42" s="18" t="s">
        <v>66</v>
      </c>
      <c r="B42" s="19">
        <f>+SUM(B36:B41)</f>
        <v>135405</v>
      </c>
      <c r="C42" s="19">
        <f>+SUM(C36:C41)</f>
        <v>134836</v>
      </c>
      <c r="D42" s="19">
        <f>+SUM(D36:D41)</f>
        <v>143713</v>
      </c>
    </row>
    <row r="43" spans="1:9" x14ac:dyDescent="0.3">
      <c r="A43" t="s">
        <v>67</v>
      </c>
      <c r="B43" s="16"/>
      <c r="C43" s="16"/>
      <c r="D43" s="16"/>
    </row>
    <row r="44" spans="1:9" x14ac:dyDescent="0.3">
      <c r="A44" s="6" t="s">
        <v>61</v>
      </c>
      <c r="B44" s="16">
        <v>120805</v>
      </c>
      <c r="C44" s="16">
        <v>127877</v>
      </c>
      <c r="D44" s="16">
        <v>100887</v>
      </c>
    </row>
    <row r="45" spans="1:9" x14ac:dyDescent="0.3">
      <c r="A45" s="6" t="s">
        <v>68</v>
      </c>
      <c r="B45" s="16">
        <v>42117</v>
      </c>
      <c r="C45" s="16">
        <v>39440</v>
      </c>
      <c r="D45" s="16">
        <v>36766</v>
      </c>
    </row>
    <row r="46" spans="1:9" x14ac:dyDescent="0.3">
      <c r="A46" s="6" t="s">
        <v>69</v>
      </c>
      <c r="B46" s="16">
        <v>54428</v>
      </c>
      <c r="C46" s="16">
        <v>48849</v>
      </c>
      <c r="D46" s="16">
        <v>42522</v>
      </c>
    </row>
    <row r="47" spans="1:9" x14ac:dyDescent="0.3">
      <c r="A47" s="18" t="s">
        <v>70</v>
      </c>
      <c r="B47" s="19">
        <f>+SUM(B44:B46)</f>
        <v>217350</v>
      </c>
      <c r="C47" s="19">
        <f>+SUM(C44:C46)</f>
        <v>216166</v>
      </c>
      <c r="D47" s="19">
        <f>+SUM(D44:D46)</f>
        <v>180175</v>
      </c>
    </row>
    <row r="48" spans="1:9" x14ac:dyDescent="0.3">
      <c r="A48" s="21" t="s">
        <v>71</v>
      </c>
      <c r="B48" s="22">
        <f>+B42+B47</f>
        <v>352755</v>
      </c>
      <c r="C48" s="22">
        <f>+C42+C47</f>
        <v>351002</v>
      </c>
      <c r="D48" s="22">
        <f>+D42+D47</f>
        <v>323888</v>
      </c>
    </row>
    <row r="50" spans="1:4" x14ac:dyDescent="0.3">
      <c r="A50" t="s">
        <v>72</v>
      </c>
    </row>
    <row r="51" spans="1:4" x14ac:dyDescent="0.3">
      <c r="A51" s="6" t="s">
        <v>73</v>
      </c>
      <c r="B51" s="16">
        <v>64115</v>
      </c>
      <c r="C51" s="16">
        <v>54763</v>
      </c>
      <c r="D51" s="16">
        <v>42296</v>
      </c>
    </row>
    <row r="52" spans="1:4" x14ac:dyDescent="0.3">
      <c r="A52" s="6" t="s">
        <v>74</v>
      </c>
      <c r="B52" s="16">
        <v>60845</v>
      </c>
      <c r="C52" s="16">
        <v>47493</v>
      </c>
      <c r="D52" s="16">
        <v>42684</v>
      </c>
    </row>
    <row r="53" spans="1:4" x14ac:dyDescent="0.3">
      <c r="A53" s="6" t="s">
        <v>75</v>
      </c>
      <c r="B53" s="16">
        <v>7912</v>
      </c>
      <c r="C53" s="16">
        <v>7612</v>
      </c>
      <c r="D53" s="16">
        <v>6643</v>
      </c>
    </row>
    <row r="54" spans="1:4" x14ac:dyDescent="0.3">
      <c r="A54" s="6" t="s">
        <v>76</v>
      </c>
      <c r="B54" s="16">
        <v>9982</v>
      </c>
      <c r="C54" s="16">
        <v>6000</v>
      </c>
      <c r="D54" s="16">
        <v>4996</v>
      </c>
    </row>
    <row r="55" spans="1:4" x14ac:dyDescent="0.3">
      <c r="A55" s="6" t="s">
        <v>77</v>
      </c>
      <c r="B55" s="16">
        <v>11128</v>
      </c>
      <c r="C55" s="16">
        <v>9613</v>
      </c>
      <c r="D55" s="16">
        <v>8773</v>
      </c>
    </row>
    <row r="56" spans="1:4" x14ac:dyDescent="0.3">
      <c r="A56" s="18" t="s">
        <v>78</v>
      </c>
      <c r="B56" s="19">
        <f>+SUM(B51:B55)</f>
        <v>153982</v>
      </c>
      <c r="C56" s="19">
        <f>+SUM(C51:C55)</f>
        <v>125481</v>
      </c>
      <c r="D56" s="19">
        <f>+SUM(D51:D55)</f>
        <v>105392</v>
      </c>
    </row>
    <row r="57" spans="1:4" x14ac:dyDescent="0.3">
      <c r="A57" t="s">
        <v>79</v>
      </c>
      <c r="B57" s="16"/>
      <c r="C57" s="16"/>
      <c r="D57" s="16"/>
    </row>
    <row r="58" spans="1:4" x14ac:dyDescent="0.3">
      <c r="A58" s="6" t="s">
        <v>75</v>
      </c>
      <c r="B58" s="16"/>
      <c r="C58" s="16"/>
      <c r="D58" s="16"/>
    </row>
    <row r="59" spans="1:4" x14ac:dyDescent="0.3">
      <c r="A59" s="6" t="s">
        <v>77</v>
      </c>
      <c r="B59" s="16">
        <v>98959</v>
      </c>
      <c r="C59" s="16">
        <v>109106</v>
      </c>
      <c r="D59" s="16">
        <v>98667</v>
      </c>
    </row>
    <row r="60" spans="1:4" x14ac:dyDescent="0.3">
      <c r="A60" s="6" t="s">
        <v>80</v>
      </c>
      <c r="B60" s="16">
        <v>49142</v>
      </c>
      <c r="C60" s="16">
        <v>53325</v>
      </c>
      <c r="D60" s="16">
        <v>54490</v>
      </c>
    </row>
    <row r="61" spans="1:4" x14ac:dyDescent="0.3">
      <c r="A61" s="25" t="s">
        <v>81</v>
      </c>
      <c r="B61" s="26">
        <f>+B59+B60</f>
        <v>148101</v>
      </c>
      <c r="C61" s="26">
        <f>+C59+C60</f>
        <v>162431</v>
      </c>
      <c r="D61" s="26">
        <f>+D59+D60</f>
        <v>153157</v>
      </c>
    </row>
    <row r="62" spans="1:4" x14ac:dyDescent="0.3">
      <c r="A62" s="18" t="s">
        <v>82</v>
      </c>
      <c r="B62" s="19">
        <f>+B56+B61</f>
        <v>302083</v>
      </c>
      <c r="C62" s="19">
        <f>+C56+C61</f>
        <v>287912</v>
      </c>
      <c r="D62" s="19">
        <f>+D56+D61</f>
        <v>258549</v>
      </c>
    </row>
    <row r="63" spans="1:4" x14ac:dyDescent="0.3">
      <c r="B63" s="16"/>
      <c r="C63" s="16"/>
      <c r="D63" s="16"/>
    </row>
    <row r="64" spans="1:4" x14ac:dyDescent="0.3">
      <c r="A64" t="s">
        <v>83</v>
      </c>
      <c r="B64" s="16"/>
      <c r="C64" s="16"/>
      <c r="D64" s="16"/>
    </row>
    <row r="65" spans="1:4" x14ac:dyDescent="0.3">
      <c r="A65" s="6" t="s">
        <v>84</v>
      </c>
      <c r="B65" s="16">
        <v>64849</v>
      </c>
      <c r="C65" s="16">
        <v>57365</v>
      </c>
      <c r="D65" s="16">
        <v>50779</v>
      </c>
    </row>
    <row r="66" spans="1:4" x14ac:dyDescent="0.3">
      <c r="A66" s="6" t="s">
        <v>85</v>
      </c>
      <c r="B66" s="16">
        <v>-3068</v>
      </c>
      <c r="C66" s="16">
        <v>5562</v>
      </c>
      <c r="D66" s="16">
        <v>14966</v>
      </c>
    </row>
    <row r="67" spans="1:4" x14ac:dyDescent="0.3">
      <c r="A67" s="6" t="s">
        <v>86</v>
      </c>
      <c r="B67" s="16">
        <v>-11109</v>
      </c>
      <c r="C67" s="16">
        <v>163</v>
      </c>
      <c r="D67" s="16">
        <v>-406</v>
      </c>
    </row>
    <row r="68" spans="1:4" x14ac:dyDescent="0.3">
      <c r="A68" s="18" t="s">
        <v>87</v>
      </c>
      <c r="B68" s="19">
        <f>+SUM(B65:B67)</f>
        <v>50672</v>
      </c>
      <c r="C68" s="19">
        <f>+SUM(C65:C67)</f>
        <v>63090</v>
      </c>
      <c r="D68" s="19">
        <f>+SUM(D65:D67)</f>
        <v>65339</v>
      </c>
    </row>
    <row r="69" spans="1:4" x14ac:dyDescent="0.3">
      <c r="A69" s="21" t="s">
        <v>88</v>
      </c>
      <c r="B69" s="22">
        <f>+B68+B62</f>
        <v>352755</v>
      </c>
      <c r="C69" s="22">
        <f>+C68+C62</f>
        <v>351002</v>
      </c>
      <c r="D69" s="22">
        <f>+D68+D62</f>
        <v>323888</v>
      </c>
    </row>
    <row r="71" spans="1:4" x14ac:dyDescent="0.3">
      <c r="A71" s="2" t="s">
        <v>89</v>
      </c>
      <c r="B71" s="2"/>
      <c r="C71" s="2"/>
      <c r="D71" s="2"/>
    </row>
    <row r="72" spans="1:4" x14ac:dyDescent="0.3">
      <c r="B72" s="1" t="s">
        <v>24</v>
      </c>
      <c r="C72" s="1"/>
      <c r="D72" s="1"/>
    </row>
    <row r="73" spans="1:4" x14ac:dyDescent="0.3">
      <c r="B73" s="4">
        <f>+B33</f>
        <v>2022</v>
      </c>
      <c r="C73" s="4">
        <f>+C33</f>
        <v>2021</v>
      </c>
      <c r="D73" s="4">
        <f>+D33</f>
        <v>2020</v>
      </c>
    </row>
    <row r="75" spans="1:4" x14ac:dyDescent="0.3">
      <c r="A75" s="4" t="s">
        <v>90</v>
      </c>
      <c r="B75" s="27"/>
      <c r="C75" s="27"/>
      <c r="D75" s="27"/>
    </row>
    <row r="76" spans="1:4" x14ac:dyDescent="0.3">
      <c r="A76" t="s">
        <v>91</v>
      </c>
      <c r="B76" s="16">
        <f>+B22</f>
        <v>99803</v>
      </c>
      <c r="C76" s="16">
        <f>+C22</f>
        <v>94680</v>
      </c>
      <c r="D76" s="16">
        <f>+D22</f>
        <v>57411</v>
      </c>
    </row>
    <row r="77" spans="1:4" x14ac:dyDescent="0.3">
      <c r="A77" s="28" t="s">
        <v>50</v>
      </c>
      <c r="B77" s="27"/>
      <c r="C77" s="27"/>
      <c r="D77" s="27"/>
    </row>
    <row r="78" spans="1:4" x14ac:dyDescent="0.3">
      <c r="A78" s="6" t="s">
        <v>92</v>
      </c>
      <c r="B78" s="16"/>
      <c r="C78" s="16"/>
      <c r="D78" s="16"/>
    </row>
    <row r="79" spans="1:4" x14ac:dyDescent="0.3">
      <c r="A79" s="29" t="s">
        <v>93</v>
      </c>
      <c r="B79" s="16">
        <v>11104</v>
      </c>
      <c r="C79" s="16">
        <v>11284</v>
      </c>
      <c r="D79" s="16">
        <v>11056</v>
      </c>
    </row>
    <row r="80" spans="1:4" x14ac:dyDescent="0.3">
      <c r="A80" s="29" t="s">
        <v>94</v>
      </c>
      <c r="B80" s="16">
        <v>9038</v>
      </c>
      <c r="C80" s="16">
        <v>7906</v>
      </c>
      <c r="D80" s="16">
        <v>6829</v>
      </c>
    </row>
    <row r="81" spans="1:4" x14ac:dyDescent="0.3">
      <c r="A81" s="29" t="s">
        <v>95</v>
      </c>
      <c r="B81" s="16">
        <v>895</v>
      </c>
      <c r="C81" s="16">
        <v>-4774</v>
      </c>
      <c r="D81" s="16">
        <v>-215</v>
      </c>
    </row>
    <row r="82" spans="1:4" x14ac:dyDescent="0.3">
      <c r="A82" s="29" t="s">
        <v>96</v>
      </c>
      <c r="B82" s="16">
        <v>111</v>
      </c>
      <c r="C82" s="16">
        <v>-147</v>
      </c>
      <c r="D82" s="16">
        <v>-97</v>
      </c>
    </row>
    <row r="83" spans="1:4" x14ac:dyDescent="0.3">
      <c r="A83" t="s">
        <v>97</v>
      </c>
      <c r="B83" s="16"/>
      <c r="C83" s="16"/>
      <c r="D83" s="16"/>
    </row>
    <row r="84" spans="1:4" x14ac:dyDescent="0.3">
      <c r="A84" s="6" t="s">
        <v>62</v>
      </c>
      <c r="B84" s="16">
        <v>-1823</v>
      </c>
      <c r="C84" s="16">
        <v>-10125</v>
      </c>
      <c r="D84" s="16">
        <v>6917</v>
      </c>
    </row>
    <row r="85" spans="1:4" x14ac:dyDescent="0.3">
      <c r="A85" s="6" t="s">
        <v>63</v>
      </c>
      <c r="B85" s="16">
        <v>1484</v>
      </c>
      <c r="C85" s="16">
        <v>-2642</v>
      </c>
      <c r="D85" s="16">
        <v>-127</v>
      </c>
    </row>
    <row r="86" spans="1:4" x14ac:dyDescent="0.3">
      <c r="A86" s="6" t="s">
        <v>64</v>
      </c>
      <c r="B86" s="16">
        <v>-7520</v>
      </c>
      <c r="C86" s="16">
        <v>-3903</v>
      </c>
      <c r="D86" s="16">
        <v>1553</v>
      </c>
    </row>
    <row r="87" spans="1:4" x14ac:dyDescent="0.3">
      <c r="A87" s="6" t="s">
        <v>98</v>
      </c>
      <c r="B87" s="16">
        <v>-6499</v>
      </c>
      <c r="C87" s="16">
        <v>-8042</v>
      </c>
      <c r="D87" s="16">
        <v>-9588</v>
      </c>
    </row>
    <row r="88" spans="1:4" x14ac:dyDescent="0.3">
      <c r="A88" s="6" t="s">
        <v>73</v>
      </c>
      <c r="B88" s="16">
        <v>9448</v>
      </c>
      <c r="C88" s="16">
        <v>12326</v>
      </c>
      <c r="D88" s="16">
        <v>-4062</v>
      </c>
    </row>
    <row r="89" spans="1:4" x14ac:dyDescent="0.3">
      <c r="A89" s="6" t="s">
        <v>75</v>
      </c>
      <c r="B89" s="16">
        <v>478</v>
      </c>
      <c r="C89" s="16">
        <v>1676</v>
      </c>
      <c r="D89" s="16">
        <v>2081</v>
      </c>
    </row>
    <row r="90" spans="1:4" x14ac:dyDescent="0.3">
      <c r="A90" s="6" t="s">
        <v>99</v>
      </c>
      <c r="B90" s="16">
        <v>5632</v>
      </c>
      <c r="C90" s="16">
        <v>5799</v>
      </c>
      <c r="D90" s="16">
        <v>8916</v>
      </c>
    </row>
    <row r="91" spans="1:4" x14ac:dyDescent="0.3">
      <c r="A91" s="18" t="s">
        <v>100</v>
      </c>
      <c r="B91" s="19">
        <f>+SUM(B76:B90)</f>
        <v>122151</v>
      </c>
      <c r="C91" s="19">
        <f>+SUM(C76:C90)</f>
        <v>104038</v>
      </c>
      <c r="D91" s="19">
        <f>+SUM(D76:D90)</f>
        <v>80674</v>
      </c>
    </row>
    <row r="92" spans="1:4" x14ac:dyDescent="0.3">
      <c r="A92" s="4" t="s">
        <v>101</v>
      </c>
      <c r="B92" s="16"/>
      <c r="C92" s="16"/>
      <c r="D92" s="16"/>
    </row>
    <row r="93" spans="1:4" x14ac:dyDescent="0.3">
      <c r="A93" s="6" t="s">
        <v>102</v>
      </c>
      <c r="B93" s="16">
        <v>-76923</v>
      </c>
      <c r="C93" s="16">
        <v>-109558</v>
      </c>
      <c r="D93" s="16">
        <v>-114938</v>
      </c>
    </row>
    <row r="94" spans="1:4" x14ac:dyDescent="0.3">
      <c r="A94" s="6" t="s">
        <v>103</v>
      </c>
      <c r="B94" s="16">
        <v>29917</v>
      </c>
      <c r="C94" s="16">
        <v>59023</v>
      </c>
      <c r="D94" s="16">
        <v>69918</v>
      </c>
    </row>
    <row r="95" spans="1:4" x14ac:dyDescent="0.3">
      <c r="A95" s="6" t="s">
        <v>104</v>
      </c>
      <c r="B95" s="16">
        <v>37446</v>
      </c>
      <c r="C95" s="16">
        <v>47460</v>
      </c>
      <c r="D95" s="16">
        <v>50473</v>
      </c>
    </row>
    <row r="96" spans="1:4" x14ac:dyDescent="0.3">
      <c r="A96" s="6" t="s">
        <v>105</v>
      </c>
      <c r="B96" s="16">
        <v>-10708</v>
      </c>
      <c r="C96" s="16">
        <v>-11085</v>
      </c>
      <c r="D96" s="16">
        <v>-7309</v>
      </c>
    </row>
    <row r="97" spans="1:8" x14ac:dyDescent="0.3">
      <c r="A97" s="6" t="s">
        <v>106</v>
      </c>
      <c r="B97" s="16">
        <v>-306</v>
      </c>
      <c r="C97" s="16">
        <v>-33</v>
      </c>
      <c r="D97" s="16">
        <v>-1524</v>
      </c>
    </row>
    <row r="98" spans="1:8" x14ac:dyDescent="0.3">
      <c r="A98" s="6" t="s">
        <v>96</v>
      </c>
      <c r="B98" s="16">
        <v>-1780</v>
      </c>
      <c r="C98" s="16">
        <v>-352</v>
      </c>
      <c r="D98" s="16">
        <v>-909</v>
      </c>
      <c r="H98" s="19"/>
    </row>
    <row r="99" spans="1:8" x14ac:dyDescent="0.3">
      <c r="A99" s="18" t="s">
        <v>107</v>
      </c>
      <c r="B99" s="19">
        <f>+SUM(B93:B98)</f>
        <v>-22354</v>
      </c>
      <c r="C99" s="19">
        <f>+SUM(C93:C98)</f>
        <v>-14545</v>
      </c>
      <c r="D99" s="19">
        <f>+SUM(D93:D98)</f>
        <v>-4289</v>
      </c>
    </row>
    <row r="100" spans="1:8" x14ac:dyDescent="0.3">
      <c r="A100" s="4" t="s">
        <v>108</v>
      </c>
      <c r="B100" s="16"/>
      <c r="C100" s="16"/>
      <c r="D100" s="16"/>
    </row>
    <row r="101" spans="1:8" x14ac:dyDescent="0.3">
      <c r="A101" s="6" t="s">
        <v>109</v>
      </c>
      <c r="B101" s="16">
        <v>-6223</v>
      </c>
      <c r="C101" s="16">
        <v>-6556</v>
      </c>
      <c r="D101" s="16">
        <v>-3634</v>
      </c>
    </row>
    <row r="102" spans="1:8" x14ac:dyDescent="0.3">
      <c r="A102" s="6" t="s">
        <v>110</v>
      </c>
      <c r="B102" s="16">
        <v>-14841</v>
      </c>
      <c r="C102" s="16">
        <v>-14467</v>
      </c>
      <c r="D102" s="16">
        <v>-14081</v>
      </c>
    </row>
    <row r="103" spans="1:8" x14ac:dyDescent="0.3">
      <c r="A103" s="6" t="s">
        <v>111</v>
      </c>
      <c r="B103" s="16">
        <v>-89402</v>
      </c>
      <c r="C103" s="16">
        <v>-85971</v>
      </c>
      <c r="D103" s="16">
        <v>-72358</v>
      </c>
    </row>
    <row r="104" spans="1:8" x14ac:dyDescent="0.3">
      <c r="A104" s="6" t="s">
        <v>112</v>
      </c>
      <c r="B104" s="16">
        <v>5465</v>
      </c>
      <c r="C104" s="16">
        <v>20393</v>
      </c>
      <c r="D104" s="16">
        <v>16091</v>
      </c>
    </row>
    <row r="105" spans="1:8" x14ac:dyDescent="0.3">
      <c r="A105" s="6" t="s">
        <v>113</v>
      </c>
      <c r="B105" s="16">
        <v>-9543</v>
      </c>
      <c r="C105" s="16">
        <v>-8750</v>
      </c>
      <c r="D105" s="16">
        <v>-12629</v>
      </c>
    </row>
    <row r="106" spans="1:8" x14ac:dyDescent="0.3">
      <c r="A106" s="6" t="s">
        <v>114</v>
      </c>
      <c r="B106" s="16">
        <v>3955</v>
      </c>
      <c r="C106" s="16">
        <v>1022</v>
      </c>
      <c r="D106" s="16">
        <v>-963</v>
      </c>
    </row>
    <row r="107" spans="1:8" x14ac:dyDescent="0.3">
      <c r="A107" s="6" t="s">
        <v>96</v>
      </c>
      <c r="B107" s="16">
        <v>-160</v>
      </c>
      <c r="C107" s="16">
        <v>976</v>
      </c>
      <c r="D107" s="16">
        <v>754</v>
      </c>
    </row>
    <row r="108" spans="1:8" x14ac:dyDescent="0.3">
      <c r="A108" s="18" t="s">
        <v>115</v>
      </c>
      <c r="B108" s="19">
        <f>+SUM(B101:B107)</f>
        <v>-110749</v>
      </c>
      <c r="C108" s="19">
        <f>+SUM(C101:C107)</f>
        <v>-93353</v>
      </c>
      <c r="D108" s="19">
        <f>+SUM(D101:D107)</f>
        <v>-86820</v>
      </c>
    </row>
    <row r="109" spans="1:8" x14ac:dyDescent="0.3">
      <c r="A109" s="18" t="s">
        <v>116</v>
      </c>
      <c r="B109" s="19">
        <f>+B91+B99+B108</f>
        <v>-10952</v>
      </c>
      <c r="C109" s="19">
        <f>+C91+C99+C108</f>
        <v>-3860</v>
      </c>
      <c r="D109" s="19">
        <f>+D91+D99+D108</f>
        <v>-10435</v>
      </c>
    </row>
    <row r="110" spans="1:8" x14ac:dyDescent="0.3">
      <c r="A110" s="21" t="s">
        <v>117</v>
      </c>
      <c r="B110" s="22">
        <v>24977</v>
      </c>
      <c r="C110" s="22">
        <v>35929</v>
      </c>
      <c r="D110" s="22">
        <v>39789</v>
      </c>
    </row>
    <row r="111" spans="1:8" x14ac:dyDescent="0.3">
      <c r="B111" s="16"/>
      <c r="C111" s="16"/>
      <c r="D111" s="16"/>
    </row>
    <row r="112" spans="1:8" x14ac:dyDescent="0.3">
      <c r="A112" t="s">
        <v>118</v>
      </c>
      <c r="B112" s="16"/>
      <c r="C112" s="16"/>
      <c r="D112" s="16"/>
    </row>
    <row r="113" spans="1:4" x14ac:dyDescent="0.3">
      <c r="A113" t="s">
        <v>119</v>
      </c>
      <c r="B113" s="16">
        <v>19573</v>
      </c>
      <c r="C113" s="16">
        <v>25385</v>
      </c>
      <c r="D113" s="16">
        <v>9501</v>
      </c>
    </row>
    <row r="114" spans="1:4" x14ac:dyDescent="0.3">
      <c r="A114" t="s">
        <v>120</v>
      </c>
      <c r="B114" s="16">
        <v>2865</v>
      </c>
      <c r="C114" s="16">
        <v>2687</v>
      </c>
      <c r="D114" s="16">
        <v>3002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9"/>
  <sheetViews>
    <sheetView tabSelected="1" zoomScaleNormal="100" workbookViewId="0">
      <selection activeCell="F8" sqref="F8"/>
    </sheetView>
  </sheetViews>
  <sheetFormatPr defaultColWidth="8.5546875" defaultRowHeight="14.4" x14ac:dyDescent="0.3"/>
  <cols>
    <col min="1" max="1" width="4.6640625" customWidth="1"/>
    <col min="2" max="2" width="44.88671875" customWidth="1"/>
    <col min="6" max="6" width="33.109375" customWidth="1"/>
    <col min="7" max="7" width="59.5546875" customWidth="1"/>
  </cols>
  <sheetData>
    <row r="1" spans="1:14" ht="60" customHeight="1" x14ac:dyDescent="0.5">
      <c r="A1" s="9"/>
      <c r="B1" s="30" t="s">
        <v>21</v>
      </c>
      <c r="C1" s="31"/>
      <c r="D1" s="31"/>
      <c r="E1" s="31"/>
      <c r="F1" s="32" t="s">
        <v>121</v>
      </c>
      <c r="G1" s="32" t="s">
        <v>121</v>
      </c>
      <c r="H1" s="31"/>
      <c r="I1" s="31"/>
      <c r="J1" s="31"/>
      <c r="K1" s="31"/>
    </row>
    <row r="2" spans="1:14" x14ac:dyDescent="0.3">
      <c r="C2" s="1" t="s">
        <v>24</v>
      </c>
      <c r="D2" s="1"/>
      <c r="E2" s="1"/>
      <c r="F2" s="11"/>
    </row>
    <row r="3" spans="1:14" x14ac:dyDescent="0.3">
      <c r="C3" s="4">
        <f>+'Financial Statements'!B4</f>
        <v>2022</v>
      </c>
      <c r="D3" s="4">
        <f>+'Financial Statements'!C4</f>
        <v>2021</v>
      </c>
      <c r="E3" s="4">
        <f>+'Financial Statements'!D4</f>
        <v>2020</v>
      </c>
      <c r="F3" s="4"/>
      <c r="H3" s="4"/>
      <c r="I3" s="4"/>
      <c r="J3" s="4"/>
    </row>
    <row r="4" spans="1:14" x14ac:dyDescent="0.3">
      <c r="A4" s="33">
        <v>1</v>
      </c>
      <c r="B4" s="4" t="s">
        <v>122</v>
      </c>
    </row>
    <row r="5" spans="1:14" x14ac:dyDescent="0.3">
      <c r="A5" s="33">
        <f t="shared" ref="A5:A13" si="0">+A4+0.1</f>
        <v>1.1000000000000001</v>
      </c>
      <c r="B5" s="6" t="s">
        <v>123</v>
      </c>
      <c r="C5" s="34">
        <f>'Financial Statements'!B42/'Financial Statements'!B56</f>
        <v>0.87935602862672257</v>
      </c>
      <c r="D5" s="34">
        <f>'Financial Statements'!C42/'Financial Statements'!C56</f>
        <v>1.0745531195957954</v>
      </c>
      <c r="E5" s="34">
        <f>'Financial Statements'!D42/'Financial Statements'!D56</f>
        <v>1.3636044481554577</v>
      </c>
      <c r="F5" s="34"/>
    </row>
    <row r="6" spans="1:14" x14ac:dyDescent="0.3">
      <c r="A6" s="33">
        <f t="shared" si="0"/>
        <v>1.2000000000000002</v>
      </c>
      <c r="B6" s="6" t="s">
        <v>124</v>
      </c>
      <c r="C6" s="34">
        <f>('Financial Statements'!B36+'Financial Statements'!B37+'Financial Statements'!B38)/'Financial Statements'!B56</f>
        <v>0.49673338442155579</v>
      </c>
      <c r="D6" s="34">
        <f>('Financial Statements'!C36+'Financial Statements'!C37+'Financial Statements'!C38)/'Financial Statements'!C56</f>
        <v>0.70860927152317876</v>
      </c>
      <c r="E6" s="34">
        <f>('Financial Statements'!D36+'Financial Statements'!D37+'Financial Statements'!D38)/'Financial Statements'!D56</f>
        <v>1.0158550933657204</v>
      </c>
      <c r="F6" s="34"/>
    </row>
    <row r="7" spans="1:14" x14ac:dyDescent="0.3">
      <c r="A7" s="33">
        <f t="shared" si="0"/>
        <v>1.3000000000000003</v>
      </c>
      <c r="B7" s="6" t="s">
        <v>125</v>
      </c>
      <c r="C7" s="34">
        <f>'Financial Statements'!B110/'Financial Statements'!B56</f>
        <v>0.1622072709797249</v>
      </c>
      <c r="D7" s="34">
        <f>('Financial Statements'!C110/'Financial Statements'!C56)</f>
        <v>0.28633020138507026</v>
      </c>
      <c r="E7" s="34">
        <f>'Financial Statements'!D110/'Financial Statements'!D56</f>
        <v>0.37753339911947775</v>
      </c>
      <c r="F7" s="34"/>
    </row>
    <row r="8" spans="1:14" x14ac:dyDescent="0.3">
      <c r="A8" s="33">
        <f t="shared" si="0"/>
        <v>1.4000000000000004</v>
      </c>
      <c r="B8" s="6" t="s">
        <v>126</v>
      </c>
      <c r="C8" s="34">
        <f>'Financial Statements'!B42/'Financial Statements'!H15/365</f>
        <v>4.4840547074212669</v>
      </c>
      <c r="D8" s="34">
        <f>'Financial Statements'!C42/'Financial Statements'!I15/365</f>
        <v>4.5525018569788633</v>
      </c>
      <c r="E8" s="34">
        <f>'Financial Statements'!D42/'Financial Statements'!J15/365</f>
        <v>6.8126570277316905</v>
      </c>
      <c r="F8" s="34" t="s">
        <v>185</v>
      </c>
      <c r="G8" t="s">
        <v>127</v>
      </c>
      <c r="N8" s="35"/>
    </row>
    <row r="9" spans="1:14" x14ac:dyDescent="0.3">
      <c r="A9" s="33">
        <f t="shared" si="0"/>
        <v>1.5000000000000004</v>
      </c>
      <c r="B9" s="6" t="s">
        <v>128</v>
      </c>
      <c r="C9" s="15">
        <f>('Financial Statements'!B39/'Financial Statements'!B12)*365</f>
        <v>8.0756980666171607</v>
      </c>
      <c r="D9" s="15">
        <f>('Financial Statements'!C39/'Financial Statements'!C12)*365</f>
        <v>11.27659274770989</v>
      </c>
      <c r="E9" s="15">
        <f>('Financial Statements'!D39/'Financial Statements'!D12)*365</f>
        <v>8.7418833562358831</v>
      </c>
      <c r="F9" s="15"/>
      <c r="G9" t="s">
        <v>129</v>
      </c>
      <c r="K9" s="35"/>
    </row>
    <row r="10" spans="1:14" x14ac:dyDescent="0.3">
      <c r="A10" s="33">
        <f t="shared" si="0"/>
        <v>1.6000000000000005</v>
      </c>
      <c r="B10" s="6" t="s">
        <v>130</v>
      </c>
      <c r="C10" s="34">
        <f>'Financial Statements'!B51/'Financial Statements'!B12*365</f>
        <v>104.68527730310539</v>
      </c>
      <c r="D10" s="34">
        <f>'Financial Statements'!C51/'Financial Statements'!C12*365</f>
        <v>93.851071222315596</v>
      </c>
      <c r="E10" s="34">
        <f>'Financial Statements'!D51/'Financial Statements'!D12*365</f>
        <v>91.048189715674198</v>
      </c>
      <c r="F10" s="34"/>
      <c r="G10" t="s">
        <v>131</v>
      </c>
      <c r="H10" s="35"/>
    </row>
    <row r="11" spans="1:14" x14ac:dyDescent="0.3">
      <c r="A11" s="33">
        <f t="shared" si="0"/>
        <v>1.7000000000000006</v>
      </c>
      <c r="B11" s="6" t="s">
        <v>132</v>
      </c>
      <c r="C11" s="34">
        <f>('Financial Statements'!B38/'Financial Statements'!B8)*365</f>
        <v>26.087825363656648</v>
      </c>
      <c r="D11" s="34">
        <f>('Financial Statements'!C38/'Financial Statements'!C8)*365</f>
        <v>26.219311841713207</v>
      </c>
      <c r="E11" s="34">
        <f>('Financial Statements'!D38/'Financial Statements'!D8)*365</f>
        <v>21.433437152796749</v>
      </c>
      <c r="F11" s="34"/>
    </row>
    <row r="12" spans="1:14" x14ac:dyDescent="0.3">
      <c r="A12" s="33">
        <f t="shared" si="0"/>
        <v>1.8000000000000007</v>
      </c>
      <c r="B12" s="6" t="s">
        <v>133</v>
      </c>
      <c r="C12" s="34">
        <f>C9+C11-C10</f>
        <v>-70.521753872831582</v>
      </c>
      <c r="D12" s="34">
        <f>D9+D11-D10</f>
        <v>-56.355166632892498</v>
      </c>
      <c r="E12" s="34">
        <f>E9+E11-E10</f>
        <v>-60.872869206641568</v>
      </c>
      <c r="F12" s="34"/>
    </row>
    <row r="13" spans="1:14" x14ac:dyDescent="0.3">
      <c r="A13" s="33">
        <f t="shared" si="0"/>
        <v>1.9000000000000008</v>
      </c>
      <c r="B13" s="6" t="s">
        <v>134</v>
      </c>
      <c r="C13" s="8">
        <f>'Financial Statements'!H11/'Financial Statements'!B8</f>
        <v>-4.711052727678481E-2</v>
      </c>
      <c r="D13" s="8">
        <f>'Financial Statements'!I11/'Financial Statements'!C8</f>
        <v>2.557289573748623E-2</v>
      </c>
      <c r="E13" s="8">
        <f>'Financial Statements'!J11/'Financial Statements'!D8</f>
        <v>0.13959528623208203</v>
      </c>
      <c r="F13" s="8"/>
      <c r="H13" s="8"/>
      <c r="I13" s="8"/>
      <c r="J13" s="8"/>
    </row>
    <row r="14" spans="1:14" x14ac:dyDescent="0.3">
      <c r="A14" s="33"/>
      <c r="B14" s="29" t="s">
        <v>135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4" x14ac:dyDescent="0.3">
      <c r="A15" s="33"/>
    </row>
    <row r="16" spans="1:14" x14ac:dyDescent="0.3">
      <c r="A16" s="33">
        <f>+A4+1</f>
        <v>2</v>
      </c>
      <c r="B16" s="7" t="s">
        <v>136</v>
      </c>
    </row>
    <row r="17" spans="1:15" x14ac:dyDescent="0.3">
      <c r="A17" s="33">
        <f>+A16+0.1</f>
        <v>2.1</v>
      </c>
      <c r="B17" s="6" t="s">
        <v>38</v>
      </c>
      <c r="C17" s="8">
        <f>'Financial Statements'!B13/'Financial Statements'!B8</f>
        <v>0.43309630561360085</v>
      </c>
      <c r="D17" s="8">
        <f>'Financial Statements'!C13/'Financial Statements'!C8</f>
        <v>0.41779359625167778</v>
      </c>
      <c r="E17" s="8">
        <f>'Financial Statements'!D13/'Financial Statements'!D8</f>
        <v>0.38233247727810865</v>
      </c>
      <c r="F17" s="8"/>
      <c r="G17" t="s">
        <v>137</v>
      </c>
      <c r="H17" s="36"/>
      <c r="I17" s="35"/>
    </row>
    <row r="18" spans="1:15" x14ac:dyDescent="0.3">
      <c r="A18" s="33">
        <f>+A17+0.1</f>
        <v>2.2000000000000002</v>
      </c>
      <c r="B18" s="6" t="s">
        <v>138</v>
      </c>
      <c r="C18" s="8">
        <f>'Financial Statements'!H6/'Financial Statements'!B8</f>
        <v>0.3310467428130896</v>
      </c>
      <c r="D18" s="8">
        <f>'Financial Statements'!I6/'Financial Statements'!C8</f>
        <v>0.32866979938056462</v>
      </c>
      <c r="E18" s="8">
        <f>'Financial Statements'!J6/'Financial Statements'!D8</f>
        <v>0.2817478097736007</v>
      </c>
      <c r="F18" s="8"/>
      <c r="G18" t="s">
        <v>139</v>
      </c>
      <c r="H18" s="8"/>
      <c r="I18" s="37"/>
      <c r="J18" s="8"/>
    </row>
    <row r="19" spans="1:15" x14ac:dyDescent="0.3">
      <c r="A19" s="33"/>
      <c r="B19" t="s">
        <v>140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15" x14ac:dyDescent="0.3">
      <c r="A20" s="33">
        <f>+A18+0.1</f>
        <v>2.3000000000000003</v>
      </c>
      <c r="B20" s="6" t="s">
        <v>141</v>
      </c>
      <c r="C20" s="8">
        <f>'Financial Statements'!B18/'Financial Statements'!B8</f>
        <v>0.30288744395528594</v>
      </c>
      <c r="D20" s="8">
        <f>'Financial Statements'!C18/'Financial Statements'!C8</f>
        <v>0.29782377527561593</v>
      </c>
      <c r="E20" s="8">
        <f>'Financial Statements'!D18/'Financial Statements'!D8</f>
        <v>0.24147314354406862</v>
      </c>
      <c r="F20" s="8"/>
      <c r="G20" t="s">
        <v>142</v>
      </c>
      <c r="H20" s="8"/>
      <c r="I20" s="37"/>
      <c r="J20" s="8"/>
    </row>
    <row r="21" spans="1:15" x14ac:dyDescent="0.3">
      <c r="A21" s="33"/>
      <c r="B21" s="29" t="s">
        <v>30</v>
      </c>
      <c r="C21">
        <f>'Financial Statements'!B18+'Financial Statements'!B19</f>
        <v>119103</v>
      </c>
      <c r="D21">
        <f>'Financial Statements'!C18+'Financial Statements'!C19</f>
        <v>109207</v>
      </c>
      <c r="E21">
        <f>'Financial Statements'!D18+'Financial Statements'!D19</f>
        <v>67091</v>
      </c>
      <c r="F21" t="s">
        <v>186</v>
      </c>
      <c r="G21" t="s">
        <v>142</v>
      </c>
      <c r="H21" s="19"/>
      <c r="I21" s="35"/>
    </row>
    <row r="22" spans="1:15" x14ac:dyDescent="0.3">
      <c r="A22" s="33">
        <f>+A20+0.1</f>
        <v>2.4000000000000004</v>
      </c>
      <c r="B22" s="6" t="s">
        <v>143</v>
      </c>
      <c r="C22" s="8">
        <f>'Financial Statements'!B22/'Financial Statements'!B8</f>
        <v>0.25309640705199732</v>
      </c>
      <c r="D22" s="8">
        <f>'Financial Statements'!C22/'Financial Statements'!C8</f>
        <v>0.25881793355694238</v>
      </c>
      <c r="E22" s="8">
        <f>'Financial Statements'!D22/'Financial Statements'!D8</f>
        <v>0.20913611278072236</v>
      </c>
      <c r="F22" s="8"/>
    </row>
    <row r="23" spans="1:15" x14ac:dyDescent="0.3">
      <c r="A23" s="33"/>
    </row>
    <row r="24" spans="1:15" x14ac:dyDescent="0.3">
      <c r="A24" s="33">
        <f>+A16+1</f>
        <v>3</v>
      </c>
      <c r="B24" s="4" t="s">
        <v>144</v>
      </c>
    </row>
    <row r="25" spans="1:15" x14ac:dyDescent="0.3">
      <c r="A25" s="33">
        <f t="shared" ref="A25:A30" si="1">+A24+0.1</f>
        <v>3.1</v>
      </c>
      <c r="B25" s="6" t="s">
        <v>145</v>
      </c>
      <c r="C25" s="34">
        <f>'Financial Statements'!B59/'Financial Statements'!B68</f>
        <v>1.9529325860435744</v>
      </c>
      <c r="D25" s="34">
        <f>'Financial Statements'!C59/'Financial Statements'!C68</f>
        <v>1.729370740212395</v>
      </c>
      <c r="E25" s="34">
        <f>'Financial Statements'!D59/'Financial Statements'!D68</f>
        <v>1.5100782075024104</v>
      </c>
      <c r="F25" s="34"/>
      <c r="G25" t="s">
        <v>146</v>
      </c>
      <c r="J25" s="35"/>
    </row>
    <row r="26" spans="1:15" x14ac:dyDescent="0.3">
      <c r="A26" s="33">
        <f t="shared" si="1"/>
        <v>3.2</v>
      </c>
      <c r="B26" s="6" t="s">
        <v>147</v>
      </c>
      <c r="C26" s="8">
        <f>'Financial Statements'!B59/'Financial Statements'!B48</f>
        <v>0.28053181386514719</v>
      </c>
      <c r="D26" s="8">
        <f>'Financial Statements'!C59/'Financial Statements'!C48</f>
        <v>0.31084153366647482</v>
      </c>
      <c r="E26" s="8">
        <f>'Financial Statements'!D59/'Financial Statements'!D48</f>
        <v>0.30463308304105124</v>
      </c>
      <c r="F26" s="8"/>
      <c r="G26" t="s">
        <v>146</v>
      </c>
      <c r="J26" s="35"/>
    </row>
    <row r="27" spans="1:15" x14ac:dyDescent="0.3">
      <c r="A27" s="33">
        <f t="shared" si="1"/>
        <v>3.3000000000000003</v>
      </c>
      <c r="B27" s="6" t="s">
        <v>148</v>
      </c>
      <c r="C27" s="8">
        <f>'Financial Statements'!B59/'Financial Statements'!H22</f>
        <v>0.49784930548917611</v>
      </c>
      <c r="D27" s="8">
        <f>'Financial Statements'!C59/'Financial Statements'!I22</f>
        <v>0.4837953006593621</v>
      </c>
      <c r="E27" s="8">
        <f>'Financial Statements'!D59/'Financial Statements'!J22</f>
        <v>0.45157348418277682</v>
      </c>
      <c r="F27" s="8" t="s">
        <v>189</v>
      </c>
      <c r="G27" t="s">
        <v>149</v>
      </c>
      <c r="O27" s="35"/>
    </row>
    <row r="28" spans="1:15" x14ac:dyDescent="0.3">
      <c r="A28" s="33">
        <f t="shared" si="1"/>
        <v>3.4000000000000004</v>
      </c>
      <c r="B28" s="6" t="s">
        <v>150</v>
      </c>
      <c r="C28" s="38">
        <f>'Financial Statements'!H7/'Financial Statements'!B19</f>
        <v>-356.59580838323353</v>
      </c>
      <c r="D28" s="38">
        <f>'Financial Statements'!I7/'Financial Statements'!C19</f>
        <v>423.2829457364341</v>
      </c>
      <c r="E28" s="38">
        <f>'Financial Statements'!J7/'Financial Statements'!D19</f>
        <v>83.550435865504355</v>
      </c>
      <c r="F28" t="s">
        <v>186</v>
      </c>
      <c r="G28" t="s">
        <v>151</v>
      </c>
      <c r="N28" s="35"/>
    </row>
    <row r="29" spans="1:15" x14ac:dyDescent="0.3">
      <c r="A29" s="33">
        <f t="shared" si="1"/>
        <v>3.5000000000000004</v>
      </c>
      <c r="B29" s="6" t="s">
        <v>152</v>
      </c>
      <c r="C29">
        <f>'Financial Statements'!H7/('Financial Statements'!B114+'Financial Statements'!B105)</f>
        <v>-17.835130278526506</v>
      </c>
      <c r="D29">
        <f>'Financial Statements'!I7/('Financial Statements'!C114+'Financial Statements'!C105)</f>
        <v>-18.012040244103581</v>
      </c>
      <c r="E29">
        <f>'Financial Statements'!J7/('Financial Statements'!D114+'Financial Statements'!D105)</f>
        <v>-6.9690453931650564</v>
      </c>
      <c r="F29" t="s">
        <v>187</v>
      </c>
      <c r="G29" t="s">
        <v>153</v>
      </c>
      <c r="N29" s="35"/>
    </row>
    <row r="30" spans="1:15" x14ac:dyDescent="0.3">
      <c r="A30" s="33">
        <f t="shared" si="1"/>
        <v>3.6000000000000005</v>
      </c>
      <c r="B30" s="6" t="s">
        <v>154</v>
      </c>
      <c r="C30" s="34">
        <f>C31/'Financial Statements'!B28*1000</f>
        <v>6.4475785257695186</v>
      </c>
      <c r="D30" s="34">
        <f>D31/'Financial Statements'!C28*1000</f>
        <v>6.5156553672152242</v>
      </c>
      <c r="E30" s="34">
        <f>E31/'Financial Statements'!D28*1000</f>
        <v>5.2758370019900491</v>
      </c>
      <c r="F30" s="34"/>
    </row>
    <row r="31" spans="1:15" x14ac:dyDescent="0.3">
      <c r="A31" s="33"/>
      <c r="B31" s="29" t="s">
        <v>155</v>
      </c>
      <c r="C31">
        <f>'Financial Statements'!B91+'Financial Statements'!B99+'Financial Statements'!B104</f>
        <v>105262</v>
      </c>
      <c r="D31">
        <f>'Financial Statements'!C91+'Financial Statements'!C99+'Financial Statements'!C104</f>
        <v>109886</v>
      </c>
      <c r="E31">
        <f>'Financial Statements'!D91+'Financial Statements'!D99+'Financial Statements'!D104</f>
        <v>92476</v>
      </c>
      <c r="G31" t="s">
        <v>156</v>
      </c>
      <c r="K31" s="35"/>
    </row>
    <row r="32" spans="1:15" x14ac:dyDescent="0.3">
      <c r="A32" s="33"/>
      <c r="G32" s="8"/>
    </row>
    <row r="33" spans="1:13" x14ac:dyDescent="0.3">
      <c r="A33" s="33">
        <f>+A24+1</f>
        <v>4</v>
      </c>
      <c r="B33" s="7" t="s">
        <v>157</v>
      </c>
    </row>
    <row r="34" spans="1:13" x14ac:dyDescent="0.3">
      <c r="A34" s="33">
        <f>+A33+0.1</f>
        <v>4.0999999999999996</v>
      </c>
      <c r="B34" s="6" t="s">
        <v>158</v>
      </c>
      <c r="C34" s="34">
        <f>'Financial Statements'!B8/'Financial Statements'!B48</f>
        <v>1.1178523337727317</v>
      </c>
      <c r="D34" s="34">
        <f>'Financial Statements'!C8/'Financial Statements'!C48</f>
        <v>1.0422077367080529</v>
      </c>
      <c r="E34" s="34">
        <f>'Financial Statements'!D8/'Financial Statements'!D48</f>
        <v>0.84756150274168851</v>
      </c>
      <c r="F34" s="34"/>
    </row>
    <row r="35" spans="1:13" x14ac:dyDescent="0.3">
      <c r="A35" s="33">
        <f>+A34+0.1</f>
        <v>4.1999999999999993</v>
      </c>
      <c r="B35" s="6" t="s">
        <v>159</v>
      </c>
      <c r="C35" s="34">
        <f>'Financial Statements'!B8/'Financial Statements'!B47</f>
        <v>1.8142535081665516</v>
      </c>
      <c r="D35" s="34">
        <f>'Financial Statements'!C8/'Financial Statements'!C47</f>
        <v>1.6922966608994938</v>
      </c>
      <c r="E35" s="34">
        <f>'Financial Statements'!D8/'Financial Statements'!D47</f>
        <v>1.5236020535590398</v>
      </c>
      <c r="F35" s="34"/>
    </row>
    <row r="36" spans="1:13" x14ac:dyDescent="0.3">
      <c r="A36" s="33">
        <f>+A35+0.1</f>
        <v>4.2999999999999989</v>
      </c>
      <c r="B36" s="6" t="s">
        <v>160</v>
      </c>
      <c r="C36" s="34">
        <f>'Financial Statements'!B12/'Financial Statements'!B39</f>
        <v>45.197331176708452</v>
      </c>
      <c r="D36" s="34">
        <f>'Financial Statements'!C12/'Financial Statements'!C39</f>
        <v>32.367933130699086</v>
      </c>
      <c r="E36" s="34">
        <f>'Financial Statements'!D12/'Financial Statements'!D39</f>
        <v>41.753016498399411</v>
      </c>
      <c r="F36" s="34"/>
    </row>
    <row r="37" spans="1:13" x14ac:dyDescent="0.3">
      <c r="A37" s="33">
        <f>+A36+0.1</f>
        <v>4.3999999999999986</v>
      </c>
      <c r="B37" s="6" t="s">
        <v>161</v>
      </c>
      <c r="C37" s="34">
        <f>'Financial Statements'!B22/'Financial Statements'!B48</f>
        <v>0.28292440929256851</v>
      </c>
      <c r="D37" s="34">
        <f>'Financial Statements'!C22/'Financial Statements'!C48</f>
        <v>0.26974205275183616</v>
      </c>
      <c r="E37" s="34">
        <f>'Financial Statements'!D22/'Financial Statements'!D48</f>
        <v>0.1772557180259843</v>
      </c>
      <c r="F37" s="34"/>
      <c r="H37" s="8"/>
      <c r="I37" s="8"/>
      <c r="J37" s="8"/>
    </row>
    <row r="38" spans="1:13" x14ac:dyDescent="0.3">
      <c r="A38" s="33"/>
    </row>
    <row r="39" spans="1:13" x14ac:dyDescent="0.3">
      <c r="A39" s="33">
        <f>+A33+1</f>
        <v>5</v>
      </c>
      <c r="B39" s="7" t="s">
        <v>162</v>
      </c>
    </row>
    <row r="40" spans="1:13" x14ac:dyDescent="0.3">
      <c r="A40" s="33">
        <f>+A39+0.1</f>
        <v>5.0999999999999996</v>
      </c>
      <c r="B40" s="6" t="s">
        <v>163</v>
      </c>
      <c r="C40">
        <f>'Financial Statements'!H8/'Financial Statements'!B25</f>
        <v>22.618657937806869</v>
      </c>
      <c r="D40">
        <f>'Financial Statements'!I8/'Financial Statements'!C25</f>
        <v>26.188948306595361</v>
      </c>
      <c r="E40">
        <f>'Financial Statements'!J8/'Financial Statements'!D25</f>
        <v>34.231707317073173</v>
      </c>
    </row>
    <row r="41" spans="1:13" x14ac:dyDescent="0.3">
      <c r="A41" s="33">
        <f>+A40+0.1</f>
        <v>5.1999999999999993</v>
      </c>
      <c r="B41" s="29" t="s">
        <v>164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  <c r="G41" t="s">
        <v>165</v>
      </c>
      <c r="H41" s="39"/>
    </row>
    <row r="42" spans="1:13" x14ac:dyDescent="0.3">
      <c r="A42" s="33">
        <f>+A41+0.1</f>
        <v>5.2999999999999989</v>
      </c>
      <c r="B42" s="6" t="s">
        <v>166</v>
      </c>
      <c r="C42">
        <f>'Financial Statements'!H8/C43</f>
        <v>44.526132495263646</v>
      </c>
      <c r="D42">
        <f>'Financial Statements'!I8/D43</f>
        <v>39.273956244729753</v>
      </c>
      <c r="E42">
        <f>'Financial Statements'!J8/E43</f>
        <v>30.120875249391634</v>
      </c>
    </row>
    <row r="43" spans="1:13" x14ac:dyDescent="0.3">
      <c r="A43" s="33">
        <f>+A42+0.1</f>
        <v>5.3999999999999986</v>
      </c>
      <c r="B43" s="29" t="s">
        <v>167</v>
      </c>
      <c r="C43">
        <f>'Financial Statements'!B68/'Financial Statements'!B28*1000</f>
        <v>3.1037952827971451</v>
      </c>
      <c r="D43">
        <f>'Financial Statements'!C68/'Financial Statements'!C28*1000</f>
        <v>3.740901453484597</v>
      </c>
      <c r="E43">
        <f>'Financial Statements'!D68/'Financial Statements'!D28*1000</f>
        <v>3.7276473233382479</v>
      </c>
      <c r="G43" t="s">
        <v>168</v>
      </c>
      <c r="H43" s="35"/>
    </row>
    <row r="44" spans="1:13" x14ac:dyDescent="0.3">
      <c r="A44" s="33">
        <f>+A43+0.1</f>
        <v>5.4999999999999982</v>
      </c>
      <c r="B44" s="6" t="s">
        <v>169</v>
      </c>
      <c r="C44" s="8">
        <f>'Financial Statements'!H24/'Financial Statements'!B25</f>
        <v>0.14878083013397295</v>
      </c>
      <c r="D44" s="8">
        <f>'Financial Statements'!I24/'Financial Statements'!C25</f>
        <v>0.15290840583271575</v>
      </c>
      <c r="E44" s="8">
        <f>'Financial Statements'!J24/'Financial Statements'!D25</f>
        <v>0.24491872388584765</v>
      </c>
      <c r="F44" s="8"/>
      <c r="G44" t="s">
        <v>170</v>
      </c>
      <c r="H44" s="40"/>
    </row>
    <row r="45" spans="1:13" x14ac:dyDescent="0.3">
      <c r="A45" s="33"/>
      <c r="B45" s="29" t="s">
        <v>54</v>
      </c>
      <c r="C45">
        <f>ABS('Financial Statements'!B102)/'Financial Statements'!B28*1000</f>
        <v>0.90905087211857483</v>
      </c>
      <c r="D45">
        <f>ABS('Financial Statements'!C102)/'Financial Statements'!C28*1000</f>
        <v>0.85781615672153544</v>
      </c>
      <c r="E45">
        <f>ABS('Financial Statements'!D102)/'Financial Statements'!D28*1000</f>
        <v>0.80333341434558025</v>
      </c>
      <c r="G45" t="s">
        <v>171</v>
      </c>
      <c r="H45" s="35"/>
      <c r="M45" s="8"/>
    </row>
    <row r="46" spans="1:13" x14ac:dyDescent="0.3">
      <c r="A46" s="33">
        <f>+A44+0.1</f>
        <v>5.5999999999999979</v>
      </c>
      <c r="B46" s="6" t="s">
        <v>172</v>
      </c>
      <c r="C46" s="8">
        <f>'Financial Statements'!H24/'Financial Statements'!H8</f>
        <v>6.5777921282096589E-3</v>
      </c>
      <c r="D46" s="8">
        <f>'Financial Statements'!I24/'Financial Statements'!I8</f>
        <v>5.8386615622211787E-3</v>
      </c>
      <c r="E46" s="8">
        <f>'Financial Statements'!J24/'Financial Statements'!J8</f>
        <v>7.1547329385961899E-3</v>
      </c>
      <c r="F46" s="8"/>
      <c r="G46" t="s">
        <v>173</v>
      </c>
      <c r="H46" s="37"/>
      <c r="I46" s="8"/>
      <c r="J46" s="8"/>
    </row>
    <row r="47" spans="1:13" x14ac:dyDescent="0.3">
      <c r="A47" s="33">
        <f>+A45+0.1</f>
        <v>0.1</v>
      </c>
      <c r="B47" s="6" t="s">
        <v>174</v>
      </c>
      <c r="C47" s="8">
        <f>'Financial Statements'!B22/'Financial Statements'!B68</f>
        <v>1.9695887275023682</v>
      </c>
      <c r="D47" s="8">
        <f>'Financial Statements'!C22/'Financial Statements'!C68</f>
        <v>1.5007132667617689</v>
      </c>
      <c r="E47" s="8">
        <f>'Financial Statements'!D22/'Financial Statements'!D68</f>
        <v>0.87866358530127486</v>
      </c>
      <c r="F47" s="8"/>
      <c r="H47" s="8"/>
      <c r="I47" s="8"/>
      <c r="J47" s="8"/>
    </row>
    <row r="48" spans="1:13" x14ac:dyDescent="0.3">
      <c r="A48" s="33">
        <f>+A46+0.1</f>
        <v>5.6999999999999975</v>
      </c>
      <c r="B48" s="6" t="s">
        <v>175</v>
      </c>
      <c r="C48" s="8">
        <f>'Financial Statements'!B20/('Financial Statements'!B61+'Financial Statements'!B68)</f>
        <v>0.59919103701206899</v>
      </c>
      <c r="D48" s="8">
        <f>'Financial Statements'!C20/('Financial Statements'!C61+'Financial Statements'!C68)</f>
        <v>0.48424315252238148</v>
      </c>
      <c r="E48" s="8">
        <f>'Financial Statements'!D20/('Financial Statements'!D61+'Financial Statements'!D68)</f>
        <v>0.30705825278265964</v>
      </c>
      <c r="F48" s="8" t="s">
        <v>190</v>
      </c>
      <c r="G48" t="s">
        <v>176</v>
      </c>
      <c r="H48" s="37"/>
      <c r="I48" s="8"/>
      <c r="J48" s="8"/>
    </row>
    <row r="49" spans="1:10" x14ac:dyDescent="0.3">
      <c r="A49" s="33">
        <f>+A47+0.1</f>
        <v>0.2</v>
      </c>
      <c r="B49" s="6" t="s">
        <v>161</v>
      </c>
      <c r="C49" s="8">
        <f>'Financial Statements'!B22/'Financial Statements'!B48</f>
        <v>0.28292440929256851</v>
      </c>
      <c r="D49" s="8">
        <f>'Financial Statements'!C22/'Financial Statements'!C48</f>
        <v>0.26974205275183616</v>
      </c>
      <c r="E49" s="8">
        <f>'Financial Statements'!D22/'Financial Statements'!D48</f>
        <v>0.1772557180259843</v>
      </c>
      <c r="F49" s="8"/>
      <c r="H49" s="8"/>
      <c r="I49" s="8"/>
      <c r="J49" s="8"/>
    </row>
    <row r="50" spans="1:10" x14ac:dyDescent="0.3">
      <c r="A50" s="33">
        <f>+A48+0.1</f>
        <v>5.7999999999999972</v>
      </c>
      <c r="B50" s="6" t="s">
        <v>177</v>
      </c>
      <c r="C50">
        <f>C51/C19</f>
        <v>0.94381636042966821</v>
      </c>
      <c r="D50">
        <f>D51/D19</f>
        <v>1.052815326952496</v>
      </c>
      <c r="E50">
        <f>E51/E19</f>
        <v>1.4665105828577256</v>
      </c>
    </row>
    <row r="51" spans="1:10" x14ac:dyDescent="0.3">
      <c r="A51" s="33"/>
      <c r="B51" s="29" t="s">
        <v>178</v>
      </c>
      <c r="C51">
        <f>'Financial Statements'!H15+'Financial Statements'!B61-'Financial Statements'!B110</f>
        <v>123206.73150684932</v>
      </c>
      <c r="D51">
        <f>'Financial Statements'!I15+'Financial Statements'!C61-'Financial Statements'!C110</f>
        <v>126583.14520547946</v>
      </c>
      <c r="E51">
        <f>'Financial Statements'!J15+'Financial Statements'!D61-'Financial Statements'!D110</f>
        <v>113425.79452054793</v>
      </c>
      <c r="F51" t="s">
        <v>191</v>
      </c>
      <c r="G51" t="s">
        <v>179</v>
      </c>
      <c r="H51" s="35"/>
    </row>
    <row r="54" spans="1:10" x14ac:dyDescent="0.3">
      <c r="B54" s="28" t="s">
        <v>32</v>
      </c>
      <c r="C54">
        <v>138.19999999999999</v>
      </c>
      <c r="D54">
        <v>146.91999999999999</v>
      </c>
      <c r="E54">
        <v>112.28</v>
      </c>
    </row>
    <row r="56" spans="1:10" x14ac:dyDescent="0.3">
      <c r="B56" s="7" t="s">
        <v>180</v>
      </c>
    </row>
    <row r="57" spans="1:10" x14ac:dyDescent="0.3">
      <c r="B57" t="s">
        <v>25</v>
      </c>
    </row>
    <row r="58" spans="1:10" x14ac:dyDescent="0.3">
      <c r="B58" s="6" t="s">
        <v>27</v>
      </c>
      <c r="C58" s="8">
        <f>('Financial Statements'!B6-'Financial Statements'!C6)/'Financial Statements'!C6</f>
        <v>6.3239764351428418E-2</v>
      </c>
      <c r="D58" s="8">
        <f>('Financial Statements'!C6-'Financial Statements'!D6)/'Financial Statements'!D6</f>
        <v>0.34720743656765435</v>
      </c>
      <c r="G58" t="s">
        <v>181</v>
      </c>
      <c r="H58" s="35"/>
    </row>
    <row r="59" spans="1:10" x14ac:dyDescent="0.3">
      <c r="B59" s="6" t="s">
        <v>29</v>
      </c>
      <c r="C59" s="8">
        <f>('Financial Statements'!B7-'Financial Statements'!C7)/'Financial Statements'!C7</f>
        <v>0.14181951041286078</v>
      </c>
      <c r="D59" s="8">
        <f>('Financial Statements'!C7-'Financial Statements'!D7)/'Financial Statements'!D7</f>
        <v>0.27259708376729652</v>
      </c>
      <c r="H59" s="8"/>
    </row>
    <row r="60" spans="1:10" x14ac:dyDescent="0.3">
      <c r="B60" s="18" t="s">
        <v>31</v>
      </c>
      <c r="C60" s="8">
        <f>('Financial Statements'!B8-'Financial Statements'!C8)/'Financial Statements'!C8</f>
        <v>7.7937876041846058E-2</v>
      </c>
      <c r="D60" s="8">
        <f>('Financial Statements'!C8-'Financial Statements'!D8)/'Financial Statements'!D8</f>
        <v>0.33259384733074693</v>
      </c>
      <c r="H60" s="41"/>
    </row>
    <row r="62" spans="1:10" x14ac:dyDescent="0.3">
      <c r="B62" t="s">
        <v>33</v>
      </c>
    </row>
    <row r="63" spans="1:10" x14ac:dyDescent="0.3">
      <c r="B63" s="6" t="s">
        <v>27</v>
      </c>
      <c r="C63" s="8">
        <f>('Financial Statements'!B10-'Financial Statements'!C10)/'Financial Statements'!C10</f>
        <v>4.7876379599097081E-2</v>
      </c>
      <c r="D63" s="8">
        <f>('Financial Statements'!C10-'Financial Statements'!D10)/'Financial Statements'!D10</f>
        <v>0.27087767539626934</v>
      </c>
      <c r="H63" s="8"/>
    </row>
    <row r="64" spans="1:10" x14ac:dyDescent="0.3">
      <c r="B64" s="6" t="s">
        <v>29</v>
      </c>
      <c r="C64" s="8">
        <f>('Financial Statements'!B11-'Financial Statements'!C11)/'Financial Statements'!C11</f>
        <v>6.5652908520395847E-2</v>
      </c>
      <c r="D64" s="8">
        <f>('Financial Statements'!C11-'Financial Statements'!D11)/'Financial Statements'!D11</f>
        <v>0.13363979642094895</v>
      </c>
      <c r="H64" s="8"/>
    </row>
    <row r="65" spans="2:8" x14ac:dyDescent="0.3">
      <c r="B65" s="18" t="s">
        <v>36</v>
      </c>
      <c r="C65" s="8">
        <f>('Financial Statements'!B12-'Financial Statements'!C12)/'Financial Statements'!C12</f>
        <v>4.9605363858747961E-2</v>
      </c>
      <c r="D65" s="8">
        <f>('Financial Statements'!C12-'Financial Statements'!D12)/'Financial Statements'!D12</f>
        <v>0.25608785142634716</v>
      </c>
      <c r="H65" s="41"/>
    </row>
    <row r="67" spans="2:8" x14ac:dyDescent="0.3">
      <c r="B67" s="28" t="s">
        <v>7</v>
      </c>
      <c r="H67" s="8"/>
    </row>
    <row r="69" spans="2:8" x14ac:dyDescent="0.3">
      <c r="B69" t="s">
        <v>40</v>
      </c>
    </row>
    <row r="70" spans="2:8" x14ac:dyDescent="0.3">
      <c r="B70" s="6" t="s">
        <v>41</v>
      </c>
      <c r="C70" s="8">
        <f>('Financial Statements'!B15-'Financial Statements'!C15)/'Financial Statements'!C15</f>
        <v>0.19791001186456147</v>
      </c>
      <c r="D70" s="8">
        <f>('Financial Statements'!C15-'Financial Statements'!D15)/'Financial Statements'!D15</f>
        <v>0.16862201365187712</v>
      </c>
      <c r="H70" s="8"/>
    </row>
    <row r="71" spans="2:8" x14ac:dyDescent="0.3">
      <c r="B71" s="6" t="s">
        <v>43</v>
      </c>
      <c r="C71" s="8">
        <f>('Financial Statements'!B16-'Financial Statements'!C16)/'Financial Statements'!C16</f>
        <v>0.14203795567287125</v>
      </c>
      <c r="D71" s="8">
        <f>('Financial Statements'!C16-'Financial Statements'!D16)/'Financial Statements'!D16</f>
        <v>0.10328379192608958</v>
      </c>
      <c r="H71" s="8"/>
    </row>
    <row r="72" spans="2:8" x14ac:dyDescent="0.3">
      <c r="B72" s="18" t="s">
        <v>45</v>
      </c>
      <c r="C72" s="8">
        <f>('Financial Statements'!B17-'Financial Statements'!C17)/'Financial Statements'!C17</f>
        <v>0.16993642764372138</v>
      </c>
      <c r="D72" s="8">
        <f>('Financial Statements'!C17-'Financial Statements'!D17)/'Financial Statements'!D17</f>
        <v>0.13496948381090307</v>
      </c>
      <c r="H72" s="41"/>
    </row>
    <row r="74" spans="2:8" x14ac:dyDescent="0.3">
      <c r="B74" s="42" t="s">
        <v>66</v>
      </c>
      <c r="C74" s="8">
        <f>('Financial Statements'!B42-'Financial Statements'!C42)/'Financial Statements'!C42</f>
        <v>4.2199412619775131E-3</v>
      </c>
      <c r="D74" s="8">
        <f>('Financial Statements'!C42-'Financial Statements'!D42)/'Financial Statements'!D42</f>
        <v>-6.176894226687913E-2</v>
      </c>
      <c r="H74" s="8"/>
    </row>
    <row r="75" spans="2:8" x14ac:dyDescent="0.3">
      <c r="B75" s="42" t="s">
        <v>70</v>
      </c>
      <c r="C75" s="8">
        <f>('Financial Statements'!B47-'Financial Statements'!C47)/'Financial Statements'!C47</f>
        <v>5.4772720964443994E-3</v>
      </c>
      <c r="D75" s="8">
        <f>('Financial Statements'!C47-'Financial Statements'!D47)/'Financial Statements'!D47</f>
        <v>0.19975579297904814</v>
      </c>
      <c r="H75" s="8"/>
    </row>
    <row r="76" spans="2:8" x14ac:dyDescent="0.3">
      <c r="B76" s="21" t="s">
        <v>71</v>
      </c>
      <c r="C76" s="8">
        <f>('Financial Statements'!B48-'Financial Statements'!C48)/'Financial Statements'!C48</f>
        <v>4.9942735369029236E-3</v>
      </c>
      <c r="D76" s="8">
        <f>('Financial Statements'!C48-'Financial Statements'!D48)/'Financial Statements'!D48</f>
        <v>8.3714123400681711E-2</v>
      </c>
      <c r="H76" s="41"/>
    </row>
    <row r="78" spans="2:8" x14ac:dyDescent="0.3">
      <c r="B78" s="42" t="s">
        <v>78</v>
      </c>
      <c r="C78" s="8">
        <f>('Financial Statements'!B56-'Financial Statements'!C56)/'Financial Statements'!C56</f>
        <v>0.22713398841258836</v>
      </c>
      <c r="D78" s="8">
        <f>('Financial Statements'!C56-'Financial Statements'!D56)/'Financial Statements'!D56</f>
        <v>0.19061219067860938</v>
      </c>
      <c r="H78" s="8"/>
    </row>
    <row r="79" spans="2:8" x14ac:dyDescent="0.3">
      <c r="B79" s="43" t="s">
        <v>81</v>
      </c>
      <c r="C79" s="8">
        <f>('Financial Statements'!B61-'Financial Statements'!C61)/'Financial Statements'!C61</f>
        <v>-8.8222075835277747E-2</v>
      </c>
      <c r="D79" s="8">
        <f>('Financial Statements'!C61-'Financial Statements'!D61)/'Financial Statements'!D61</f>
        <v>6.0552243775994566E-2</v>
      </c>
      <c r="H79" s="8"/>
    </row>
    <row r="80" spans="2:8" x14ac:dyDescent="0.3">
      <c r="B80" s="18" t="s">
        <v>82</v>
      </c>
      <c r="C80" s="8">
        <f>('Financial Statements'!B62-'Financial Statements'!C62)/'Financial Statements'!C62</f>
        <v>4.9219900525160468E-2</v>
      </c>
      <c r="D80" s="8">
        <f>('Financial Statements'!C62-'Financial Statements'!D62)/'Financial Statements'!D62</f>
        <v>0.11356841449783213</v>
      </c>
      <c r="H80" s="41"/>
    </row>
    <row r="82" spans="2:8" x14ac:dyDescent="0.3">
      <c r="B82" s="18" t="s">
        <v>87</v>
      </c>
      <c r="C82" s="8">
        <f>('Financial Statements'!B68-'Financial Statements'!C68)/'Financial Statements'!C68</f>
        <v>-0.19682992550324932</v>
      </c>
      <c r="D82" s="8">
        <f>('Financial Statements'!C68-'Financial Statements'!D68)/'Financial Statements'!D68</f>
        <v>-3.4420483937617659E-2</v>
      </c>
      <c r="H82" s="8"/>
    </row>
    <row r="83" spans="2:8" x14ac:dyDescent="0.3">
      <c r="B83" s="21" t="s">
        <v>88</v>
      </c>
      <c r="C83" s="8">
        <f>('Financial Statements'!B69-'Financial Statements'!C69)/'Financial Statements'!C69</f>
        <v>4.9942735369029236E-3</v>
      </c>
      <c r="D83" s="8">
        <f>('Financial Statements'!C69-'Financial Statements'!D69)/'Financial Statements'!D69</f>
        <v>8.3714123400681711E-2</v>
      </c>
      <c r="H83" s="8"/>
    </row>
    <row r="85" spans="2:8" x14ac:dyDescent="0.3">
      <c r="B85" s="7" t="s">
        <v>182</v>
      </c>
    </row>
    <row r="86" spans="2:8" x14ac:dyDescent="0.3">
      <c r="B86" s="6" t="s">
        <v>11</v>
      </c>
      <c r="C86" s="8">
        <f>'Financial Statements'!B12/'Financial Statements'!B8</f>
        <v>0.56690369438639909</v>
      </c>
      <c r="D86" s="8">
        <f>'Financial Statements'!C12/'Financial Statements'!C8</f>
        <v>0.58220640374832222</v>
      </c>
      <c r="H86" s="8"/>
    </row>
    <row r="87" spans="2:8" x14ac:dyDescent="0.3">
      <c r="B87" s="6" t="s">
        <v>7</v>
      </c>
      <c r="C87" s="8">
        <f>'Financial Statements'!B13/'Financial Statements'!B8</f>
        <v>0.43309630561360085</v>
      </c>
      <c r="D87" s="8">
        <f>'Financial Statements'!C13/'Financial Statements'!C8</f>
        <v>0.41779359625167778</v>
      </c>
      <c r="H87" s="8"/>
    </row>
    <row r="88" spans="2:8" x14ac:dyDescent="0.3">
      <c r="B88" s="6" t="s">
        <v>12</v>
      </c>
      <c r="C88" s="8">
        <f>'Financial Statements'!B18/'Financial Statements'!B8</f>
        <v>0.30288744395528594</v>
      </c>
      <c r="D88" s="8">
        <f>'Financial Statements'!C18/'Financial Statements'!C8</f>
        <v>0.29782377527561593</v>
      </c>
      <c r="H88" s="8"/>
    </row>
    <row r="89" spans="2:8" x14ac:dyDescent="0.3">
      <c r="B89" s="6" t="s">
        <v>13</v>
      </c>
      <c r="C89" s="8">
        <f>('Financial Statements'!B13-'Financial Statements'!B22)/'Financial Statements'!B8</f>
        <v>0.17999989856160353</v>
      </c>
      <c r="D89" s="8">
        <f>('Financial Statements'!C13-'Financial Statements'!C22)/'Financial Statements'!C8</f>
        <v>0.15897566269473534</v>
      </c>
      <c r="H89" s="8"/>
    </row>
    <row r="91" spans="2:8" x14ac:dyDescent="0.3">
      <c r="B91" t="s">
        <v>40</v>
      </c>
    </row>
    <row r="92" spans="2:8" x14ac:dyDescent="0.3">
      <c r="B92" s="6" t="s">
        <v>43</v>
      </c>
      <c r="C92" s="8">
        <f>'Financial Statements'!B15/'Financial Statements'!B8</f>
        <v>6.657148363798665E-2</v>
      </c>
      <c r="D92" s="8">
        <f>'Financial Statements'!C15/'Financial Statements'!C8</f>
        <v>5.9904269074427925E-2</v>
      </c>
      <c r="H92" s="8"/>
    </row>
    <row r="93" spans="2:8" x14ac:dyDescent="0.3">
      <c r="B93" s="6" t="s">
        <v>41</v>
      </c>
      <c r="C93" s="8">
        <f>'Financial Statements'!B16/'Financial Statements'!B8</f>
        <v>6.3637378020328261E-2</v>
      </c>
      <c r="D93" s="8">
        <f>'Financial Statements'!C16/'Financial Statements'!C8</f>
        <v>6.006555190163388E-2</v>
      </c>
      <c r="H93" s="8"/>
    </row>
    <row r="94" spans="2:8" x14ac:dyDescent="0.3">
      <c r="B94" s="18" t="s">
        <v>45</v>
      </c>
    </row>
    <row r="96" spans="2:8" x14ac:dyDescent="0.3">
      <c r="B96" s="6" t="s">
        <v>15</v>
      </c>
      <c r="C96" s="8">
        <f>'Financial Statements'!B21/'Financial Statements'!B20</f>
        <v>0.16204461684424407</v>
      </c>
      <c r="D96" s="8">
        <f>'Financial Statements'!C21/'Financial Statements'!C20</f>
        <v>0.13302260844085087</v>
      </c>
      <c r="E96" s="8">
        <f>'Financial Statements'!D21/'Financial Statements'!D20</f>
        <v>0.14428164731484103</v>
      </c>
      <c r="F96" s="8"/>
      <c r="H96" s="8"/>
    </row>
    <row r="97" spans="2:8" x14ac:dyDescent="0.3">
      <c r="B97" t="s">
        <v>183</v>
      </c>
      <c r="C97" s="14">
        <f>'Financial Statements'!B99</f>
        <v>-22354</v>
      </c>
      <c r="D97" s="14">
        <f>'Financial Statements'!C99</f>
        <v>-14545</v>
      </c>
      <c r="E97" s="14">
        <f>'Financial Statements'!D99</f>
        <v>-4289</v>
      </c>
      <c r="F97" s="14" t="s">
        <v>188</v>
      </c>
      <c r="G97" t="s">
        <v>184</v>
      </c>
      <c r="H97" s="35"/>
    </row>
    <row r="98" spans="2:8" x14ac:dyDescent="0.3">
      <c r="B98" s="6" t="s">
        <v>16</v>
      </c>
      <c r="C98" s="8">
        <f>'Financial Statements'!B99/'Financial Statements'!B8</f>
        <v>-5.6688847862692987E-2</v>
      </c>
      <c r="D98" s="8">
        <f>'Financial Statements'!C99/'Financial Statements'!C8</f>
        <v>-3.9760317317128507E-2</v>
      </c>
      <c r="E98" s="8">
        <f>'Financial Statements'!D99/'Financial Statements'!D8</f>
        <v>-1.5623918547256069E-2</v>
      </c>
      <c r="F98" s="8"/>
      <c r="H98" s="8"/>
    </row>
    <row r="99" spans="2:8" x14ac:dyDescent="0.3">
      <c r="B99" s="6" t="s">
        <v>17</v>
      </c>
      <c r="C99" s="8">
        <f>'Financial Statements'!B99/'Financial Statements'!B47</f>
        <v>-0.10284794110881068</v>
      </c>
      <c r="D99" s="8">
        <f>'Financial Statements'!C99/'Financial Statements'!C47</f>
        <v>-6.7286252232080901E-2</v>
      </c>
      <c r="E99" s="8">
        <f>'Financial Statements'!D99/'Financial Statements'!D47</f>
        <v>-2.3804634383238519E-2</v>
      </c>
      <c r="F99" s="8"/>
      <c r="H99" s="8"/>
    </row>
  </sheetData>
  <mergeCells count="1">
    <mergeCell ref="C2:E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112</cp:revision>
  <dcterms:created xsi:type="dcterms:W3CDTF">2020-05-18T16:32:37Z</dcterms:created>
  <dcterms:modified xsi:type="dcterms:W3CDTF">2023-11-06T16:43:43Z</dcterms:modified>
  <dc:language>en-GB</dc:language>
</cp:coreProperties>
</file>