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5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Sheet1" sheetId="1" state="visible" r:id="rId2"/>
    <sheet name="Historicals" sheetId="2" state="visible" r:id="rId3"/>
    <sheet name="Segmental forecast" sheetId="3" state="visible" r:id="rId4"/>
    <sheet name="Three Statements" sheetId="4" state="visible" r:id="rId5"/>
    <sheet name="Schedules" sheetId="5" state="visible" r:id="rId6"/>
    <sheet name="Average Share Price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66" authorId="0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 xml:space="preserve"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<sst xmlns="http://schemas.openxmlformats.org/spreadsheetml/2006/main" count="644" uniqueCount="302">
  <si>
    <t xml:space="preserve">Instructions</t>
  </si>
  <si>
    <t xml:space="preserve">Feel free to reach out, if you have any questions or issues related to the task.</t>
  </si>
  <si>
    <t xml:space="preserve">Follow the instructions on the Schedules sheet and complete the schedule</t>
  </si>
  <si>
    <t xml:space="preserve">Obtain share prices at Yahoo Finance by filtering relevant financial year for monthly average shareprice and calculate the average of 12 months to obtain annual average share price</t>
  </si>
  <si>
    <t xml:space="preserve">https://finance.yahoo.com/quote/NKE/history?p=NKE</t>
  </si>
  <si>
    <t xml:space="preserve">Copy this sheet to your finalized model from the previous task</t>
  </si>
  <si>
    <t xml:space="preserve">Submission time is 3 days from the day the task was given to you</t>
  </si>
  <si>
    <r>
      <rPr>
        <b val="true"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 xml:space="preserve">(Dollars and Shares in Millions Except Per Share Amounts)</t>
    </r>
  </si>
  <si>
    <t xml:space="preserve">Revenues</t>
  </si>
  <si>
    <t xml:space="preserve">Cost of sales</t>
  </si>
  <si>
    <t xml:space="preserve">Gross profit</t>
  </si>
  <si>
    <t xml:space="preserve">Demand creation expense</t>
  </si>
  <si>
    <t xml:space="preserve">Operating overhead expense</t>
  </si>
  <si>
    <t xml:space="preserve">Total selling and administrative expense</t>
  </si>
  <si>
    <t xml:space="preserve">Interest expense (income), net</t>
  </si>
  <si>
    <t xml:space="preserve">Other (income) expense, net</t>
  </si>
  <si>
    <t xml:space="preserve">Income before income taxes</t>
  </si>
  <si>
    <t xml:space="preserve">Income tax expense</t>
  </si>
  <si>
    <t xml:space="preserve">NET INCOME</t>
  </si>
  <si>
    <t xml:space="preserve">Net earnings per share:</t>
  </si>
  <si>
    <t xml:space="preserve">Basic</t>
  </si>
  <si>
    <t xml:space="preserve">Diluted</t>
  </si>
  <si>
    <t xml:space="preserve">Average shares outstanding:</t>
  </si>
  <si>
    <t xml:space="preserve">Check (Reported diluted EPS-(Net income/diluted no. of shares)</t>
  </si>
  <si>
    <t xml:space="preserve">CONSOLIDATED BALANCE SHEETS</t>
  </si>
  <si>
    <t xml:space="preserve">ASSETS</t>
  </si>
  <si>
    <t xml:space="preserve">Net Wcap</t>
  </si>
  <si>
    <t xml:space="preserve">Current assets:</t>
  </si>
  <si>
    <t xml:space="preserve">DPS</t>
  </si>
  <si>
    <t xml:space="preserve">Cash and equivalents</t>
  </si>
  <si>
    <t xml:space="preserve">Short-term investments</t>
  </si>
  <si>
    <t xml:space="preserve">Accounts receivable, net</t>
  </si>
  <si>
    <t xml:space="preserve">Inventories</t>
  </si>
  <si>
    <t xml:space="preserve">Prepaid expenses and other current assets</t>
  </si>
  <si>
    <t xml:space="preserve">Total current assets</t>
  </si>
  <si>
    <t xml:space="preserve">Property, plant and equipment, net</t>
  </si>
  <si>
    <t xml:space="preserve">Operating lease right-of-use assets, net</t>
  </si>
  <si>
    <t xml:space="preserve">Identifiable intangible assets, net</t>
  </si>
  <si>
    <t xml:space="preserve">Goodwill</t>
  </si>
  <si>
    <t xml:space="preserve">Deferred income taxes and other assets</t>
  </si>
  <si>
    <t xml:space="preserve">TOTAL ASSETS</t>
  </si>
  <si>
    <t xml:space="preserve">LIABILITIES AND SHAREHOLDERS' EQUITY</t>
  </si>
  <si>
    <t xml:space="preserve">Current liabilities:</t>
  </si>
  <si>
    <t xml:space="preserve">Current portion of long-term debt</t>
  </si>
  <si>
    <t xml:space="preserve">Notes payable</t>
  </si>
  <si>
    <t xml:space="preserve">Accounts payable</t>
  </si>
  <si>
    <t xml:space="preserve">Current portion of operating lease liabilities</t>
  </si>
  <si>
    <t xml:space="preserve">Accrued liabilities</t>
  </si>
  <si>
    <t xml:space="preserve">Income taxes payable</t>
  </si>
  <si>
    <t xml:space="preserve">Total current liabilities</t>
  </si>
  <si>
    <t xml:space="preserve">Long-term debt</t>
  </si>
  <si>
    <t xml:space="preserve">Operating lease liabilities</t>
  </si>
  <si>
    <t xml:space="preserve">Deferred income taxes and other liabilities</t>
  </si>
  <si>
    <t xml:space="preserve">Commitments and contingencies (Note 18)</t>
  </si>
  <si>
    <t xml:space="preserve">Redeemable preferred stock</t>
  </si>
  <si>
    <t xml:space="preserve">Shareholders' equity:</t>
  </si>
  <si>
    <t xml:space="preserve">Common stock at stated value:</t>
  </si>
  <si>
    <t xml:space="preserve">Class A convertible — 305 and 305 shares outstanding</t>
  </si>
  <si>
    <t xml:space="preserve">Class B — 1,266 and 1,273 shares outstanding</t>
  </si>
  <si>
    <t xml:space="preserve">Capital in excess of stated value</t>
  </si>
  <si>
    <t xml:space="preserve">Accumulated other comprehensive income (loss)</t>
  </si>
  <si>
    <t xml:space="preserve">Retained earnings (deficit)</t>
  </si>
  <si>
    <t xml:space="preserve">Total shareholders' equity</t>
  </si>
  <si>
    <t xml:space="preserve">TOTAL LIABILITIES AND SHAREHOLDERS' EQUITY</t>
  </si>
  <si>
    <t xml:space="preserve"> Check (total assets - total labilities and equity)</t>
  </si>
  <si>
    <t xml:space="preserve">CONSOLIDATED STATEMENTS OF CASH FLOWS</t>
  </si>
  <si>
    <t xml:space="preserve">(Link Net income figures from income statement)</t>
  </si>
  <si>
    <t xml:space="preserve">Cash provided (used) by operations:</t>
  </si>
  <si>
    <t xml:space="preserve">Net income</t>
  </si>
  <si>
    <t xml:space="preserve">Adjustments to reconcile net income to net cash provided (used) by operations:</t>
  </si>
  <si>
    <t xml:space="preserve">Depreciation</t>
  </si>
  <si>
    <t xml:space="preserve">Deferred income taxes</t>
  </si>
  <si>
    <t xml:space="preserve">Stock-based compensation</t>
  </si>
  <si>
    <t xml:space="preserve">Amortization, impairment and other</t>
  </si>
  <si>
    <t xml:space="preserve">Net foreign currency adjustments</t>
  </si>
  <si>
    <t xml:space="preserve">Changes in certain working capital components and other assets and liabilities:</t>
  </si>
  <si>
    <t xml:space="preserve">(Increase) decrease in accounts receivable</t>
  </si>
  <si>
    <t xml:space="preserve">(Increase) decrease in inventories</t>
  </si>
  <si>
    <t xml:space="preserve">(Increase) decrease in prepaid expenses, operating lease right-of-use assets and other current and non-current assets</t>
  </si>
  <si>
    <t xml:space="preserve">Increase (decrease) in accounts payable, accrued liabilities, operating lease liabilities and other current and non-current liabilities</t>
  </si>
  <si>
    <t xml:space="preserve">Cash provided (used) by operations</t>
  </si>
  <si>
    <t xml:space="preserve">Cash provided (used) by investing activities:</t>
  </si>
  <si>
    <t xml:space="preserve">Purchases of short-term investments</t>
  </si>
  <si>
    <t xml:space="preserve">Maturities of short-term investments</t>
  </si>
  <si>
    <t xml:space="preserve">Sales of short-term investments</t>
  </si>
  <si>
    <t xml:space="preserve">Investments in reverse repurchase agreements </t>
  </si>
  <si>
    <t xml:space="preserve">Additions to property, plant and equipment</t>
  </si>
  <si>
    <t xml:space="preserve">Disposals of property, plant and equipment </t>
  </si>
  <si>
    <t xml:space="preserve">Other investing activities</t>
  </si>
  <si>
    <t xml:space="preserve">Cash provided (used) by investing activities</t>
  </si>
  <si>
    <t xml:space="preserve">Cash provided (used) by financing activities:</t>
  </si>
  <si>
    <t xml:space="preserve">Proceeds from borrowings, net of debt issuance costs</t>
  </si>
  <si>
    <t xml:space="preserve">n/a</t>
  </si>
  <si>
    <t xml:space="preserve">Long-term debt payments, including current portion </t>
  </si>
  <si>
    <t xml:space="preserve">Increase (decrease) in notes payable, net</t>
  </si>
  <si>
    <t xml:space="preserve">Repayment of borrowings</t>
  </si>
  <si>
    <t xml:space="preserve">Proceeds from exercise of stock options and other stock issuances</t>
  </si>
  <si>
    <t xml:space="preserve">Repurchase of common stock</t>
  </si>
  <si>
    <t xml:space="preserve">Dividends — common and preferred</t>
  </si>
  <si>
    <t xml:space="preserve">Other financing activities</t>
  </si>
  <si>
    <t xml:space="preserve">Cash provided (used) by financing activities</t>
  </si>
  <si>
    <t xml:space="preserve">Effect of exchange rate changes on cash and equivalents</t>
  </si>
  <si>
    <t xml:space="preserve">Net increase (decrease) in cash and equivalents</t>
  </si>
  <si>
    <t xml:space="preserve">Cash and equivalents, beginning of year</t>
  </si>
  <si>
    <t xml:space="preserve">CASH AND EQUIVALENTS, END OF YEAR</t>
  </si>
  <si>
    <t xml:space="preserve"> Check (cash at eop - cash in balance sheet)</t>
  </si>
  <si>
    <t xml:space="preserve">Supplemental disclosure of cash flow information:</t>
  </si>
  <si>
    <t xml:space="preserve">Cash paid during the year for:</t>
  </si>
  <si>
    <t xml:space="preserve">Interest, net of capitalized interest</t>
  </si>
  <si>
    <t xml:space="preserve">Income taxes</t>
  </si>
  <si>
    <t xml:space="preserve">Non-cash additions to property, plant and equipment</t>
  </si>
  <si>
    <t xml:space="preserve">Dividends declared and not paid</t>
  </si>
  <si>
    <t xml:space="preserve">Segmental Breakdowns</t>
  </si>
  <si>
    <t xml:space="preserve">Revenue:</t>
  </si>
  <si>
    <t xml:space="preserve">North America</t>
  </si>
  <si>
    <t xml:space="preserve">Footwear</t>
  </si>
  <si>
    <t xml:space="preserve">Apparel</t>
  </si>
  <si>
    <t xml:space="preserve">Equipment</t>
  </si>
  <si>
    <t xml:space="preserve">Europe, Middle East &amp; Africa</t>
  </si>
  <si>
    <t xml:space="preserve">Greater China</t>
  </si>
  <si>
    <t xml:space="preserve">Asia Pacific &amp; Latin America</t>
  </si>
  <si>
    <t xml:space="preserve">Global Brand Divisions</t>
  </si>
  <si>
    <t xml:space="preserve">TOTAL NIKE BRAND</t>
  </si>
  <si>
    <t xml:space="preserve">Converse</t>
  </si>
  <si>
    <t xml:space="preserve">Other</t>
  </si>
  <si>
    <t xml:space="preserve">Corporate</t>
  </si>
  <si>
    <t xml:space="preserve">TOTAL NIKE, INC. REVENUES</t>
  </si>
  <si>
    <t xml:space="preserve"> Check</t>
  </si>
  <si>
    <t xml:space="preserve">EBIT:</t>
  </si>
  <si>
    <t xml:space="preserve">TOTAL NIKE, INC. EBIT</t>
  </si>
  <si>
    <t xml:space="preserve">PROPERTY, PLANT AND EQUIPMENT, NET</t>
  </si>
  <si>
    <t xml:space="preserve">Asia Pacific &amp; Latin America(1)</t>
  </si>
  <si>
    <t xml:space="preserve">Total NIKE Brand</t>
  </si>
  <si>
    <t xml:space="preserve">TOTAL PROPERTY, PLANT AND EQUIPMENT, NET</t>
  </si>
  <si>
    <t xml:space="preserve">ADDITIONS TO PROPERTY, PLANT AND EQUIPMENT</t>
  </si>
  <si>
    <t xml:space="preserve">Discrepancy in recorded cash by investing activities + Additions to PP+E </t>
  </si>
  <si>
    <t xml:space="preserve">TOTAL ADDITIONS TO PROPERTY, PLANT AND EQUIPMENT</t>
  </si>
  <si>
    <t xml:space="preserve">DEPRECIATION</t>
  </si>
  <si>
    <t xml:space="preserve">TOTAL DEPRECIATION</t>
  </si>
  <si>
    <t xml:space="preserve">Revenue Drivers</t>
  </si>
  <si>
    <t xml:space="preserve">Organic revenue growth</t>
  </si>
  <si>
    <t xml:space="preserve">Group Totals</t>
  </si>
  <si>
    <t xml:space="preserve">Group Revenue</t>
  </si>
  <si>
    <t xml:space="preserve">Growth %</t>
  </si>
  <si>
    <t xml:space="preserve">EBITDA</t>
  </si>
  <si>
    <t xml:space="preserve">Margin %</t>
  </si>
  <si>
    <t xml:space="preserve">D&amp;A</t>
  </si>
  <si>
    <t xml:space="preserve">As a  % of revenue</t>
  </si>
  <si>
    <t xml:space="preserve">EBIT</t>
  </si>
  <si>
    <t xml:space="preserve">Capex</t>
  </si>
  <si>
    <t xml:space="preserve">Property, plant and equipment</t>
  </si>
  <si>
    <t xml:space="preserve">Revenue</t>
  </si>
  <si>
    <t xml:space="preserve">Organic growth %</t>
  </si>
  <si>
    <t xml:space="preserve">Currency impact %</t>
  </si>
  <si>
    <t xml:space="preserve">As a % of PPE</t>
  </si>
  <si>
    <t xml:space="preserve">Comments</t>
  </si>
  <si>
    <t xml:space="preserve">Income Statement</t>
  </si>
  <si>
    <t xml:space="preserve"> AV GR%</t>
  </si>
  <si>
    <t xml:space="preserve">PBT</t>
  </si>
  <si>
    <t xml:space="preserve"> Increase in tax 2023</t>
  </si>
  <si>
    <t xml:space="preserve">Tax rate %</t>
  </si>
  <si>
    <r>
      <rPr>
        <sz val="11"/>
        <color rgb="FF000000"/>
        <rFont val="Calibri"/>
        <family val="2"/>
        <charset val="1"/>
      </rPr>
      <t xml:space="preserve"> </t>
    </r>
    <r>
      <rPr>
        <b val="true"/>
        <sz val="11"/>
        <color rgb="FF000000"/>
        <rFont val="Calibri"/>
        <family val="2"/>
        <charset val="1"/>
      </rPr>
      <t xml:space="preserve">Tax rate expectations</t>
    </r>
    <r>
      <rPr>
        <sz val="11"/>
        <color rgb="FF000000"/>
        <rFont val="Calibri"/>
        <family val="2"/>
        <charset val="1"/>
      </rPr>
      <t xml:space="preserve"> in the earning call transcripts are predicting rates in the mid teens range. I have applied a </t>
    </r>
    <r>
      <rPr>
        <b val="true"/>
        <sz val="11"/>
        <color rgb="FF0000EE"/>
        <rFont val="Calibri"/>
        <family val="2"/>
        <charset val="1"/>
      </rPr>
      <t xml:space="preserve">61%</t>
    </r>
    <r>
      <rPr>
        <sz val="11"/>
        <color rgb="FF000000"/>
        <rFont val="Calibri"/>
        <family val="2"/>
        <charset val="1"/>
      </rPr>
      <t xml:space="preserve"> increase in tax in 2023 to give us a </t>
    </r>
  </si>
  <si>
    <t xml:space="preserve">Cash Interest</t>
  </si>
  <si>
    <r>
      <rPr>
        <sz val="11"/>
        <color rgb="FF0000EE"/>
        <rFont val="Calibri"/>
        <family val="2"/>
        <charset val="1"/>
      </rPr>
      <t xml:space="preserve"> 14%</t>
    </r>
    <r>
      <rPr>
        <sz val="11"/>
        <color rgb="FF000000"/>
        <rFont val="Calibri"/>
        <family val="2"/>
        <charset val="1"/>
      </rPr>
      <t xml:space="preserve"> tax rate for all forecasted years. This was also the rate in 2021, and the average rate across 2019 to 2021.</t>
    </r>
  </si>
  <si>
    <t xml:space="preserve">Net Income</t>
  </si>
  <si>
    <t xml:space="preserve">Diluted number of shares</t>
  </si>
  <si>
    <t xml:space="preserve">EPS</t>
  </si>
  <si>
    <r>
      <rPr>
        <sz val="11"/>
        <color rgb="FF000000"/>
        <rFont val="Calibri"/>
        <family val="2"/>
        <charset val="1"/>
      </rPr>
      <t xml:space="preserve"> </t>
    </r>
    <r>
      <rPr>
        <b val="true"/>
        <sz val="11"/>
        <color rgb="FF000000"/>
        <rFont val="Calibri"/>
        <family val="2"/>
        <charset val="1"/>
      </rPr>
      <t xml:space="preserve">Dividends per share</t>
    </r>
    <r>
      <rPr>
        <sz val="11"/>
        <color rgb="FF000000"/>
        <rFont val="Calibri"/>
        <family val="2"/>
        <charset val="1"/>
      </rPr>
      <t xml:space="preserve"> has been on a clear consistent uptrend since 2017 increasing around </t>
    </r>
    <r>
      <rPr>
        <b val="true"/>
        <sz val="11"/>
        <color rgb="FF0000EE"/>
        <rFont val="Calibri"/>
        <family val="2"/>
        <charset val="1"/>
      </rPr>
      <t xml:space="preserve">10-12%</t>
    </r>
    <r>
      <rPr>
        <sz val="11"/>
        <color rgb="FF000000"/>
        <rFont val="Calibri"/>
        <family val="2"/>
        <charset val="1"/>
      </rPr>
      <t xml:space="preserve"> each year since 2018. </t>
    </r>
  </si>
  <si>
    <t xml:space="preserve"> We will conclude this trend will likely continue and have calculated the average growth percentage of all years to 10.9% and used this in forecasting. </t>
  </si>
  <si>
    <t xml:space="preserve">Payout ratio%</t>
  </si>
  <si>
    <t xml:space="preserve">Balance Sheet</t>
  </si>
  <si>
    <r>
      <rPr>
        <b val="true"/>
        <i val="true"/>
        <sz val="11"/>
        <color rgb="FFFFFFFF"/>
        <rFont val="Calibri"/>
        <family val="2"/>
        <charset val="1"/>
      </rPr>
      <t xml:space="preserve"> AV GR%</t>
    </r>
    <r>
      <rPr>
        <b val="true"/>
        <i val="true"/>
        <sz val="12"/>
        <color rgb="FFFFFFFF"/>
        <rFont val="Calibri"/>
        <family val="2"/>
        <charset val="1"/>
      </rPr>
      <t xml:space="preserve"> </t>
    </r>
    <r>
      <rPr>
        <b val="true"/>
        <i val="true"/>
        <sz val="9"/>
        <color rgb="FFFFFFFF"/>
        <rFont val="Calibri"/>
        <family val="2"/>
        <charset val="1"/>
      </rPr>
      <t xml:space="preserve">All Years</t>
    </r>
  </si>
  <si>
    <t xml:space="preserve">Cash and Cash Equivalents</t>
  </si>
  <si>
    <t xml:space="preserve">Other Items Included in Net Debt</t>
  </si>
  <si>
    <t xml:space="preserve">Net Working Capital</t>
  </si>
  <si>
    <t xml:space="preserve">As a % of revenue</t>
  </si>
  <si>
    <t xml:space="preserve">Other Current Assets</t>
  </si>
  <si>
    <t xml:space="preserve">Property Plant and Equipment</t>
  </si>
  <si>
    <t xml:space="preserve">Intangible Assets</t>
  </si>
  <si>
    <t xml:space="preserve">Other Assets</t>
  </si>
  <si>
    <t xml:space="preserve">Total Assets</t>
  </si>
  <si>
    <t xml:space="preserve">Current Borrowings</t>
  </si>
  <si>
    <r>
      <rPr>
        <sz val="11"/>
        <color rgb="FF000000"/>
        <rFont val="Calibri"/>
        <family val="2"/>
        <charset val="1"/>
      </rPr>
      <t xml:space="preserve"> </t>
    </r>
    <r>
      <rPr>
        <b val="true"/>
        <sz val="11"/>
        <color rgb="FF000000"/>
        <rFont val="Calibri"/>
        <family val="2"/>
        <charset val="1"/>
      </rPr>
      <t xml:space="preserve">Nike entered into a 1 year credit facility agreement in 2022</t>
    </r>
    <r>
      <rPr>
        <sz val="11"/>
        <color rgb="FF000000"/>
        <rFont val="Calibri"/>
        <family val="2"/>
        <charset val="1"/>
      </rPr>
      <t xml:space="preserve">. This agreement allowed Nike to borrow up to 1 billion dollars for the year of which 50% (500 million)</t>
    </r>
  </si>
  <si>
    <t xml:space="preserve"> million) was borrowed. A second agreement had also been put in place for 5 years allowing loans of up to 2 billion per year and can be increased up to 3 billion.</t>
  </si>
  <si>
    <t xml:space="preserve"> In 2023, a new 1 year agreement for loans up to 1 billion has replaced the prior with an option to increase up to 1.5 billion.</t>
  </si>
  <si>
    <t xml:space="preserve">Other Current Liabilities</t>
  </si>
  <si>
    <t xml:space="preserve">  </t>
  </si>
  <si>
    <t xml:space="preserve"> We can conclude that the replacement of the prior agreement and the second agreement lasting until 2027 , that </t>
  </si>
  <si>
    <t xml:space="preserve"> Nike is expecting or intending to borrow large and amounts of capital in the next 5 years. </t>
  </si>
  <si>
    <t xml:space="preserve">Other non-current Liabilities</t>
  </si>
  <si>
    <t xml:space="preserve">Equity</t>
  </si>
  <si>
    <t xml:space="preserve"> In 2022 Nike borrowed 50% of the capital the credit agreement allowed. </t>
  </si>
  <si>
    <t xml:space="preserve">Common stock</t>
  </si>
  <si>
    <t xml:space="preserve"> We will therefore assume that Nike will potentially attain borrowings of around 50% of the capital that the agreements may provide. </t>
  </si>
  <si>
    <t xml:space="preserve">Retained Earnings</t>
  </si>
  <si>
    <r>
      <rPr>
        <sz val="11"/>
        <color rgb="FF000000"/>
        <rFont val="Calibri"/>
        <family val="2"/>
        <charset val="1"/>
      </rPr>
      <t xml:space="preserve"> This is a valid assumption at this time and has therefore been used in forecasting the following years. A total of </t>
    </r>
    <r>
      <rPr>
        <b val="true"/>
        <sz val="11"/>
        <color rgb="FF0000EE"/>
        <rFont val="Calibri"/>
        <family val="2"/>
        <charset val="1"/>
      </rPr>
      <t xml:space="preserve">500</t>
    </r>
    <r>
      <rPr>
        <sz val="11"/>
        <color rgb="FF000000"/>
        <rFont val="Calibri"/>
        <family val="2"/>
        <charset val="1"/>
      </rPr>
      <t xml:space="preserve"> million has been forecast for 2022 and I </t>
    </r>
  </si>
  <si>
    <t xml:space="preserve">Other Components of Equity</t>
  </si>
  <si>
    <r>
      <rPr>
        <sz val="11"/>
        <color rgb="FF000000"/>
        <rFont val="Calibri"/>
        <family val="2"/>
        <charset val="1"/>
      </rPr>
      <t xml:space="preserve"> have increased the years after by </t>
    </r>
    <r>
      <rPr>
        <b val="true"/>
        <sz val="11"/>
        <color rgb="FF0000EE"/>
        <rFont val="Calibri"/>
        <family val="2"/>
        <charset val="1"/>
      </rPr>
      <t xml:space="preserve">4.9%</t>
    </r>
    <r>
      <rPr>
        <sz val="11"/>
        <color rgb="FF000000"/>
        <rFont val="Calibri"/>
        <family val="2"/>
        <charset val="1"/>
      </rPr>
      <t xml:space="preserve"> which is also in line with revenue.</t>
    </r>
  </si>
  <si>
    <t xml:space="preserve">Total Liabilities and Equity</t>
  </si>
  <si>
    <t xml:space="preserve">Check</t>
  </si>
  <si>
    <t xml:space="preserve">Cashflow</t>
  </si>
  <si>
    <r>
      <rPr>
        <b val="true"/>
        <i val="true"/>
        <sz val="11"/>
        <color rgb="FFFFFFFF"/>
        <rFont val="Calibri"/>
        <family val="2"/>
        <charset val="1"/>
      </rPr>
      <t xml:space="preserve"> AV GR%</t>
    </r>
    <r>
      <rPr>
        <b val="true"/>
        <i val="true"/>
        <sz val="9"/>
        <color rgb="FFFFFFFF"/>
        <rFont val="Calibri"/>
        <family val="2"/>
        <charset val="1"/>
      </rPr>
      <t xml:space="preserve"> All Years</t>
    </r>
  </si>
  <si>
    <t xml:space="preserve">Cash Tax</t>
  </si>
  <si>
    <t xml:space="preserve">NOPAT</t>
  </si>
  <si>
    <t xml:space="preserve">(Increase)/Decrease in Working Capital</t>
  </si>
  <si>
    <t xml:space="preserve">FCFF</t>
  </si>
  <si>
    <t xml:space="preserve">Other Operating Activities</t>
  </si>
  <si>
    <t xml:space="preserve">CFO</t>
  </si>
  <si>
    <t xml:space="preserve">Acquisitions </t>
  </si>
  <si>
    <t xml:space="preserve">Other Investing Activities</t>
  </si>
  <si>
    <t xml:space="preserve">CFI</t>
  </si>
  <si>
    <t xml:space="preserve">Proceeds from exercise of stock options/ Share issuances</t>
  </si>
  <si>
    <r>
      <rPr>
        <b val="true"/>
        <sz val="11"/>
        <color rgb="FF000000"/>
        <rFont val="Calibri"/>
        <family val="2"/>
        <charset val="1"/>
      </rPr>
      <t xml:space="preserve"> At the end of the fiscal year in 2023,</t>
    </r>
    <r>
      <rPr>
        <sz val="11"/>
        <color rgb="FF000000"/>
        <rFont val="Calibri"/>
        <family val="2"/>
        <charset val="1"/>
      </rPr>
      <t xml:space="preserve"> Nike will replace it's current 15 billion programme to repurchase shares of Nike’s class B common stock with a new </t>
    </r>
  </si>
  <si>
    <r>
      <rPr>
        <sz val="10"/>
        <color rgb="FFFFFFFF"/>
        <rFont val="Calibri"/>
        <family val="2"/>
        <charset val="1"/>
      </rPr>
      <t xml:space="preserve"> </t>
    </r>
    <r>
      <rPr>
        <b val="true"/>
        <i val="true"/>
        <sz val="10"/>
        <color rgb="FFFFFFFF"/>
        <rFont val="Calibri"/>
        <family val="2"/>
        <charset val="1"/>
      </rPr>
      <t xml:space="preserve">Growth 2018 – 2022</t>
    </r>
  </si>
  <si>
    <t xml:space="preserve"> Growth 2023 – 2027</t>
  </si>
  <si>
    <r>
      <rPr>
        <sz val="11"/>
        <color rgb="FF000000"/>
        <rFont val="Calibri"/>
        <family val="2"/>
        <charset val="1"/>
      </rPr>
      <t xml:space="preserve"> 4 year contract aiming to repurchase 18 billion in shares, a </t>
    </r>
    <r>
      <rPr>
        <b val="true"/>
        <sz val="11"/>
        <color rgb="FF0000EE"/>
        <rFont val="Calibri"/>
        <family val="2"/>
        <charset val="1"/>
      </rPr>
      <t xml:space="preserve">20%</t>
    </r>
    <r>
      <rPr>
        <sz val="11"/>
        <color rgb="FF000000"/>
        <rFont val="Calibri"/>
        <family val="2"/>
        <charset val="1"/>
      </rPr>
      <t xml:space="preserve"> increase on the previous contract. During 2022, a total of 4 billion dollars of shares where</t>
    </r>
  </si>
  <si>
    <t xml:space="preserve">Share Issuance/Buybacks</t>
  </si>
  <si>
    <t xml:space="preserve"> repurchased.</t>
  </si>
  <si>
    <t xml:space="preserve">Dividends Paid to Shareholders</t>
  </si>
  <si>
    <r>
      <rPr>
        <sz val="11"/>
        <color rgb="FF000000"/>
        <rFont val="Calibri"/>
        <family val="2"/>
        <charset val="1"/>
      </rPr>
      <t xml:space="preserve"> We can conclude that Nike may potentially repurchase around </t>
    </r>
    <r>
      <rPr>
        <b val="true"/>
        <sz val="11"/>
        <color rgb="FF0000EE"/>
        <rFont val="Calibri"/>
        <family val="2"/>
        <charset val="1"/>
      </rPr>
      <t xml:space="preserve">4'500</t>
    </r>
    <r>
      <rPr>
        <sz val="11"/>
        <color rgb="FF000000"/>
        <rFont val="Calibri"/>
        <family val="2"/>
        <charset val="1"/>
      </rPr>
      <t xml:space="preserve"> billion dollars of shares each year until 2026. Also given that Nike repurchased  </t>
    </r>
  </si>
  <si>
    <t xml:space="preserve">Borrowings</t>
  </si>
  <si>
    <t xml:space="preserve"> 4 Billion in 1 year which was around 30% of the previous contracts 15 Billion, this is very probable, although not for certain. </t>
  </si>
  <si>
    <t xml:space="preserve">Other Financing Activities</t>
  </si>
  <si>
    <t xml:space="preserve">CFF</t>
  </si>
  <si>
    <t xml:space="preserve"> </t>
  </si>
  <si>
    <t xml:space="preserve"> Excluding 2021 the year after the pandemic when shares prices soared Nike consistently repurchased around 3 - 4 billion in shares from 2016 onwards. </t>
  </si>
  <si>
    <t xml:space="preserve">Other Adjustments</t>
  </si>
  <si>
    <t xml:space="preserve"> Interesting to note, after Nike halted on repurchasing in 2021, Nike share prices reached an all time high of around $178 but then the price plummeted  </t>
  </si>
  <si>
    <t xml:space="preserve">Net Change in Cash</t>
  </si>
  <si>
    <t xml:space="preserve"> the following year by just over 50%. The same also occurred in 2015, Nike halted on repurchasing and the following year share price corrected</t>
  </si>
  <si>
    <t xml:space="preserve">Opening Cash</t>
  </si>
  <si>
    <t xml:space="preserve"> by around 25%. As we can see in 2015 and 2021 that Nike is not obligated to repurchase the full or any amount and can suspend at there own discretion </t>
  </si>
  <si>
    <t xml:space="preserve">Closing Cash</t>
  </si>
  <si>
    <t xml:space="preserve"> At any time. </t>
  </si>
  <si>
    <t xml:space="preserve">Net Debt (Cash)</t>
  </si>
  <si>
    <t xml:space="preserve"> It is reasonable to assume that due to the recent correction in share price during 2021, Nike has decided to resume and increase its repurchasing as we've seen in </t>
  </si>
  <si>
    <r>
      <rPr>
        <sz val="11"/>
        <color rgb="FF000000"/>
        <rFont val="Calibri"/>
        <family val="2"/>
        <charset val="1"/>
      </rPr>
      <t xml:space="preserve"> 2022, the introduction of a </t>
    </r>
    <r>
      <rPr>
        <b val="true"/>
        <sz val="11"/>
        <color rgb="FF0000EE"/>
        <rFont val="Calibri"/>
        <family val="2"/>
        <charset val="1"/>
      </rPr>
      <t xml:space="preserve">new 4 year</t>
    </r>
    <r>
      <rPr>
        <sz val="11"/>
        <color rgb="FF000000"/>
        <rFont val="Calibri"/>
        <family val="2"/>
        <charset val="1"/>
      </rPr>
      <t xml:space="preserve"> </t>
    </r>
    <r>
      <rPr>
        <b val="true"/>
        <sz val="11"/>
        <color rgb="FF0000EE"/>
        <rFont val="Calibri"/>
        <family val="2"/>
        <charset val="1"/>
      </rPr>
      <t xml:space="preserve">contract in 2023</t>
    </r>
    <r>
      <rPr>
        <sz val="11"/>
        <color rgb="FF000000"/>
        <rFont val="Calibri"/>
        <family val="2"/>
        <charset val="1"/>
      </rPr>
      <t xml:space="preserve"> allowing for an </t>
    </r>
    <r>
      <rPr>
        <b val="true"/>
        <sz val="11"/>
        <color rgb="FF0000EE"/>
        <rFont val="Calibri"/>
        <family val="2"/>
        <charset val="1"/>
      </rPr>
      <t xml:space="preserve">added 3 billion in repurchasing</t>
    </r>
    <r>
      <rPr>
        <sz val="11"/>
        <color rgb="FF000000"/>
        <rFont val="Calibri"/>
        <family val="2"/>
        <charset val="1"/>
      </rPr>
      <t xml:space="preserve"> further confirms this. The introduction of a </t>
    </r>
  </si>
  <si>
    <t xml:space="preserve">Change in working capital</t>
  </si>
  <si>
    <r>
      <rPr>
        <sz val="11"/>
        <color rgb="FF000000"/>
        <rFont val="Calibri"/>
        <family val="2"/>
        <charset val="1"/>
      </rPr>
      <t xml:space="preserve"> </t>
    </r>
    <r>
      <rPr>
        <b val="true"/>
        <sz val="11"/>
        <color rgb="FF0000EE"/>
        <rFont val="Calibri"/>
        <family val="2"/>
        <charset val="1"/>
      </rPr>
      <t xml:space="preserve">new 5 year credit agreement</t>
    </r>
    <r>
      <rPr>
        <sz val="11"/>
        <color rgb="FF000000"/>
        <rFont val="Calibri"/>
        <family val="2"/>
        <charset val="1"/>
      </rPr>
      <t xml:space="preserve"> </t>
    </r>
    <r>
      <rPr>
        <b val="true"/>
        <sz val="11"/>
        <color rgb="FF0000EE"/>
        <rFont val="Calibri"/>
        <family val="2"/>
        <charset val="1"/>
      </rPr>
      <t xml:space="preserve">in 2023</t>
    </r>
    <r>
      <rPr>
        <sz val="11"/>
        <color rgb="FF000000"/>
        <rFont val="Calibri"/>
        <family val="2"/>
        <charset val="1"/>
      </rPr>
      <t xml:space="preserve"> allowing up to </t>
    </r>
    <r>
      <rPr>
        <b val="true"/>
        <sz val="11"/>
        <color rgb="FF0000EE"/>
        <rFont val="Calibri"/>
        <family val="2"/>
        <charset val="1"/>
      </rPr>
      <t xml:space="preserve">3 billion in loans</t>
    </r>
    <r>
      <rPr>
        <sz val="11"/>
        <color rgb="FF000000"/>
        <rFont val="Calibri"/>
        <family val="2"/>
        <charset val="1"/>
      </rPr>
      <t xml:space="preserve"> also provides further confidence and probability that repurchases will be sustained in the </t>
    </r>
  </si>
  <si>
    <t xml:space="preserve"> coming years.</t>
  </si>
  <si>
    <t xml:space="preserve">1 year Average share price - Sourced from Yahoo finance</t>
  </si>
  <si>
    <t xml:space="preserve"> I believe it is very probable that Nike will continue to repurchase shares consistently in the coming years especially due to the fact we have only recently in 2021 </t>
  </si>
  <si>
    <r>
      <rPr>
        <sz val="11"/>
        <color rgb="FF000000"/>
        <rFont val="Calibri"/>
        <family val="2"/>
        <charset val="1"/>
      </rPr>
      <t xml:space="preserve"> had a major decline in share price. I have therefore made a </t>
    </r>
    <r>
      <rPr>
        <b val="true"/>
        <sz val="11"/>
        <color rgb="FF0000EE"/>
        <rFont val="Calibri"/>
        <family val="2"/>
        <charset val="1"/>
      </rPr>
      <t xml:space="preserve">4'500</t>
    </r>
    <r>
      <rPr>
        <sz val="11"/>
        <color rgb="FF000000"/>
        <rFont val="Calibri"/>
        <family val="2"/>
        <charset val="1"/>
      </rPr>
      <t xml:space="preserve"> billion forecast for all years. </t>
    </r>
  </si>
  <si>
    <r>
      <rPr>
        <b val="true"/>
        <sz val="11"/>
        <color rgb="FF000000"/>
        <rFont val="Calibri"/>
        <family val="2"/>
        <charset val="1"/>
      </rPr>
      <t xml:space="preserve">Proceeds</t>
    </r>
    <r>
      <rPr>
        <sz val="11"/>
        <color rgb="FF000000"/>
        <rFont val="Calibri"/>
        <family val="2"/>
        <charset val="1"/>
      </rPr>
      <t xml:space="preserve"> from stock options and issuances totalled 1'151 billion in 2022, this calculates to around 29% of the expense for repurchasing shares. </t>
    </r>
  </si>
  <si>
    <t xml:space="preserve"> We can conclude that as Nike begins to acquire more shares that proceeds will increase as they have been since 2016 when Nike began consistently </t>
  </si>
  <si>
    <t xml:space="preserve"> repurchasing between 3 - 4 Billion in shares per year excluding for 2021. </t>
  </si>
  <si>
    <t xml:space="preserve"> An average growth rate has therefore been calculated to forecast proceeds for 2023, followed by an estimated growth in growth rate for the following </t>
  </si>
  <si>
    <t xml:space="preserve"> years. Proceeds and Repurchase of common stock have also then been added to the cash flow statement for calculation. </t>
  </si>
  <si>
    <t xml:space="preserve">NIKE, INC.
(Dollars and Shares in Millions Except Per Share Amounts)</t>
  </si>
  <si>
    <t xml:space="preserve">Terminal year</t>
  </si>
  <si>
    <t xml:space="preserve">Mulitples</t>
  </si>
  <si>
    <t xml:space="preserve">Average Share Price</t>
  </si>
  <si>
    <t xml:space="preserve">EV</t>
  </si>
  <si>
    <t xml:space="preserve">P/E</t>
  </si>
  <si>
    <r>
      <rPr>
        <sz val="11"/>
        <color rgb="FF000000"/>
        <rFont val="Calibri"/>
        <family val="2"/>
        <charset val="1"/>
      </rPr>
      <t xml:space="preserve">BV P</t>
    </r>
    <r>
      <rPr>
        <sz val="11"/>
        <color rgb="FF000000"/>
        <rFont val="Calibri"/>
        <family val="2"/>
      </rPr>
      <t xml:space="preserve">er Share</t>
    </r>
  </si>
  <si>
    <t xml:space="preserve">P/BV</t>
  </si>
  <si>
    <t xml:space="preserve">EV/EBITDA</t>
  </si>
  <si>
    <t xml:space="preserve">EV/FCFF</t>
  </si>
  <si>
    <t xml:space="preserve">Debt/Equity</t>
  </si>
  <si>
    <t xml:space="preserve">Debt/Capital</t>
  </si>
  <si>
    <t xml:space="preserve">ROE</t>
  </si>
  <si>
    <t xml:space="preserve">FCFF in high growth phase </t>
  </si>
  <si>
    <t xml:space="preserve">Extend the FCFF to 2027, forecast FCFF based on historical growth trend for 2024-terminal year</t>
  </si>
  <si>
    <t xml:space="preserve">WACC</t>
  </si>
  <si>
    <t xml:space="preserve">Calculate using below figures</t>
  </si>
  <si>
    <t xml:space="preserve">Beta</t>
  </si>
  <si>
    <t xml:space="preserve">Source from a financial website</t>
  </si>
  <si>
    <t xml:space="preserve">Cost of Equity</t>
  </si>
  <si>
    <t xml:space="preserve">CAPM</t>
  </si>
  <si>
    <t xml:space="preserve">Rf</t>
  </si>
  <si>
    <t xml:space="preserve">https://www.treasury.gov/resource-center/data-chart-center/interest-rates/Pages/TextView.aspx?data=longtermrate</t>
  </si>
  <si>
    <t xml:space="preserve">Rm</t>
  </si>
  <si>
    <t xml:space="preserve">S&amp;P 500 index 1 year return (Source from a financial website)</t>
  </si>
  <si>
    <t xml:space="preserve">Cost of Debt</t>
  </si>
  <si>
    <t xml:space="preserve">Calculate from Income statement sheet</t>
  </si>
  <si>
    <t xml:space="preserve">Debt Ratio</t>
  </si>
  <si>
    <t xml:space="preserve">Present Values</t>
  </si>
  <si>
    <t xml:space="preserve">Calculate for periods from 2022 onwards</t>
  </si>
  <si>
    <t xml:space="preserve">Present Value of FCFF in high growth phase </t>
  </si>
  <si>
    <t xml:space="preserve">Calculate</t>
  </si>
  <si>
    <t xml:space="preserve">Present Value of Terminal Value of Firm </t>
  </si>
  <si>
    <t xml:space="preserve">Value of the firm </t>
  </si>
  <si>
    <t xml:space="preserve">Addtion of the above</t>
  </si>
  <si>
    <t xml:space="preserve">Book Value of Debt </t>
  </si>
  <si>
    <t xml:space="preserve">Value of Equity </t>
  </si>
  <si>
    <t xml:space="preserve">Value of Equity per Share </t>
  </si>
  <si>
    <t xml:space="preserve">Month </t>
  </si>
  <si>
    <t xml:space="preserve">January </t>
  </si>
  <si>
    <t xml:space="preserve">February </t>
  </si>
  <si>
    <t xml:space="preserve">March </t>
  </si>
  <si>
    <t xml:space="preserve">April 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</si>
  <si>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</si>
  <si>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</si>
  <si>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</si>
  <si>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</si>
  <si>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</si>
  <si>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</si>
  <si>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  </t>
  </si>
  <si>
    <t xml:space="preserve">December </t>
  </si>
  <si>
    <t xml:space="preserve"> Average Share Price </t>
  </si>
  <si>
    <r>
      <rPr>
        <b val="true"/>
        <i val="true"/>
        <sz val="12"/>
        <color rgb="FF203864"/>
        <rFont val="Calibri"/>
        <family val="2"/>
      </rPr>
      <t xml:space="preserve"> Financial year</t>
    </r>
    <r>
      <rPr>
        <b val="true"/>
        <i val="true"/>
        <sz val="12"/>
        <color rgb="FF004586"/>
        <rFont val="Calibri"/>
        <family val="2"/>
      </rPr>
      <t xml:space="preserve"> Share Price </t>
    </r>
  </si>
  <si>
    <t xml:space="preserve"> Market Cap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</si>
</sst>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_-* #,##0.00_-;\-* #,##0.00_-;_-* \-??_-;_-@_-"/>
    <numFmt numFmtId="166" formatCode="General"/>
    <numFmt numFmtId="167" formatCode="_(* #,##0.00_);_(* \(#,##0.00\);_(* \-??_);_(@_)"/>
    <numFmt numFmtId="168" formatCode="_(* #,##0_);_(* \(#,##0\);_(* \-??_);_(@_)"/>
    <numFmt numFmtId="169" formatCode="#,##0"/>
    <numFmt numFmtId="170" formatCode="0.00"/>
    <numFmt numFmtId="171" formatCode="0%"/>
    <numFmt numFmtId="172" formatCode="0.0%"/>
    <numFmt numFmtId="173" formatCode="0.00%"/>
    <numFmt numFmtId="174" formatCode="#,##0.00"/>
    <numFmt numFmtId="175" formatCode="#,##0_);\(#,##0\)"/>
    <numFmt numFmtId="176" formatCode="0"/>
    <numFmt numFmtId="177" formatCode="_(* #,##0.00_);_(* \(#,##0.00\);_(* \-??_);_(@_)"/>
    <numFmt numFmtId="178" formatCode="_(* #,##0_);_(* \(#,##0\);_(* \-??_);_(@_)"/>
  </numFmts>
  <fonts count="4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1"/>
      <color rgb="FF203864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 val="true"/>
      <sz val="9"/>
      <color rgb="FF000000"/>
      <name val="Calibri"/>
      <family val="2"/>
      <charset val="1"/>
    </font>
    <font>
      <i val="true"/>
      <sz val="10"/>
      <color rgb="FF002060"/>
      <name val="Calibri"/>
      <family val="2"/>
      <charset val="1"/>
    </font>
    <font>
      <b val="true"/>
      <i val="true"/>
      <sz val="11"/>
      <color rgb="FFFFFFFF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b val="true"/>
      <i val="true"/>
      <sz val="10"/>
      <color rgb="FF2A6099"/>
      <name val="Calibri"/>
      <family val="2"/>
      <charset val="1"/>
    </font>
    <font>
      <b val="true"/>
      <i val="true"/>
      <sz val="10"/>
      <color rgb="FF0D47A1"/>
      <name val="Calibri"/>
      <family val="2"/>
      <charset val="1"/>
    </font>
    <font>
      <b val="true"/>
      <i val="true"/>
      <sz val="10"/>
      <color rgb="FFFFFFFF"/>
      <name val="Calibri"/>
      <family val="2"/>
      <charset val="1"/>
    </font>
    <font>
      <b val="true"/>
      <i val="true"/>
      <sz val="9"/>
      <color rgb="FF000000"/>
      <name val="Calibri"/>
      <family val="2"/>
      <charset val="1"/>
    </font>
    <font>
      <b val="true"/>
      <sz val="11"/>
      <color rgb="FF0000EE"/>
      <name val="Calibri"/>
      <family val="2"/>
      <charset val="1"/>
    </font>
    <font>
      <sz val="11"/>
      <color rgb="FF0000EE"/>
      <name val="Calibri"/>
      <family val="2"/>
      <charset val="1"/>
    </font>
    <font>
      <sz val="11"/>
      <color rgb="FFCC0000"/>
      <name val="Calibri"/>
      <family val="2"/>
      <charset val="1"/>
    </font>
    <font>
      <b val="true"/>
      <i val="true"/>
      <sz val="12"/>
      <color rgb="FFFFFFFF"/>
      <name val="Calibri"/>
      <family val="2"/>
      <charset val="1"/>
    </font>
    <font>
      <b val="true"/>
      <i val="true"/>
      <sz val="9"/>
      <color rgb="FFFFFFFF"/>
      <name val="Calibri"/>
      <family val="2"/>
      <charset val="1"/>
    </font>
    <font>
      <sz val="11"/>
      <color rgb="FF0D47A1"/>
      <name val="Calibri"/>
      <family val="2"/>
      <charset val="1"/>
    </font>
    <font>
      <sz val="9"/>
      <color rgb="FFFF0000"/>
      <name val="Calibri"/>
      <family val="2"/>
      <charset val="1"/>
    </font>
    <font>
      <sz val="11"/>
      <color rgb="FFFC5C00"/>
      <name val="Calibri"/>
      <family val="2"/>
      <charset val="1"/>
    </font>
    <font>
      <b val="true"/>
      <i val="true"/>
      <sz val="11"/>
      <color rgb="FF4472C4"/>
      <name val="Calibri"/>
      <family val="2"/>
      <charset val="1"/>
    </font>
    <font>
      <b val="true"/>
      <i val="true"/>
      <sz val="11"/>
      <color rgb="FF579D1C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14"/>
      <color rgb="FFFFFFFF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  <charset val="1"/>
    </font>
    <font>
      <sz val="11"/>
      <color rgb="FF004586"/>
      <name val="Calibri"/>
      <family val="2"/>
      <charset val="1"/>
    </font>
    <font>
      <b val="true"/>
      <sz val="13"/>
      <color rgb="FF83CA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CEE8E2"/>
      <name val="Calibri"/>
      <family val="2"/>
      <charset val="1"/>
    </font>
    <font>
      <b val="true"/>
      <sz val="12"/>
      <color rgb="FFEAE1D1"/>
      <name val="Calibri"/>
      <family val="2"/>
      <charset val="1"/>
    </font>
    <font>
      <b val="true"/>
      <i val="true"/>
      <sz val="13"/>
      <color rgb="FF004586"/>
      <name val="Calibri"/>
      <family val="2"/>
      <charset val="1"/>
    </font>
    <font>
      <b val="true"/>
      <i val="true"/>
      <sz val="12"/>
      <color rgb="FF004586"/>
      <name val="Calibri"/>
      <family val="2"/>
    </font>
    <font>
      <b val="true"/>
      <i val="true"/>
      <sz val="12"/>
      <color rgb="FF203864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4472C4"/>
        <bgColor rgb="FF2A60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203864"/>
      </patternFill>
    </fill>
    <fill>
      <patternFill patternType="solid">
        <fgColor rgb="FFADB9CA"/>
        <bgColor rgb="FFB4C7DC"/>
      </patternFill>
    </fill>
    <fill>
      <patternFill patternType="solid">
        <fgColor rgb="FFB4C7DC"/>
        <bgColor rgb="FFADB9CA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E8F5E9"/>
      </patternFill>
    </fill>
    <fill>
      <patternFill patternType="solid">
        <fgColor rgb="FFFFFFFF"/>
        <bgColor rgb="FFE8F5E9"/>
      </patternFill>
    </fill>
    <fill>
      <patternFill patternType="solid">
        <fgColor rgb="FF004586"/>
        <bgColor rgb="FF0D47A1"/>
      </patternFill>
    </fill>
    <fill>
      <patternFill patternType="solid">
        <fgColor rgb="FFE8F5E9"/>
        <bgColor rgb="FFEDEDED"/>
      </patternFill>
    </fill>
    <fill>
      <patternFill patternType="solid">
        <fgColor rgb="FF808080"/>
        <bgColor rgb="FF687A84"/>
      </patternFill>
    </fill>
    <fill>
      <patternFill patternType="solid">
        <fgColor rgb="FFD0CECE"/>
        <bgColor rgb="FFB4C7DC"/>
      </patternFill>
    </fill>
    <fill>
      <patternFill patternType="solid">
        <fgColor rgb="FF0061B1"/>
        <bgColor rgb="FF0563C1"/>
      </patternFill>
    </fill>
    <fill>
      <patternFill patternType="solid">
        <fgColor rgb="FF687A84"/>
        <bgColor rgb="FF808080"/>
      </patternFill>
    </fill>
    <fill>
      <patternFill patternType="solid">
        <fgColor rgb="FFE2E2E2"/>
        <bgColor rgb="FFEAE1D1"/>
      </patternFill>
    </fill>
  </fills>
  <borders count="2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hair"/>
      <top style="thin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2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</cellStyleXfs>
  <cellXfs count="2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true" indent="1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0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10" fillId="4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8" fontId="0" fillId="0" borderId="2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3" shrinkToFit="false"/>
      <protection locked="true" hidden="false"/>
    </xf>
    <xf numFmtId="164" fontId="7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7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13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2" fontId="1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72" fontId="15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0" borderId="2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0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2" fontId="15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7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15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0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3" borderId="0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7" fillId="0" borderId="0" xfId="15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18" fillId="8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15" fillId="9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10" fillId="10" borderId="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1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5" fillId="0" borderId="5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6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3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7" fillId="0" borderId="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1" fillId="0" borderId="6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2" fontId="22" fillId="11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3" fillId="1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3" fillId="10" borderId="0" xfId="1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7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17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17" fillId="0" borderId="5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4" fillId="11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4" fillId="11" borderId="5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5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4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0" fillId="0" borderId="5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5" fillId="0" borderId="11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2" fillId="11" borderId="6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1" fillId="8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7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1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2" fillId="0" borderId="6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1" fillId="8" borderId="5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4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4" fillId="0" borderId="5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9" fontId="7" fillId="0" borderId="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5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3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3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10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6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15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8" fontId="0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32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32" fillId="0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32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7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7" fillId="0" borderId="1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33" fillId="11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33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6" fontId="33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33" fillId="11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35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1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5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1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4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5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1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1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4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0" fillId="1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12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36" fillId="4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7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8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8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7" fillId="8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7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17" fillId="0" borderId="0" xfId="1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7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8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0" fillId="8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1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0" fillId="1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1" fillId="1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2" fillId="1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3" fillId="1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15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4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2" fillId="9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4" fillId="8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2" fillId="8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6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5" fillId="9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12" fillId="9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6" fillId="8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12" fillId="8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2" fillId="16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1"/>
    <cellStyle name="*unknown*" xfId="20" builtinId="8"/>
    <cellStyle name="Excel Built-in Accent1" xfId="22"/>
    <cellStyle name="Excel Built-in 60% - Accent1" xfId="23"/>
  </cellStyles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61B1"/>
      <rgbColor rgb="FFADB9CA"/>
      <rgbColor rgb="FF808080"/>
      <rgbColor rgb="FF8FAADC"/>
      <rgbColor rgb="FF993366"/>
      <rgbColor rgb="FFE8F5E9"/>
      <rgbColor rgb="FFEDEDED"/>
      <rgbColor rgb="FF660066"/>
      <rgbColor rgb="FFFF8080"/>
      <rgbColor rgb="FF0563C1"/>
      <rgbColor rgb="FFD0CECE"/>
      <rgbColor rgb="FF000080"/>
      <rgbColor rgb="FFFF00FF"/>
      <rgbColor rgb="FFFFFF00"/>
      <rgbColor rgb="FF00FFFF"/>
      <rgbColor rgb="FF800080"/>
      <rgbColor rgb="FF800000"/>
      <rgbColor rgb="FF2A6099"/>
      <rgbColor rgb="FF0000FF"/>
      <rgbColor rgb="FF00CCFF"/>
      <rgbColor rgb="FFE2E2E2"/>
      <rgbColor rgb="FFCEE8E2"/>
      <rgbColor rgb="FFFFFF99"/>
      <rgbColor rgb="FF83CAFF"/>
      <rgbColor rgb="FFFF99CC"/>
      <rgbColor rgb="FFB4C7DC"/>
      <rgbColor rgb="FFEAE1D1"/>
      <rgbColor rgb="FF4472C4"/>
      <rgbColor rgb="FF33CCCC"/>
      <rgbColor rgb="FF99CC00"/>
      <rgbColor rgb="FFFFCC00"/>
      <rgbColor rgb="FFFF9900"/>
      <rgbColor rgb="FFFC5C00"/>
      <rgbColor rgb="FF687A84"/>
      <rgbColor rgb="FF8497B0"/>
      <rgbColor rgb="FF002060"/>
      <rgbColor rgb="FF579D1C"/>
      <rgbColor rgb="FF004586"/>
      <rgbColor rgb="FF333300"/>
      <rgbColor rgb="FF993300"/>
      <rgbColor rgb="FF993366"/>
      <rgbColor rgb="FF0D47A1"/>
      <rgbColor rgb="FF20386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finance.yahoo.com/quote/NKE/history?p=NKE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hyperlink" Target="https://www.treasury.gov/resource-center/data-chart-center/interest-rates/Pages/TextView.aspx?data=longtermrat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3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5625" defaultRowHeight="14.25" zeroHeight="false" outlineLevelRow="0" outlineLevelCol="0"/>
  <cols>
    <col collapsed="false" customWidth="true" hidden="false" outlineLevel="0" max="1" min="1" style="1" width="176.11"/>
  </cols>
  <sheetData>
    <row r="1" customFormat="false" ht="23.25" hidden="false" customHeight="false" outlineLevel="0" collapsed="false">
      <c r="A1" s="2" t="s">
        <v>0</v>
      </c>
    </row>
    <row r="2" customFormat="false" ht="13.8" hidden="false" customHeight="false" outlineLevel="0" collapsed="false">
      <c r="A2" s="3" t="s">
        <v>1</v>
      </c>
    </row>
    <row r="3" customFormat="false" ht="13.8" hidden="false" customHeight="false" outlineLevel="0" collapsed="false">
      <c r="A3" s="4"/>
    </row>
    <row r="4" customFormat="false" ht="22.05" hidden="false" customHeight="false" outlineLevel="0" collapsed="false">
      <c r="A4" s="2" t="s">
        <v>0</v>
      </c>
    </row>
    <row r="5" customFormat="false" ht="13.8" hidden="false" customHeight="false" outlineLevel="0" collapsed="false">
      <c r="A5" s="5" t="s">
        <v>2</v>
      </c>
    </row>
    <row r="6" customFormat="false" ht="13.8" hidden="false" customHeight="false" outlineLevel="0" collapsed="false">
      <c r="A6" s="5" t="s">
        <v>3</v>
      </c>
    </row>
    <row r="7" customFormat="false" ht="13.8" hidden="false" customHeight="false" outlineLevel="0" collapsed="false">
      <c r="A7" s="6" t="s">
        <v>4</v>
      </c>
    </row>
    <row r="8" customFormat="false" ht="13.8" hidden="false" customHeight="false" outlineLevel="0" collapsed="false">
      <c r="A8" s="5" t="s">
        <v>5</v>
      </c>
    </row>
    <row r="9" customFormat="false" ht="13.8" hidden="false" customHeight="false" outlineLevel="0" collapsed="false">
      <c r="A9" s="7" t="s">
        <v>6</v>
      </c>
    </row>
    <row r="10" customFormat="false" ht="13.8" hidden="false" customHeight="false" outlineLevel="0" collapsed="false">
      <c r="A10" s="0"/>
    </row>
    <row r="11" customFormat="false" ht="13.8" hidden="false" customHeight="false" outlineLevel="0" collapsed="false">
      <c r="A11" s="0"/>
    </row>
    <row r="12" customFormat="false" ht="13.8" hidden="false" customHeight="false" outlineLevel="0" collapsed="false">
      <c r="A12" s="0"/>
    </row>
    <row r="13" customFormat="false" ht="13.8" hidden="false" customHeight="false" outlineLevel="0" collapsed="false">
      <c r="A13" s="0"/>
    </row>
    <row r="14" customFormat="false" ht="13.8" hidden="false" customHeight="false" outlineLevel="0" collapsed="false">
      <c r="A14" s="0"/>
    </row>
    <row r="15" customFormat="false" ht="13.8" hidden="false" customHeight="false" outlineLevel="0" collapsed="false">
      <c r="A15" s="0"/>
    </row>
    <row r="16" customFormat="false" ht="13.8" hidden="false" customHeight="false" outlineLevel="0" collapsed="false">
      <c r="A16" s="0"/>
    </row>
    <row r="17" customFormat="false" ht="13.8" hidden="false" customHeight="false" outlineLevel="0" collapsed="false">
      <c r="A17" s="0"/>
    </row>
    <row r="18" customFormat="false" ht="13.8" hidden="false" customHeight="false" outlineLevel="0" collapsed="false">
      <c r="A18" s="0"/>
    </row>
    <row r="19" customFormat="false" ht="13.8" hidden="false" customHeight="false" outlineLevel="0" collapsed="false">
      <c r="A19" s="0"/>
    </row>
    <row r="20" customFormat="false" ht="13.8" hidden="false" customHeight="false" outlineLevel="0" collapsed="false">
      <c r="A20" s="8"/>
    </row>
    <row r="21" customFormat="false" ht="13.8" hidden="false" customHeight="false" outlineLevel="0" collapsed="false">
      <c r="A21" s="9"/>
    </row>
    <row r="22" customFormat="false" ht="13.8" hidden="false" customHeight="false" outlineLevel="0" collapsed="false">
      <c r="A22" s="9"/>
    </row>
    <row r="23" customFormat="false" ht="13.8" hidden="false" customHeight="false" outlineLevel="0" collapsed="false">
      <c r="A23" s="9"/>
    </row>
    <row r="24" customFormat="false" ht="13.8" hidden="false" customHeight="false" outlineLevel="0" collapsed="false">
      <c r="A24" s="9"/>
    </row>
    <row r="25" customFormat="false" ht="13.8" hidden="false" customHeight="false" outlineLevel="0" collapsed="false">
      <c r="A25" s="9"/>
    </row>
    <row r="26" customFormat="false" ht="13.8" hidden="false" customHeight="false" outlineLevel="0" collapsed="false">
      <c r="A26" s="9"/>
    </row>
    <row r="27" customFormat="false" ht="13.8" hidden="false" customHeight="false" outlineLevel="0" collapsed="false">
      <c r="A27" s="9"/>
    </row>
    <row r="28" customFormat="false" ht="13.8" hidden="false" customHeight="false" outlineLevel="0" collapsed="false">
      <c r="A28" s="9"/>
    </row>
    <row r="29" customFormat="false" ht="13.8" hidden="false" customHeight="false" outlineLevel="0" collapsed="false">
      <c r="A29" s="9"/>
    </row>
    <row r="30" customFormat="false" ht="13.8" hidden="false" customHeight="false" outlineLevel="0" collapsed="false">
      <c r="A30" s="9"/>
    </row>
    <row r="31" customFormat="false" ht="13.8" hidden="false" customHeight="false" outlineLevel="0" collapsed="false">
      <c r="A31" s="9"/>
    </row>
    <row r="32" customFormat="false" ht="13.8" hidden="false" customHeight="false" outlineLevel="0" collapsed="false">
      <c r="A32" s="9"/>
    </row>
    <row r="33" customFormat="false" ht="13.8" hidden="false" customHeight="false" outlineLevel="0" collapsed="false">
      <c r="A33" s="9"/>
    </row>
    <row r="34" customFormat="false" ht="13.8" hidden="false" customHeight="false" outlineLevel="0" collapsed="false">
      <c r="A34" s="9"/>
    </row>
    <row r="35" customFormat="false" ht="13.8" hidden="false" customHeight="false" outlineLevel="0" collapsed="false">
      <c r="A35" s="9"/>
    </row>
    <row r="36" customFormat="false" ht="13.8" hidden="false" customHeight="false" outlineLevel="0" collapsed="false">
      <c r="A36" s="9"/>
    </row>
    <row r="37" customFormat="false" ht="13.8" hidden="false" customHeight="false" outlineLevel="0" collapsed="false">
      <c r="A37" s="9"/>
    </row>
    <row r="38" customFormat="false" ht="13.8" hidden="false" customHeight="false" outlineLevel="0" collapsed="false">
      <c r="A38" s="7"/>
    </row>
    <row r="39" customFormat="false" ht="13.8" hidden="false" customHeight="false" outlineLevel="0" collapsed="false">
      <c r="A39" s="7"/>
    </row>
  </sheetData>
  <hyperlinks>
    <hyperlink ref="A7" r:id="rId1" display="https://finance.yahoo.com/quote/NKE/history?p=NKE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0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B92" activeCellId="0" sqref="B92"/>
    </sheetView>
  </sheetViews>
  <sheetFormatPr defaultColWidth="8.5625" defaultRowHeight="14.25" zeroHeight="false" outlineLevelRow="0" outlineLevelCol="0"/>
  <cols>
    <col collapsed="false" customWidth="true" hidden="false" outlineLevel="0" max="1" min="1" style="9" width="78.11"/>
    <col collapsed="false" customWidth="true" hidden="false" outlineLevel="0" max="7" min="2" style="9" width="9"/>
    <col collapsed="false" customWidth="true" hidden="false" outlineLevel="0" max="8" min="8" style="9" width="10.44"/>
    <col collapsed="false" customWidth="true" hidden="false" outlineLevel="0" max="9" min="9" style="9" width="10.66"/>
  </cols>
  <sheetData>
    <row r="1" customFormat="false" ht="60" hidden="false" customHeight="true" outlineLevel="0" collapsed="false">
      <c r="A1" s="10" t="s">
        <v>7</v>
      </c>
      <c r="B1" s="11" t="n">
        <f aca="false">+C1-1</f>
        <v>2015</v>
      </c>
      <c r="C1" s="11" t="n">
        <f aca="false">+D1-1</f>
        <v>2016</v>
      </c>
      <c r="D1" s="11" t="n">
        <f aca="false">+E1-1</f>
        <v>2017</v>
      </c>
      <c r="E1" s="11" t="n">
        <f aca="false">+F1-1</f>
        <v>2018</v>
      </c>
      <c r="F1" s="11" t="n">
        <f aca="false">+G1-1</f>
        <v>2019</v>
      </c>
      <c r="G1" s="11" t="n">
        <f aca="false">+H1-1</f>
        <v>2020</v>
      </c>
      <c r="H1" s="11" t="n">
        <f aca="false">+I1-1</f>
        <v>2021</v>
      </c>
      <c r="I1" s="11" t="n">
        <v>2022</v>
      </c>
    </row>
    <row r="2" customFormat="false" ht="14.25" hidden="false" customHeight="false" outlineLevel="0" collapsed="false">
      <c r="A2" s="9" t="s">
        <v>8</v>
      </c>
      <c r="B2" s="12" t="n">
        <v>30601</v>
      </c>
      <c r="C2" s="12" t="n">
        <v>32376</v>
      </c>
      <c r="D2" s="12" t="n">
        <v>34350</v>
      </c>
      <c r="E2" s="12" t="n">
        <v>36397</v>
      </c>
      <c r="F2" s="12" t="n">
        <v>39117</v>
      </c>
      <c r="G2" s="12" t="n">
        <v>37403</v>
      </c>
      <c r="H2" s="12" t="n">
        <v>44538</v>
      </c>
      <c r="I2" s="12" t="n">
        <v>46710</v>
      </c>
      <c r="K2" s="12" t="n">
        <v>27799</v>
      </c>
    </row>
    <row r="3" customFormat="false" ht="14.25" hidden="false" customHeight="false" outlineLevel="0" collapsed="false">
      <c r="A3" s="13" t="s">
        <v>9</v>
      </c>
      <c r="B3" s="14" t="n">
        <v>16534</v>
      </c>
      <c r="C3" s="14" t="n">
        <v>17405</v>
      </c>
      <c r="D3" s="14" t="n">
        <v>19038</v>
      </c>
      <c r="E3" s="14" t="n">
        <v>20441</v>
      </c>
      <c r="F3" s="14" t="n">
        <v>21643</v>
      </c>
      <c r="G3" s="14" t="n">
        <v>21162</v>
      </c>
      <c r="H3" s="14" t="n">
        <v>24576</v>
      </c>
      <c r="I3" s="14" t="n">
        <v>25231</v>
      </c>
    </row>
    <row r="4" s="8" customFormat="true" ht="14.25" hidden="false" customHeight="false" outlineLevel="0" collapsed="false">
      <c r="A4" s="8" t="s">
        <v>10</v>
      </c>
      <c r="B4" s="15" t="n">
        <f aca="false">+B2-B3</f>
        <v>14067</v>
      </c>
      <c r="C4" s="15" t="n">
        <f aca="false">C2-C3</f>
        <v>14971</v>
      </c>
      <c r="D4" s="15" t="n">
        <f aca="false">+D2-D3</f>
        <v>15312</v>
      </c>
      <c r="E4" s="15" t="n">
        <f aca="false">+E2-E3</f>
        <v>15956</v>
      </c>
      <c r="F4" s="15" t="n">
        <f aca="false">+F2-F3</f>
        <v>17474</v>
      </c>
      <c r="G4" s="15" t="n">
        <f aca="false">+G2-G3</f>
        <v>16241</v>
      </c>
      <c r="H4" s="15" t="n">
        <f aca="false">+H2-H3</f>
        <v>19962</v>
      </c>
      <c r="I4" s="15" t="n">
        <f aca="false">+I2-I3</f>
        <v>21479</v>
      </c>
    </row>
    <row r="5" customFormat="false" ht="14.25" hidden="false" customHeight="false" outlineLevel="0" collapsed="false">
      <c r="A5" s="16" t="s">
        <v>11</v>
      </c>
      <c r="B5" s="12" t="n">
        <v>3213</v>
      </c>
      <c r="C5" s="12" t="n">
        <v>3278</v>
      </c>
      <c r="D5" s="12" t="n">
        <v>3341</v>
      </c>
      <c r="E5" s="12" t="n">
        <v>3577</v>
      </c>
      <c r="F5" s="12" t="n">
        <v>3753</v>
      </c>
      <c r="G5" s="12" t="n">
        <v>3592</v>
      </c>
      <c r="H5" s="12" t="n">
        <v>3114</v>
      </c>
      <c r="I5" s="12" t="n">
        <v>3850</v>
      </c>
    </row>
    <row r="6" customFormat="false" ht="14.25" hidden="false" customHeight="false" outlineLevel="0" collapsed="false">
      <c r="A6" s="16" t="s">
        <v>12</v>
      </c>
      <c r="B6" s="12" t="n">
        <v>6679</v>
      </c>
      <c r="C6" s="12" t="n">
        <v>7191</v>
      </c>
      <c r="D6" s="12" t="n">
        <v>7222</v>
      </c>
      <c r="E6" s="12" t="n">
        <v>7934</v>
      </c>
      <c r="F6" s="12" t="n">
        <v>8949</v>
      </c>
      <c r="G6" s="12" t="n">
        <v>9534</v>
      </c>
      <c r="H6" s="12" t="n">
        <v>9911</v>
      </c>
      <c r="I6" s="12" t="n">
        <v>10954</v>
      </c>
    </row>
    <row r="7" customFormat="false" ht="14.25" hidden="false" customHeight="false" outlineLevel="0" collapsed="false">
      <c r="A7" s="17" t="s">
        <v>13</v>
      </c>
      <c r="B7" s="18" t="n">
        <f aca="false">+B5+B6</f>
        <v>9892</v>
      </c>
      <c r="C7" s="18" t="n">
        <f aca="false">+C5+C6</f>
        <v>10469</v>
      </c>
      <c r="D7" s="18" t="n">
        <f aca="false">+D5+D6</f>
        <v>10563</v>
      </c>
      <c r="E7" s="18" t="n">
        <f aca="false">+E5+E6</f>
        <v>11511</v>
      </c>
      <c r="F7" s="18" t="n">
        <f aca="false">+F5+F6</f>
        <v>12702</v>
      </c>
      <c r="G7" s="18" t="n">
        <f aca="false">+G5+G6</f>
        <v>13126</v>
      </c>
      <c r="H7" s="18" t="n">
        <f aca="false">+H5+H6</f>
        <v>13025</v>
      </c>
      <c r="I7" s="18" t="n">
        <f aca="false">+I5+I6</f>
        <v>14804</v>
      </c>
    </row>
    <row r="8" customFormat="false" ht="14.25" hidden="false" customHeight="false" outlineLevel="0" collapsed="false">
      <c r="A8" s="19" t="s">
        <v>14</v>
      </c>
      <c r="B8" s="12" t="n">
        <v>28</v>
      </c>
      <c r="C8" s="12" t="n">
        <v>19</v>
      </c>
      <c r="D8" s="12" t="n">
        <v>59</v>
      </c>
      <c r="E8" s="12" t="n">
        <v>54</v>
      </c>
      <c r="F8" s="12" t="n">
        <v>49</v>
      </c>
      <c r="G8" s="12" t="n">
        <v>89</v>
      </c>
      <c r="H8" s="12" t="n">
        <v>262</v>
      </c>
      <c r="I8" s="12" t="n">
        <v>205</v>
      </c>
    </row>
    <row r="9" customFormat="false" ht="14.25" hidden="false" customHeight="false" outlineLevel="0" collapsed="false">
      <c r="A9" s="19" t="s">
        <v>15</v>
      </c>
      <c r="B9" s="12" t="n">
        <v>-58</v>
      </c>
      <c r="C9" s="12" t="n">
        <v>-140</v>
      </c>
      <c r="D9" s="12" t="n">
        <v>-196</v>
      </c>
      <c r="E9" s="9" t="n">
        <v>66</v>
      </c>
      <c r="F9" s="12" t="n">
        <v>-78</v>
      </c>
      <c r="G9" s="12" t="n">
        <v>139</v>
      </c>
      <c r="H9" s="12" t="n">
        <v>14</v>
      </c>
      <c r="I9" s="12" t="n">
        <v>-181</v>
      </c>
    </row>
    <row r="10" customFormat="false" ht="14.25" hidden="false" customHeight="false" outlineLevel="0" collapsed="false">
      <c r="A10" s="20" t="s">
        <v>16</v>
      </c>
      <c r="B10" s="21" t="n">
        <f aca="false">+B4-B7-B8-B9</f>
        <v>4205</v>
      </c>
      <c r="C10" s="21" t="n">
        <f aca="false">+C4-C7-C8-C9</f>
        <v>4623</v>
      </c>
      <c r="D10" s="21" t="n">
        <f aca="false">+D4-D7-D8-D9</f>
        <v>4886</v>
      </c>
      <c r="E10" s="21" t="n">
        <f aca="false">+E4-E7-E8-E9</f>
        <v>4325</v>
      </c>
      <c r="F10" s="21" t="n">
        <f aca="false">+F4-F7-F8-F9</f>
        <v>4801</v>
      </c>
      <c r="G10" s="21" t="n">
        <f aca="false">+G4-G7-G8-G9</f>
        <v>2887</v>
      </c>
      <c r="H10" s="21" t="n">
        <f aca="false">+H4-H7-H8-H9</f>
        <v>6661</v>
      </c>
      <c r="I10" s="21" t="n">
        <f aca="false">+I4-I7-I8-I9</f>
        <v>6651</v>
      </c>
      <c r="K10" s="15" t="n">
        <v>3577</v>
      </c>
    </row>
    <row r="11" customFormat="false" ht="14.25" hidden="false" customHeight="false" outlineLevel="0" collapsed="false">
      <c r="A11" s="19" t="s">
        <v>17</v>
      </c>
      <c r="B11" s="12" t="n">
        <v>932</v>
      </c>
      <c r="C11" s="12" t="n">
        <v>863</v>
      </c>
      <c r="D11" s="12" t="n">
        <v>646</v>
      </c>
      <c r="E11" s="12" t="n">
        <v>2392</v>
      </c>
      <c r="F11" s="12" t="n">
        <v>772</v>
      </c>
      <c r="G11" s="12" t="n">
        <v>348</v>
      </c>
      <c r="H11" s="12" t="n">
        <v>934</v>
      </c>
      <c r="I11" s="12" t="n">
        <v>605</v>
      </c>
      <c r="K11" s="15"/>
    </row>
    <row r="12" customFormat="false" ht="14.25" hidden="false" customHeight="false" outlineLevel="0" collapsed="false">
      <c r="A12" s="22" t="s">
        <v>18</v>
      </c>
      <c r="B12" s="23" t="n">
        <f aca="false">+B10-B11</f>
        <v>3273</v>
      </c>
      <c r="C12" s="23" t="n">
        <f aca="false">+C10-C11</f>
        <v>3760</v>
      </c>
      <c r="D12" s="23" t="n">
        <f aca="false">+D10-D11</f>
        <v>4240</v>
      </c>
      <c r="E12" s="23" t="n">
        <f aca="false">+E10-E11</f>
        <v>1933</v>
      </c>
      <c r="F12" s="23" t="n">
        <f aca="false">+F10-F11</f>
        <v>4029</v>
      </c>
      <c r="G12" s="23" t="n">
        <f aca="false">+G10-G11</f>
        <v>2539</v>
      </c>
      <c r="H12" s="23" t="n">
        <f aca="false">+H10-H11</f>
        <v>5727</v>
      </c>
      <c r="I12" s="23" t="n">
        <f aca="false">+I10-I11</f>
        <v>6046</v>
      </c>
    </row>
    <row r="13" customFormat="false" ht="14.25" hidden="false" customHeight="false" outlineLevel="0" collapsed="false">
      <c r="A13" s="8" t="s">
        <v>19</v>
      </c>
    </row>
    <row r="14" customFormat="false" ht="14.25" hidden="false" customHeight="false" outlineLevel="0" collapsed="false">
      <c r="A14" s="19" t="s">
        <v>20</v>
      </c>
      <c r="B14" s="9" t="n">
        <v>1.9</v>
      </c>
      <c r="C14" s="9" t="n">
        <v>2.21</v>
      </c>
      <c r="D14" s="9" t="n">
        <v>2.56</v>
      </c>
      <c r="E14" s="9" t="n">
        <v>1.19</v>
      </c>
      <c r="F14" s="9" t="n">
        <v>2.55</v>
      </c>
      <c r="G14" s="9" t="n">
        <v>1.63</v>
      </c>
      <c r="H14" s="9" t="n">
        <v>3.64</v>
      </c>
      <c r="I14" s="9" t="n">
        <v>3.83</v>
      </c>
      <c r="K14" s="9" t="n">
        <v>3.05</v>
      </c>
    </row>
    <row r="15" customFormat="false" ht="14.25" hidden="false" customHeight="false" outlineLevel="0" collapsed="false">
      <c r="A15" s="19" t="s">
        <v>21</v>
      </c>
      <c r="B15" s="9" t="n">
        <v>1.85</v>
      </c>
      <c r="C15" s="9" t="n">
        <v>2.16</v>
      </c>
      <c r="D15" s="9" t="n">
        <v>2.51</v>
      </c>
      <c r="E15" s="9" t="n">
        <v>1.17</v>
      </c>
      <c r="F15" s="9" t="n">
        <v>2.49</v>
      </c>
      <c r="G15" s="9" t="n">
        <v>1.6</v>
      </c>
      <c r="H15" s="9" t="n">
        <v>3.56</v>
      </c>
      <c r="I15" s="9" t="n">
        <v>3.75</v>
      </c>
      <c r="K15" s="9" t="n">
        <v>2.97</v>
      </c>
    </row>
    <row r="16" customFormat="false" ht="14.25" hidden="false" customHeight="false" outlineLevel="0" collapsed="false">
      <c r="A16" s="8" t="s">
        <v>22</v>
      </c>
    </row>
    <row r="17" customFormat="false" ht="14.25" hidden="false" customHeight="false" outlineLevel="0" collapsed="false">
      <c r="A17" s="19" t="s">
        <v>20</v>
      </c>
      <c r="B17" s="24" t="n">
        <v>1723.5</v>
      </c>
      <c r="C17" s="24" t="n">
        <v>1697.9</v>
      </c>
      <c r="D17" s="24" t="n">
        <v>1657.8</v>
      </c>
      <c r="E17" s="24" t="n">
        <v>1623.8</v>
      </c>
      <c r="F17" s="24" t="n">
        <v>1579.7</v>
      </c>
      <c r="G17" s="24" t="n">
        <v>1558.8</v>
      </c>
      <c r="H17" s="24" t="n">
        <v>1573</v>
      </c>
      <c r="I17" s="24" t="n">
        <v>1578.8</v>
      </c>
      <c r="K17" s="24" t="n">
        <v>883</v>
      </c>
    </row>
    <row r="18" customFormat="false" ht="14.25" hidden="false" customHeight="false" outlineLevel="0" collapsed="false">
      <c r="A18" s="19" t="s">
        <v>21</v>
      </c>
      <c r="B18" s="24" t="n">
        <v>1768.8</v>
      </c>
      <c r="C18" s="24" t="n">
        <v>1742.5</v>
      </c>
      <c r="D18" s="24" t="n">
        <v>1692</v>
      </c>
      <c r="E18" s="24" t="n">
        <v>1659.1</v>
      </c>
      <c r="F18" s="24" t="n">
        <v>1618.4</v>
      </c>
      <c r="G18" s="24" t="n">
        <v>1591.6</v>
      </c>
      <c r="H18" s="24" t="n">
        <v>1609.4</v>
      </c>
      <c r="I18" s="24" t="n">
        <v>1610.8</v>
      </c>
      <c r="K18" s="24" t="n">
        <v>905</v>
      </c>
    </row>
    <row r="20" s="25" customFormat="true" ht="14.25" hidden="false" customHeight="false" outlineLevel="0" collapsed="false">
      <c r="A20" s="25" t="s">
        <v>23</v>
      </c>
      <c r="B20" s="26" t="n">
        <f aca="false">+ROUND(((B12/B18)-B15),2)</f>
        <v>0</v>
      </c>
      <c r="C20" s="26" t="n">
        <f aca="false">+ROUND(((C12/C18)-C15),2)</f>
        <v>-0</v>
      </c>
      <c r="D20" s="26" t="n">
        <f aca="false">+ROUND(((D12/D18)-D15),2)</f>
        <v>-0</v>
      </c>
      <c r="E20" s="26" t="n">
        <f aca="false">+ROUND(((E12/E18)-E15),2)</f>
        <v>-0</v>
      </c>
      <c r="F20" s="26" t="n">
        <f aca="false">+ROUND(((F12/F18)-F15),2)</f>
        <v>-0</v>
      </c>
      <c r="G20" s="26" t="n">
        <f aca="false">+ROUND(((G12/G18)-G15),2)</f>
        <v>-0</v>
      </c>
      <c r="H20" s="26" t="n">
        <f aca="false">+ROUND(((H12/H18)-H15),2)</f>
        <v>-0</v>
      </c>
      <c r="I20" s="26" t="n">
        <f aca="false">+ROUND(((I12/I18)-I15),2)</f>
        <v>0</v>
      </c>
    </row>
    <row r="22" customFormat="false" ht="14.25" hidden="false" customHeight="false" outlineLevel="0" collapsed="false">
      <c r="A22" s="27" t="s">
        <v>24</v>
      </c>
      <c r="B22" s="27"/>
      <c r="C22" s="27"/>
      <c r="D22" s="27"/>
      <c r="E22" s="27"/>
      <c r="F22" s="27"/>
      <c r="G22" s="27"/>
      <c r="H22" s="27"/>
      <c r="I22" s="27"/>
      <c r="K22" s="28" t="n">
        <v>2014</v>
      </c>
    </row>
    <row r="23" customFormat="false" ht="14.25" hidden="false" customHeight="false" outlineLevel="0" collapsed="false">
      <c r="A23" s="8" t="s">
        <v>25</v>
      </c>
      <c r="M23" s="9" t="s">
        <v>26</v>
      </c>
      <c r="N23" s="9" t="n">
        <f aca="false">K27+K28-K41</f>
        <v>5451</v>
      </c>
    </row>
    <row r="24" customFormat="false" ht="14.25" hidden="false" customHeight="false" outlineLevel="0" collapsed="false">
      <c r="A24" s="29" t="s">
        <v>27</v>
      </c>
      <c r="B24" s="12"/>
      <c r="C24" s="12"/>
      <c r="D24" s="12"/>
      <c r="E24" s="12"/>
      <c r="F24" s="12"/>
      <c r="G24" s="12"/>
      <c r="H24" s="12"/>
      <c r="I24" s="12"/>
      <c r="M24" s="9" t="s">
        <v>28</v>
      </c>
      <c r="N24" s="30" t="n">
        <f aca="false">ABS(K18/K93)</f>
        <v>1.13266583229036</v>
      </c>
    </row>
    <row r="25" customFormat="false" ht="14.25" hidden="false" customHeight="false" outlineLevel="0" collapsed="false">
      <c r="A25" s="16" t="s">
        <v>29</v>
      </c>
      <c r="B25" s="12" t="n">
        <v>3852</v>
      </c>
      <c r="C25" s="12" t="n">
        <v>3138</v>
      </c>
      <c r="D25" s="12" t="n">
        <v>3808</v>
      </c>
      <c r="E25" s="12" t="n">
        <v>4249</v>
      </c>
      <c r="F25" s="12" t="n">
        <v>4466</v>
      </c>
      <c r="G25" s="12" t="n">
        <v>8348</v>
      </c>
      <c r="H25" s="12" t="n">
        <v>9889</v>
      </c>
      <c r="I25" s="12" t="n">
        <v>8574</v>
      </c>
    </row>
    <row r="26" customFormat="false" ht="14.25" hidden="false" customHeight="false" outlineLevel="0" collapsed="false">
      <c r="A26" s="16" t="s">
        <v>30</v>
      </c>
      <c r="B26" s="12" t="n">
        <v>2072</v>
      </c>
      <c r="C26" s="12" t="n">
        <v>2319</v>
      </c>
      <c r="D26" s="12" t="n">
        <v>2371</v>
      </c>
      <c r="E26" s="12" t="n">
        <v>996</v>
      </c>
      <c r="F26" s="12" t="n">
        <v>197</v>
      </c>
      <c r="G26" s="12" t="n">
        <v>439</v>
      </c>
      <c r="H26" s="12" t="n">
        <v>3587</v>
      </c>
      <c r="I26" s="12" t="n">
        <v>4423</v>
      </c>
    </row>
    <row r="27" customFormat="false" ht="14.25" hidden="false" customHeight="false" outlineLevel="0" collapsed="false">
      <c r="A27" s="16" t="s">
        <v>31</v>
      </c>
      <c r="B27" s="12" t="n">
        <v>3358</v>
      </c>
      <c r="C27" s="12" t="n">
        <v>3241</v>
      </c>
      <c r="D27" s="12" t="n">
        <v>3677</v>
      </c>
      <c r="E27" s="12" t="n">
        <v>3498</v>
      </c>
      <c r="F27" s="12" t="n">
        <v>4272</v>
      </c>
      <c r="G27" s="1" t="n">
        <v>2749</v>
      </c>
      <c r="H27" s="12" t="n">
        <v>4463</v>
      </c>
      <c r="I27" s="12" t="n">
        <v>4667</v>
      </c>
      <c r="K27" s="9" t="n">
        <v>3434</v>
      </c>
    </row>
    <row r="28" customFormat="false" ht="14.25" hidden="false" customHeight="false" outlineLevel="0" collapsed="false">
      <c r="A28" s="16" t="s">
        <v>32</v>
      </c>
      <c r="B28" s="12" t="n">
        <v>4337</v>
      </c>
      <c r="C28" s="12" t="n">
        <v>4838</v>
      </c>
      <c r="D28" s="12" t="n">
        <v>5055</v>
      </c>
      <c r="E28" s="12" t="n">
        <v>5261</v>
      </c>
      <c r="F28" s="12" t="n">
        <v>5622</v>
      </c>
      <c r="G28" s="12" t="n">
        <v>7367</v>
      </c>
      <c r="H28" s="12" t="n">
        <v>6854</v>
      </c>
      <c r="I28" s="12" t="n">
        <v>8420</v>
      </c>
      <c r="K28" s="9" t="n">
        <v>3947</v>
      </c>
    </row>
    <row r="29" customFormat="false" ht="14.25" hidden="false" customHeight="false" outlineLevel="0" collapsed="false">
      <c r="A29" s="16" t="s">
        <v>33</v>
      </c>
      <c r="B29" s="12" t="n">
        <v>1968</v>
      </c>
      <c r="C29" s="12" t="n">
        <v>1489</v>
      </c>
      <c r="D29" s="12" t="n">
        <v>1150</v>
      </c>
      <c r="E29" s="12" t="n">
        <v>1130</v>
      </c>
      <c r="F29" s="12" t="n">
        <v>1968</v>
      </c>
      <c r="G29" s="12" t="n">
        <v>1653</v>
      </c>
      <c r="H29" s="12" t="n">
        <v>1498</v>
      </c>
      <c r="I29" s="12" t="n">
        <v>2129</v>
      </c>
    </row>
    <row r="30" customFormat="false" ht="14.25" hidden="false" customHeight="false" outlineLevel="0" collapsed="false">
      <c r="A30" s="20" t="s">
        <v>34</v>
      </c>
      <c r="B30" s="21" t="n">
        <f aca="false">+SUM(B25:B29)</f>
        <v>15587</v>
      </c>
      <c r="C30" s="21" t="n">
        <f aca="false">+SUM(C25:C29)</f>
        <v>15025</v>
      </c>
      <c r="D30" s="21" t="n">
        <f aca="false">+SUM(D25:D29)</f>
        <v>16061</v>
      </c>
      <c r="E30" s="21" t="n">
        <f aca="false">+SUM(E25:E29)</f>
        <v>15134</v>
      </c>
      <c r="F30" s="21" t="n">
        <f aca="false">+SUM(F25:F29)</f>
        <v>16525</v>
      </c>
      <c r="G30" s="21" t="n">
        <f aca="false">+SUM(G25:G29)</f>
        <v>20556</v>
      </c>
      <c r="H30" s="21" t="n">
        <f aca="false">+SUM(H25:H29)</f>
        <v>26291</v>
      </c>
      <c r="I30" s="21" t="n">
        <f aca="false">+SUM(I25:I29)</f>
        <v>28213</v>
      </c>
    </row>
    <row r="31" customFormat="false" ht="14.25" hidden="false" customHeight="false" outlineLevel="0" collapsed="false">
      <c r="A31" s="19" t="s">
        <v>35</v>
      </c>
      <c r="B31" s="12" t="n">
        <v>3011</v>
      </c>
      <c r="C31" s="12" t="n">
        <v>3520</v>
      </c>
      <c r="D31" s="12" t="n">
        <v>3989</v>
      </c>
      <c r="E31" s="12" t="n">
        <v>4454</v>
      </c>
      <c r="F31" s="12" t="n">
        <v>4744</v>
      </c>
      <c r="G31" s="12" t="n">
        <v>4866</v>
      </c>
      <c r="H31" s="12" t="n">
        <v>4904</v>
      </c>
      <c r="I31" s="12" t="n">
        <v>4791</v>
      </c>
    </row>
    <row r="32" customFormat="false" ht="14.25" hidden="false" customHeight="false" outlineLevel="0" collapsed="false">
      <c r="A32" s="19" t="s">
        <v>36</v>
      </c>
      <c r="B32" s="12"/>
      <c r="C32" s="12"/>
      <c r="D32" s="12"/>
      <c r="E32" s="12"/>
      <c r="F32" s="12"/>
      <c r="G32" s="12" t="n">
        <v>3097</v>
      </c>
      <c r="H32" s="12" t="n">
        <v>3113</v>
      </c>
      <c r="I32" s="12" t="n">
        <v>2926</v>
      </c>
    </row>
    <row r="33" customFormat="false" ht="14.25" hidden="false" customHeight="false" outlineLevel="0" collapsed="false">
      <c r="A33" s="19" t="s">
        <v>37</v>
      </c>
      <c r="B33" s="12" t="n">
        <v>281</v>
      </c>
      <c r="C33" s="12" t="n">
        <v>281</v>
      </c>
      <c r="D33" s="12" t="n">
        <v>283</v>
      </c>
      <c r="E33" s="12" t="n">
        <v>285</v>
      </c>
      <c r="F33" s="12" t="n">
        <v>283</v>
      </c>
      <c r="G33" s="12" t="n">
        <v>274</v>
      </c>
      <c r="H33" s="12" t="n">
        <v>269</v>
      </c>
      <c r="I33" s="12" t="n">
        <v>286</v>
      </c>
    </row>
    <row r="34" customFormat="false" ht="14.25" hidden="false" customHeight="false" outlineLevel="0" collapsed="false">
      <c r="A34" s="19" t="s">
        <v>38</v>
      </c>
      <c r="B34" s="12" t="n">
        <v>131</v>
      </c>
      <c r="C34" s="12" t="n">
        <v>131</v>
      </c>
      <c r="D34" s="12" t="n">
        <v>139</v>
      </c>
      <c r="E34" s="12" t="n">
        <v>154</v>
      </c>
      <c r="F34" s="12" t="n">
        <v>154</v>
      </c>
      <c r="G34" s="12" t="n">
        <v>223</v>
      </c>
      <c r="H34" s="12" t="n">
        <v>242</v>
      </c>
      <c r="I34" s="12" t="n">
        <v>284</v>
      </c>
    </row>
    <row r="35" customFormat="false" ht="13.8" hidden="false" customHeight="false" outlineLevel="0" collapsed="false">
      <c r="A35" s="19" t="s">
        <v>39</v>
      </c>
      <c r="B35" s="12" t="n">
        <v>2587</v>
      </c>
      <c r="C35" s="9" t="n">
        <v>2439</v>
      </c>
      <c r="D35" s="9" t="n">
        <v>2787</v>
      </c>
      <c r="E35" s="9" t="n">
        <v>2509</v>
      </c>
      <c r="F35" s="9" t="n">
        <v>2011</v>
      </c>
      <c r="G35" s="9" t="n">
        <v>2326</v>
      </c>
      <c r="H35" s="12" t="n">
        <v>2921</v>
      </c>
      <c r="I35" s="12" t="n">
        <v>3821</v>
      </c>
      <c r="K35" s="12" t="n">
        <v>1651</v>
      </c>
    </row>
    <row r="36" customFormat="false" ht="13.8" hidden="false" customHeight="false" outlineLevel="0" collapsed="false">
      <c r="A36" s="22" t="s">
        <v>40</v>
      </c>
      <c r="B36" s="23" t="n">
        <f aca="false">+SUM(B30:B35)</f>
        <v>21597</v>
      </c>
      <c r="C36" s="23" t="n">
        <f aca="false">+SUM(C30:C35)</f>
        <v>21396</v>
      </c>
      <c r="D36" s="23" t="n">
        <f aca="false">+SUM(D30:D35)</f>
        <v>23259</v>
      </c>
      <c r="E36" s="23" t="n">
        <f aca="false">+SUM(E30:E35)</f>
        <v>22536</v>
      </c>
      <c r="F36" s="23" t="n">
        <f aca="false">+SUM(F30:F35)</f>
        <v>23717</v>
      </c>
      <c r="G36" s="23" t="n">
        <f aca="false">+SUM(G30:G35)</f>
        <v>31342</v>
      </c>
      <c r="H36" s="23" t="n">
        <f aca="false">+SUM(H30:H35)</f>
        <v>37740</v>
      </c>
      <c r="I36" s="23" t="n">
        <f aca="false">+SUM(I30:I35)</f>
        <v>40321</v>
      </c>
      <c r="K36" s="12" t="n">
        <f aca="false">B36+'Segmental forecast'!B14-'Segmental forecast'!B8</f>
        <v>21954</v>
      </c>
    </row>
    <row r="37" customFormat="false" ht="14.25" hidden="false" customHeight="false" outlineLevel="0" collapsed="false">
      <c r="A37" s="8" t="s">
        <v>41</v>
      </c>
      <c r="B37" s="12"/>
      <c r="C37" s="12"/>
      <c r="D37" s="12"/>
      <c r="E37" s="12"/>
      <c r="F37" s="12"/>
      <c r="G37" s="12"/>
      <c r="H37" s="12"/>
      <c r="I37" s="12"/>
    </row>
    <row r="38" customFormat="false" ht="14.25" hidden="false" customHeight="false" outlineLevel="0" collapsed="false">
      <c r="A38" s="19" t="s">
        <v>42</v>
      </c>
      <c r="B38" s="12"/>
      <c r="C38" s="12"/>
      <c r="D38" s="12"/>
      <c r="E38" s="12"/>
      <c r="F38" s="12"/>
      <c r="G38" s="12"/>
      <c r="H38" s="12"/>
      <c r="I38" s="12"/>
    </row>
    <row r="39" customFormat="false" ht="14.25" hidden="false" customHeight="false" outlineLevel="0" collapsed="false">
      <c r="A39" s="16" t="s">
        <v>43</v>
      </c>
      <c r="B39" s="12" t="n">
        <v>107</v>
      </c>
      <c r="C39" s="12" t="n">
        <v>44</v>
      </c>
      <c r="D39" s="12" t="n">
        <v>6</v>
      </c>
      <c r="E39" s="12" t="n">
        <v>6</v>
      </c>
      <c r="F39" s="12" t="n">
        <v>6</v>
      </c>
      <c r="G39" s="12" t="n">
        <v>3</v>
      </c>
      <c r="H39" s="12" t="n">
        <v>0</v>
      </c>
      <c r="I39" s="12" t="n">
        <v>500</v>
      </c>
    </row>
    <row r="40" customFormat="false" ht="14.25" hidden="false" customHeight="false" outlineLevel="0" collapsed="false">
      <c r="A40" s="16" t="s">
        <v>44</v>
      </c>
      <c r="B40" s="12" t="n">
        <v>74</v>
      </c>
      <c r="C40" s="12" t="n">
        <v>1</v>
      </c>
      <c r="D40" s="12" t="n">
        <v>325</v>
      </c>
      <c r="E40" s="12" t="n">
        <v>336</v>
      </c>
      <c r="F40" s="12" t="n">
        <v>9</v>
      </c>
      <c r="G40" s="12" t="n">
        <v>248</v>
      </c>
      <c r="H40" s="12" t="n">
        <v>2</v>
      </c>
      <c r="I40" s="12" t="n">
        <v>10</v>
      </c>
    </row>
    <row r="41" customFormat="false" ht="13.8" hidden="false" customHeight="false" outlineLevel="0" collapsed="false">
      <c r="A41" s="16" t="s">
        <v>45</v>
      </c>
      <c r="B41" s="12" t="n">
        <v>2131</v>
      </c>
      <c r="C41" s="12" t="n">
        <v>2191</v>
      </c>
      <c r="D41" s="12" t="n">
        <v>2048</v>
      </c>
      <c r="E41" s="12" t="n">
        <v>2279</v>
      </c>
      <c r="F41" s="12" t="n">
        <v>2612</v>
      </c>
      <c r="G41" s="12" t="n">
        <v>2248</v>
      </c>
      <c r="H41" s="12" t="n">
        <v>2836</v>
      </c>
      <c r="I41" s="12" t="n">
        <v>3358</v>
      </c>
      <c r="K41" s="12" t="n">
        <v>1930</v>
      </c>
    </row>
    <row r="42" customFormat="false" ht="14.25" hidden="false" customHeight="false" outlineLevel="0" collapsed="false">
      <c r="A42" s="16" t="s">
        <v>46</v>
      </c>
      <c r="B42" s="12"/>
      <c r="D42" s="12"/>
      <c r="E42" s="12"/>
      <c r="F42" s="12"/>
      <c r="G42" s="12" t="n">
        <v>445</v>
      </c>
      <c r="H42" s="12" t="n">
        <v>467</v>
      </c>
      <c r="I42" s="12" t="n">
        <v>420</v>
      </c>
    </row>
    <row r="43" customFormat="false" ht="14.25" hidden="false" customHeight="false" outlineLevel="0" collapsed="false">
      <c r="A43" s="16" t="s">
        <v>47</v>
      </c>
      <c r="B43" s="12" t="n">
        <v>3949</v>
      </c>
      <c r="C43" s="12" t="n">
        <v>3037</v>
      </c>
      <c r="D43" s="12" t="n">
        <v>3011</v>
      </c>
      <c r="E43" s="12" t="n">
        <v>3269</v>
      </c>
      <c r="F43" s="12" t="n">
        <v>5010</v>
      </c>
      <c r="G43" s="12" t="n">
        <v>5184</v>
      </c>
      <c r="H43" s="12" t="n">
        <v>6063</v>
      </c>
      <c r="I43" s="12" t="n">
        <v>6220</v>
      </c>
    </row>
    <row r="44" customFormat="false" ht="14.25" hidden="false" customHeight="false" outlineLevel="0" collapsed="false">
      <c r="A44" s="16" t="s">
        <v>48</v>
      </c>
      <c r="B44" s="12" t="n">
        <v>71</v>
      </c>
      <c r="C44" s="12" t="n">
        <v>85</v>
      </c>
      <c r="D44" s="12" t="n">
        <v>84</v>
      </c>
      <c r="E44" s="12" t="n">
        <v>150</v>
      </c>
      <c r="F44" s="12" t="n">
        <v>229</v>
      </c>
      <c r="G44" s="12" t="n">
        <v>156</v>
      </c>
      <c r="H44" s="12" t="n">
        <v>306</v>
      </c>
      <c r="I44" s="12" t="n">
        <v>222</v>
      </c>
    </row>
    <row r="45" customFormat="false" ht="14.25" hidden="false" customHeight="false" outlineLevel="0" collapsed="false">
      <c r="A45" s="20" t="s">
        <v>49</v>
      </c>
      <c r="B45" s="21" t="n">
        <f aca="false">+SUM(B39:B44)</f>
        <v>6332</v>
      </c>
      <c r="C45" s="21" t="n">
        <f aca="false">+SUM(C39:C44)</f>
        <v>5358</v>
      </c>
      <c r="D45" s="21" t="n">
        <f aca="false">+SUM(D39:D44)</f>
        <v>5474</v>
      </c>
      <c r="E45" s="21" t="n">
        <f aca="false">+SUM(E39:E44)</f>
        <v>6040</v>
      </c>
      <c r="F45" s="21" t="n">
        <f aca="false">+SUM(F39:F44)</f>
        <v>7866</v>
      </c>
      <c r="G45" s="21" t="n">
        <f aca="false">+SUM(G39:G44)</f>
        <v>8284</v>
      </c>
      <c r="H45" s="21" t="n">
        <f aca="false">+SUM(H39:H44)</f>
        <v>9674</v>
      </c>
      <c r="I45" s="21" t="n">
        <f aca="false">+SUM(I39:I44)</f>
        <v>10730</v>
      </c>
    </row>
    <row r="46" customFormat="false" ht="14.25" hidden="false" customHeight="false" outlineLevel="0" collapsed="false">
      <c r="A46" s="19" t="s">
        <v>50</v>
      </c>
      <c r="B46" s="12" t="n">
        <v>1079</v>
      </c>
      <c r="C46" s="12" t="n">
        <v>2010</v>
      </c>
      <c r="D46" s="12" t="n">
        <v>3471</v>
      </c>
      <c r="E46" s="12" t="n">
        <v>3468</v>
      </c>
      <c r="F46" s="12" t="n">
        <v>3464</v>
      </c>
      <c r="G46" s="12" t="n">
        <v>9406</v>
      </c>
      <c r="H46" s="12" t="n">
        <v>9413</v>
      </c>
      <c r="I46" s="12" t="n">
        <v>8920</v>
      </c>
    </row>
    <row r="47" customFormat="false" ht="14.25" hidden="false" customHeight="false" outlineLevel="0" collapsed="false">
      <c r="A47" s="19" t="s">
        <v>51</v>
      </c>
      <c r="B47" s="12"/>
      <c r="C47" s="12"/>
      <c r="D47" s="12"/>
      <c r="F47" s="12"/>
      <c r="G47" s="12" t="n">
        <v>2913</v>
      </c>
      <c r="H47" s="12" t="n">
        <v>2931</v>
      </c>
      <c r="I47" s="12" t="n">
        <v>2777</v>
      </c>
    </row>
    <row r="48" customFormat="false" ht="14.25" hidden="false" customHeight="false" outlineLevel="0" collapsed="false">
      <c r="A48" s="19" t="s">
        <v>52</v>
      </c>
      <c r="B48" s="12" t="n">
        <v>1479</v>
      </c>
      <c r="C48" s="12" t="n">
        <v>1770</v>
      </c>
      <c r="D48" s="12" t="n">
        <v>1907</v>
      </c>
      <c r="E48" s="12" t="n">
        <v>3216</v>
      </c>
      <c r="F48" s="12" t="n">
        <v>3347</v>
      </c>
      <c r="G48" s="12" t="n">
        <v>2684</v>
      </c>
      <c r="H48" s="12" t="n">
        <v>2955</v>
      </c>
      <c r="I48" s="12" t="n">
        <v>2613</v>
      </c>
    </row>
    <row r="49" customFormat="false" ht="14.25" hidden="false" customHeight="false" outlineLevel="0" collapsed="false">
      <c r="A49" s="19" t="s">
        <v>53</v>
      </c>
      <c r="B49" s="12"/>
      <c r="C49" s="12"/>
      <c r="D49" s="12"/>
      <c r="E49" s="12"/>
      <c r="F49" s="12"/>
      <c r="G49" s="12"/>
      <c r="H49" s="12"/>
      <c r="I49" s="12"/>
    </row>
    <row r="50" customFormat="false" ht="14.25" hidden="false" customHeight="false" outlineLevel="0" collapsed="false">
      <c r="A50" s="16" t="s">
        <v>54</v>
      </c>
      <c r="B50" s="12"/>
      <c r="C50" s="12"/>
      <c r="D50" s="12"/>
      <c r="E50" s="12"/>
      <c r="F50" s="12"/>
      <c r="G50" s="12"/>
      <c r="H50" s="12" t="n">
        <v>0</v>
      </c>
      <c r="I50" s="12" t="n">
        <v>0</v>
      </c>
    </row>
    <row r="51" customFormat="false" ht="14.25" hidden="false" customHeight="false" outlineLevel="0" collapsed="false">
      <c r="A51" s="19" t="s">
        <v>55</v>
      </c>
      <c r="B51" s="12"/>
      <c r="C51" s="12"/>
      <c r="D51" s="12"/>
      <c r="E51" s="12"/>
      <c r="F51" s="12"/>
      <c r="G51" s="12"/>
      <c r="H51" s="12"/>
      <c r="I51" s="12"/>
    </row>
    <row r="52" customFormat="false" ht="14.25" hidden="false" customHeight="false" outlineLevel="0" collapsed="false">
      <c r="A52" s="16" t="s">
        <v>56</v>
      </c>
      <c r="B52" s="12"/>
      <c r="C52" s="12"/>
      <c r="D52" s="12"/>
      <c r="E52" s="12"/>
      <c r="F52" s="12"/>
      <c r="G52" s="12"/>
      <c r="H52" s="12"/>
      <c r="I52" s="12"/>
    </row>
    <row r="53" customFormat="false" ht="14.25" hidden="false" customHeight="false" outlineLevel="0" collapsed="false">
      <c r="A53" s="31" t="s">
        <v>57</v>
      </c>
      <c r="B53" s="12"/>
      <c r="C53" s="12"/>
      <c r="D53" s="12"/>
      <c r="E53" s="12"/>
      <c r="F53" s="12"/>
      <c r="G53" s="12"/>
      <c r="H53" s="12"/>
      <c r="I53" s="12"/>
    </row>
    <row r="54" customFormat="false" ht="14.25" hidden="false" customHeight="false" outlineLevel="0" collapsed="false">
      <c r="A54" s="31" t="s">
        <v>58</v>
      </c>
      <c r="B54" s="12" t="n">
        <v>3</v>
      </c>
      <c r="C54" s="12" t="n">
        <v>3</v>
      </c>
      <c r="D54" s="12" t="n">
        <v>3</v>
      </c>
      <c r="E54" s="12" t="n">
        <v>3</v>
      </c>
      <c r="F54" s="12" t="n">
        <v>3</v>
      </c>
      <c r="G54" s="12" t="n">
        <v>3</v>
      </c>
      <c r="H54" s="12" t="n">
        <v>3</v>
      </c>
      <c r="I54" s="12" t="n">
        <v>3</v>
      </c>
    </row>
    <row r="55" customFormat="false" ht="14.25" hidden="false" customHeight="false" outlineLevel="0" collapsed="false">
      <c r="A55" s="31" t="s">
        <v>59</v>
      </c>
      <c r="B55" s="12" t="n">
        <v>6773</v>
      </c>
      <c r="C55" s="12" t="n">
        <v>7786</v>
      </c>
      <c r="D55" s="12" t="n">
        <v>5710</v>
      </c>
      <c r="E55" s="12" t="n">
        <v>6384</v>
      </c>
      <c r="F55" s="12" t="n">
        <v>7163</v>
      </c>
      <c r="G55" s="12" t="n">
        <v>8299</v>
      </c>
      <c r="H55" s="12" t="n">
        <v>9965</v>
      </c>
      <c r="I55" s="12" t="n">
        <v>11484</v>
      </c>
    </row>
    <row r="56" customFormat="false" ht="14.25" hidden="false" customHeight="false" outlineLevel="0" collapsed="false">
      <c r="A56" s="31" t="s">
        <v>60</v>
      </c>
      <c r="B56" s="12" t="n">
        <v>1246</v>
      </c>
      <c r="C56" s="12" t="n">
        <v>318</v>
      </c>
      <c r="D56" s="12" t="n">
        <v>-213</v>
      </c>
      <c r="E56" s="12" t="n">
        <v>-92</v>
      </c>
      <c r="F56" s="12" t="n">
        <v>231</v>
      </c>
      <c r="G56" s="12" t="n">
        <v>-56</v>
      </c>
      <c r="H56" s="12" t="n">
        <v>-380</v>
      </c>
      <c r="I56" s="12" t="n">
        <v>318</v>
      </c>
    </row>
    <row r="57" customFormat="false" ht="14.25" hidden="false" customHeight="false" outlineLevel="0" collapsed="false">
      <c r="A57" s="31" t="s">
        <v>61</v>
      </c>
      <c r="B57" s="12" t="n">
        <v>4685</v>
      </c>
      <c r="C57" s="12" t="n">
        <v>4151</v>
      </c>
      <c r="D57" s="12" t="n">
        <v>6907</v>
      </c>
      <c r="E57" s="12" t="n">
        <v>3517</v>
      </c>
      <c r="F57" s="12" t="n">
        <v>1643</v>
      </c>
      <c r="G57" s="12" t="n">
        <v>-191</v>
      </c>
      <c r="H57" s="12" t="n">
        <v>3179</v>
      </c>
      <c r="I57" s="12" t="n">
        <v>3476</v>
      </c>
    </row>
    <row r="58" customFormat="false" ht="14.25" hidden="false" customHeight="false" outlineLevel="0" collapsed="false">
      <c r="A58" s="20" t="s">
        <v>62</v>
      </c>
      <c r="B58" s="21" t="n">
        <f aca="false">+SUM(B53:B57)</f>
        <v>12707</v>
      </c>
      <c r="C58" s="21" t="n">
        <f aca="false">+SUM(C53:C57)</f>
        <v>12258</v>
      </c>
      <c r="D58" s="21" t="n">
        <f aca="false">+SUM(D53:D57)</f>
        <v>12407</v>
      </c>
      <c r="E58" s="21" t="n">
        <f aca="false">+SUM(E53:E57)</f>
        <v>9812</v>
      </c>
      <c r="F58" s="21" t="n">
        <f aca="false">+SUM(F53:F57)</f>
        <v>9040</v>
      </c>
      <c r="G58" s="21" t="n">
        <f aca="false">+SUM(G53:G57)</f>
        <v>8055</v>
      </c>
      <c r="H58" s="21" t="n">
        <f aca="false">+SUM(H53:H57)</f>
        <v>12767</v>
      </c>
      <c r="I58" s="21" t="n">
        <f aca="false">+SUM(I53:I57)</f>
        <v>15281</v>
      </c>
    </row>
    <row r="59" customFormat="false" ht="14.25" hidden="false" customHeight="false" outlineLevel="0" collapsed="false">
      <c r="A59" s="22" t="s">
        <v>63</v>
      </c>
      <c r="B59" s="23" t="n">
        <f aca="false">+SUM(B45:B50)+B58</f>
        <v>21597</v>
      </c>
      <c r="C59" s="23" t="n">
        <f aca="false">+SUM(C45:C50)+C58</f>
        <v>21396</v>
      </c>
      <c r="D59" s="23" t="n">
        <f aca="false">+SUM(D45:D50)+D58</f>
        <v>23259</v>
      </c>
      <c r="E59" s="23" t="n">
        <f aca="false">+SUM(E45:E50)+E58</f>
        <v>22536</v>
      </c>
      <c r="F59" s="23" t="n">
        <f aca="false">+SUM(F45:F50)+F58</f>
        <v>23717</v>
      </c>
      <c r="G59" s="23" t="n">
        <f aca="false">+SUM(G45:G50)+G58</f>
        <v>31342</v>
      </c>
      <c r="H59" s="23" t="n">
        <f aca="false">+SUM(H45:H50)+H58</f>
        <v>37740</v>
      </c>
      <c r="I59" s="23" t="n">
        <f aca="false">+SUM(I45:I50)+I58</f>
        <v>40321</v>
      </c>
    </row>
    <row r="60" s="25" customFormat="true" ht="14.25" hidden="false" customHeight="false" outlineLevel="0" collapsed="false">
      <c r="A60" s="25" t="s">
        <v>64</v>
      </c>
      <c r="B60" s="26" t="n">
        <f aca="false">+B59-B36</f>
        <v>0</v>
      </c>
      <c r="C60" s="26" t="n">
        <f aca="false">+C59-C36</f>
        <v>0</v>
      </c>
      <c r="D60" s="26" t="n">
        <f aca="false">+D59-D36</f>
        <v>0</v>
      </c>
      <c r="E60" s="26" t="n">
        <f aca="false">+E59-E36</f>
        <v>0</v>
      </c>
      <c r="F60" s="26" t="n">
        <f aca="false">+F59-F36</f>
        <v>0</v>
      </c>
      <c r="G60" s="26" t="n">
        <f aca="false">+G59-G36</f>
        <v>0</v>
      </c>
      <c r="H60" s="26" t="n">
        <f aca="false">+H59-H36</f>
        <v>0</v>
      </c>
      <c r="I60" s="26" t="n">
        <f aca="false">+I59-I36</f>
        <v>0</v>
      </c>
    </row>
    <row r="61" customFormat="false" ht="14.25" hidden="false" customHeight="false" outlineLevel="0" collapsed="false">
      <c r="A61" s="27" t="s">
        <v>65</v>
      </c>
      <c r="B61" s="27"/>
      <c r="C61" s="27"/>
      <c r="D61" s="27"/>
      <c r="E61" s="27"/>
      <c r="F61" s="27"/>
      <c r="G61" s="27"/>
      <c r="H61" s="27"/>
      <c r="I61" s="27"/>
    </row>
    <row r="62" customFormat="false" ht="14.25" hidden="false" customHeight="false" outlineLevel="0" collapsed="false">
      <c r="A62" s="9" t="s">
        <v>66</v>
      </c>
    </row>
    <row r="63" customFormat="false" ht="14.25" hidden="false" customHeight="false" outlineLevel="0" collapsed="false">
      <c r="A63" s="8" t="s">
        <v>67</v>
      </c>
    </row>
    <row r="64" s="8" customFormat="true" ht="14.25" hidden="false" customHeight="false" outlineLevel="0" collapsed="false">
      <c r="A64" s="29" t="s">
        <v>68</v>
      </c>
      <c r="B64" s="15" t="n">
        <v>3273</v>
      </c>
      <c r="C64" s="15" t="n">
        <v>3760</v>
      </c>
      <c r="D64" s="15" t="n">
        <v>4240</v>
      </c>
      <c r="E64" s="15" t="n">
        <v>1933</v>
      </c>
      <c r="F64" s="15" t="n">
        <v>4029</v>
      </c>
      <c r="G64" s="15" t="n">
        <v>2539</v>
      </c>
      <c r="H64" s="15" t="n">
        <f aca="false">+H12</f>
        <v>5727</v>
      </c>
      <c r="I64" s="15" t="n">
        <f aca="false">+I12</f>
        <v>6046</v>
      </c>
    </row>
    <row r="65" s="8" customFormat="true" ht="14.25" hidden="false" customHeight="false" outlineLevel="0" collapsed="false">
      <c r="A65" s="19" t="s">
        <v>69</v>
      </c>
      <c r="B65" s="12"/>
      <c r="C65" s="12"/>
      <c r="D65" s="12"/>
      <c r="E65" s="12"/>
      <c r="F65" s="12"/>
      <c r="G65" s="12"/>
      <c r="H65" s="12"/>
      <c r="I65" s="12"/>
    </row>
    <row r="66" customFormat="false" ht="14.25" hidden="false" customHeight="false" outlineLevel="0" collapsed="false">
      <c r="A66" s="16" t="s">
        <v>70</v>
      </c>
      <c r="B66" s="12" t="n">
        <v>606</v>
      </c>
      <c r="C66" s="12" t="n">
        <v>649</v>
      </c>
      <c r="D66" s="12" t="n">
        <v>706</v>
      </c>
      <c r="E66" s="12" t="n">
        <v>747</v>
      </c>
      <c r="F66" s="12" t="n">
        <v>705</v>
      </c>
      <c r="G66" s="12" t="n">
        <v>721</v>
      </c>
      <c r="H66" s="12" t="n">
        <v>744</v>
      </c>
      <c r="I66" s="12" t="n">
        <v>717</v>
      </c>
    </row>
    <row r="67" customFormat="false" ht="14.25" hidden="false" customHeight="false" outlineLevel="0" collapsed="false">
      <c r="A67" s="16" t="s">
        <v>71</v>
      </c>
      <c r="B67" s="12" t="n">
        <v>-113</v>
      </c>
      <c r="C67" s="12" t="n">
        <v>-80</v>
      </c>
      <c r="D67" s="12" t="n">
        <v>-273</v>
      </c>
      <c r="E67" s="12" t="n">
        <v>647</v>
      </c>
      <c r="F67" s="12" t="n">
        <v>34</v>
      </c>
      <c r="G67" s="12" t="n">
        <v>-380</v>
      </c>
      <c r="H67" s="12" t="n">
        <v>-385</v>
      </c>
      <c r="I67" s="12" t="n">
        <v>-650</v>
      </c>
    </row>
    <row r="68" customFormat="false" ht="14.25" hidden="false" customHeight="false" outlineLevel="0" collapsed="false">
      <c r="A68" s="16" t="s">
        <v>72</v>
      </c>
      <c r="B68" s="12" t="n">
        <v>119</v>
      </c>
      <c r="C68" s="12" t="n">
        <v>236</v>
      </c>
      <c r="D68" s="12" t="n">
        <v>215</v>
      </c>
      <c r="E68" s="12" t="n">
        <v>218</v>
      </c>
      <c r="F68" s="12" t="n">
        <v>325</v>
      </c>
      <c r="G68" s="12" t="n">
        <v>429</v>
      </c>
      <c r="H68" s="12" t="n">
        <v>611</v>
      </c>
      <c r="I68" s="12" t="n">
        <v>638</v>
      </c>
    </row>
    <row r="69" customFormat="false" ht="14.25" hidden="false" customHeight="false" outlineLevel="0" collapsed="false">
      <c r="A69" s="16" t="s">
        <v>73</v>
      </c>
      <c r="B69" s="12" t="n">
        <v>43</v>
      </c>
      <c r="C69" s="12" t="n">
        <v>13</v>
      </c>
      <c r="D69" s="12" t="n">
        <v>10</v>
      </c>
      <c r="E69" s="12" t="n">
        <v>27</v>
      </c>
      <c r="F69" s="12" t="n">
        <v>15</v>
      </c>
      <c r="G69" s="12" t="n">
        <v>398</v>
      </c>
      <c r="H69" s="12" t="n">
        <v>53</v>
      </c>
      <c r="I69" s="12" t="n">
        <v>123</v>
      </c>
    </row>
    <row r="70" customFormat="false" ht="14.25" hidden="false" customHeight="false" outlineLevel="0" collapsed="false">
      <c r="A70" s="16" t="s">
        <v>74</v>
      </c>
      <c r="B70" s="12" t="n">
        <v>424</v>
      </c>
      <c r="C70" s="12" t="n">
        <v>98</v>
      </c>
      <c r="D70" s="12" t="n">
        <v>-117</v>
      </c>
      <c r="E70" s="12" t="n">
        <v>-99</v>
      </c>
      <c r="F70" s="12" t="n">
        <v>233</v>
      </c>
      <c r="G70" s="12" t="n">
        <v>23</v>
      </c>
      <c r="H70" s="12" t="n">
        <v>-138</v>
      </c>
      <c r="I70" s="12" t="n">
        <v>-26</v>
      </c>
    </row>
    <row r="71" customFormat="false" ht="14.25" hidden="false" customHeight="false" outlineLevel="0" collapsed="false">
      <c r="A71" s="19" t="s">
        <v>75</v>
      </c>
      <c r="B71" s="12"/>
      <c r="C71" s="12"/>
      <c r="D71" s="12"/>
      <c r="E71" s="12"/>
      <c r="F71" s="12"/>
      <c r="G71" s="12"/>
      <c r="H71" s="12"/>
      <c r="I71" s="12"/>
    </row>
    <row r="72" customFormat="false" ht="14.25" hidden="false" customHeight="false" outlineLevel="0" collapsed="false">
      <c r="A72" s="16" t="s">
        <v>76</v>
      </c>
      <c r="B72" s="12" t="n">
        <v>-216</v>
      </c>
      <c r="C72" s="12" t="n">
        <v>60</v>
      </c>
      <c r="D72" s="12" t="n">
        <v>-426</v>
      </c>
      <c r="E72" s="12" t="n">
        <v>187</v>
      </c>
      <c r="F72" s="12" t="n">
        <v>-270</v>
      </c>
      <c r="G72" s="12" t="n">
        <v>1239</v>
      </c>
      <c r="H72" s="12" t="n">
        <v>-1606</v>
      </c>
      <c r="I72" s="12" t="n">
        <v>-504</v>
      </c>
    </row>
    <row r="73" customFormat="false" ht="14.25" hidden="false" customHeight="false" outlineLevel="0" collapsed="false">
      <c r="A73" s="16" t="s">
        <v>77</v>
      </c>
      <c r="B73" s="12" t="n">
        <v>-621</v>
      </c>
      <c r="C73" s="12" t="n">
        <v>-590</v>
      </c>
      <c r="D73" s="12" t="n">
        <v>-231</v>
      </c>
      <c r="E73" s="12" t="n">
        <v>-255</v>
      </c>
      <c r="F73" s="12" t="n">
        <v>-490</v>
      </c>
      <c r="G73" s="12" t="n">
        <v>-1854</v>
      </c>
      <c r="H73" s="12" t="n">
        <v>507</v>
      </c>
      <c r="I73" s="12" t="n">
        <v>-1676</v>
      </c>
    </row>
    <row r="74" customFormat="false" ht="14.25" hidden="false" customHeight="false" outlineLevel="0" collapsed="false">
      <c r="A74" s="16" t="s">
        <v>78</v>
      </c>
      <c r="B74" s="12" t="n">
        <v>-144</v>
      </c>
      <c r="C74" s="12" t="n">
        <v>-161</v>
      </c>
      <c r="D74" s="12" t="n">
        <v>-120</v>
      </c>
      <c r="E74" s="12" t="n">
        <v>35</v>
      </c>
      <c r="F74" s="12" t="n">
        <v>-203</v>
      </c>
      <c r="G74" s="12" t="n">
        <v>-654</v>
      </c>
      <c r="H74" s="12" t="n">
        <v>-182</v>
      </c>
      <c r="I74" s="12" t="n">
        <v>-845</v>
      </c>
    </row>
    <row r="75" customFormat="false" ht="14.25" hidden="false" customHeight="false" outlineLevel="0" collapsed="false">
      <c r="A75" s="16" t="s">
        <v>79</v>
      </c>
      <c r="B75" s="12" t="n">
        <v>1237</v>
      </c>
      <c r="C75" s="12" t="n">
        <v>-586</v>
      </c>
      <c r="D75" s="12" t="n">
        <v>-158</v>
      </c>
      <c r="E75" s="12" t="n">
        <v>1515</v>
      </c>
      <c r="F75" s="12" t="n">
        <v>1525</v>
      </c>
      <c r="G75" s="12" t="n">
        <v>24</v>
      </c>
      <c r="H75" s="12" t="n">
        <v>1326</v>
      </c>
      <c r="I75" s="12" t="n">
        <v>1365</v>
      </c>
    </row>
    <row r="76" customFormat="false" ht="14.25" hidden="false" customHeight="false" outlineLevel="0" collapsed="false">
      <c r="A76" s="32" t="s">
        <v>80</v>
      </c>
      <c r="B76" s="33" t="n">
        <f aca="false">+SUM(B64:B75)</f>
        <v>4608</v>
      </c>
      <c r="C76" s="33" t="n">
        <f aca="false">+SUM(C64:C75)</f>
        <v>3399</v>
      </c>
      <c r="D76" s="33" t="n">
        <f aca="false">+SUM(D64:D75)</f>
        <v>3846</v>
      </c>
      <c r="E76" s="33" t="n">
        <f aca="false">+SUM(E64:E75)</f>
        <v>4955</v>
      </c>
      <c r="F76" s="33" t="n">
        <f aca="false">+SUM(F64:F75)</f>
        <v>5903</v>
      </c>
      <c r="G76" s="33" t="n">
        <f aca="false">+SUM(G64:G75)</f>
        <v>2485</v>
      </c>
      <c r="H76" s="33" t="n">
        <f aca="false">+SUM(H64:H75)</f>
        <v>6657</v>
      </c>
      <c r="I76" s="33" t="n">
        <f aca="false">+SUM(I64:I75)</f>
        <v>5188</v>
      </c>
    </row>
    <row r="77" customFormat="false" ht="14.25" hidden="false" customHeight="false" outlineLevel="0" collapsed="false">
      <c r="A77" s="8" t="s">
        <v>81</v>
      </c>
      <c r="B77" s="12"/>
      <c r="C77" s="12"/>
      <c r="D77" s="12"/>
      <c r="E77" s="12"/>
      <c r="F77" s="12"/>
      <c r="G77" s="12"/>
      <c r="H77" s="12"/>
      <c r="I77" s="12"/>
    </row>
    <row r="78" customFormat="false" ht="14.25" hidden="false" customHeight="false" outlineLevel="0" collapsed="false">
      <c r="A78" s="19" t="s">
        <v>82</v>
      </c>
      <c r="B78" s="12" t="n">
        <v>-4936</v>
      </c>
      <c r="C78" s="12" t="n">
        <v>-5367</v>
      </c>
      <c r="D78" s="12" t="n">
        <v>-5928</v>
      </c>
      <c r="E78" s="12" t="n">
        <v>-4783</v>
      </c>
      <c r="F78" s="12" t="n">
        <v>-2937</v>
      </c>
      <c r="G78" s="12" t="n">
        <v>-2426</v>
      </c>
      <c r="H78" s="12" t="n">
        <v>-9961</v>
      </c>
      <c r="I78" s="12" t="n">
        <v>-12913</v>
      </c>
    </row>
    <row r="79" customFormat="false" ht="14.25" hidden="false" customHeight="false" outlineLevel="0" collapsed="false">
      <c r="A79" s="19" t="s">
        <v>83</v>
      </c>
      <c r="B79" s="12" t="n">
        <v>3655</v>
      </c>
      <c r="C79" s="12" t="n">
        <v>2924</v>
      </c>
      <c r="D79" s="12" t="n">
        <v>3623</v>
      </c>
      <c r="E79" s="12" t="n">
        <v>3613</v>
      </c>
      <c r="F79" s="12" t="n">
        <v>1715</v>
      </c>
      <c r="G79" s="12" t="n">
        <v>74</v>
      </c>
      <c r="H79" s="12" t="n">
        <v>4236</v>
      </c>
      <c r="I79" s="12" t="n">
        <v>8199</v>
      </c>
    </row>
    <row r="80" customFormat="false" ht="14.25" hidden="false" customHeight="false" outlineLevel="0" collapsed="false">
      <c r="A80" s="19" t="s">
        <v>84</v>
      </c>
      <c r="B80" s="12" t="n">
        <v>2216</v>
      </c>
      <c r="C80" s="12" t="n">
        <v>2386</v>
      </c>
      <c r="D80" s="12" t="n">
        <v>2423</v>
      </c>
      <c r="E80" s="12" t="n">
        <v>2496</v>
      </c>
      <c r="F80" s="12" t="n">
        <v>2072</v>
      </c>
      <c r="G80" s="12" t="n">
        <v>2379</v>
      </c>
      <c r="H80" s="12" t="n">
        <v>2449</v>
      </c>
      <c r="I80" s="12" t="n">
        <v>3967</v>
      </c>
    </row>
    <row r="81" customFormat="false" ht="14.25" hidden="false" customHeight="false" outlineLevel="0" collapsed="false">
      <c r="A81" s="1" t="s">
        <v>85</v>
      </c>
      <c r="B81" s="12" t="n">
        <v>-150</v>
      </c>
      <c r="C81" s="12" t="n">
        <v>150</v>
      </c>
      <c r="D81" s="12"/>
      <c r="E81" s="12"/>
      <c r="F81" s="12"/>
      <c r="G81" s="12"/>
      <c r="H81" s="12"/>
      <c r="I81" s="12"/>
    </row>
    <row r="82" customFormat="false" ht="14.25" hidden="false" customHeight="false" outlineLevel="0" collapsed="false">
      <c r="A82" s="19" t="s">
        <v>86</v>
      </c>
      <c r="B82" s="12" t="n">
        <v>-963</v>
      </c>
      <c r="C82" s="12" t="n">
        <v>-1143</v>
      </c>
      <c r="D82" s="12" t="n">
        <v>-1105</v>
      </c>
      <c r="E82" s="12" t="n">
        <v>-1028</v>
      </c>
      <c r="F82" s="12" t="n">
        <v>-1119</v>
      </c>
      <c r="G82" s="12" t="n">
        <v>-1086</v>
      </c>
      <c r="H82" s="12" t="n">
        <v>-695</v>
      </c>
      <c r="I82" s="12" t="n">
        <v>-758</v>
      </c>
    </row>
    <row r="83" customFormat="false" ht="14.25" hidden="false" customHeight="false" outlineLevel="0" collapsed="false">
      <c r="A83" s="1" t="s">
        <v>87</v>
      </c>
      <c r="B83" s="12" t="n">
        <v>3</v>
      </c>
      <c r="C83" s="12" t="n">
        <v>10</v>
      </c>
      <c r="D83" s="12" t="n">
        <v>13</v>
      </c>
      <c r="E83" s="12" t="n">
        <v>3</v>
      </c>
      <c r="F83" s="12"/>
      <c r="G83" s="12"/>
      <c r="H83" s="12"/>
      <c r="I83" s="12"/>
    </row>
    <row r="84" customFormat="false" ht="14.25" hidden="false" customHeight="false" outlineLevel="0" collapsed="false">
      <c r="A84" s="19" t="s">
        <v>88</v>
      </c>
      <c r="B84" s="12" t="n">
        <v>72</v>
      </c>
      <c r="C84" s="12" t="n">
        <v>6</v>
      </c>
      <c r="D84" s="12" t="n">
        <v>-34</v>
      </c>
      <c r="E84" s="12" t="n">
        <v>-25</v>
      </c>
      <c r="F84" s="12" t="n">
        <v>5</v>
      </c>
      <c r="G84" s="12" t="n">
        <v>31</v>
      </c>
      <c r="H84" s="12" t="n">
        <v>171</v>
      </c>
      <c r="I84" s="12" t="n">
        <v>-19</v>
      </c>
    </row>
    <row r="85" customFormat="false" ht="14.25" hidden="false" customHeight="false" outlineLevel="0" collapsed="false">
      <c r="A85" s="34" t="s">
        <v>89</v>
      </c>
      <c r="B85" s="33" t="n">
        <f aca="false">+SUM(B78:B84)</f>
        <v>-103</v>
      </c>
      <c r="C85" s="33" t="n">
        <f aca="false">+SUM(C78:C84)</f>
        <v>-1034</v>
      </c>
      <c r="D85" s="33" t="n">
        <f aca="false">+SUM(D78:D84)</f>
        <v>-1008</v>
      </c>
      <c r="E85" s="33" t="n">
        <f aca="false">+SUM(E78:E84)</f>
        <v>276</v>
      </c>
      <c r="F85" s="33" t="n">
        <f aca="false">+SUM(F78:F84)</f>
        <v>-264</v>
      </c>
      <c r="G85" s="33" t="n">
        <f aca="false">+SUM(G78:G84)</f>
        <v>-1028</v>
      </c>
      <c r="H85" s="33" t="n">
        <f aca="false">+SUM(H78:H84)</f>
        <v>-3800</v>
      </c>
      <c r="I85" s="33" t="n">
        <f aca="false">+SUM(I78:I84)</f>
        <v>-1524</v>
      </c>
    </row>
    <row r="86" customFormat="false" ht="14.25" hidden="false" customHeight="false" outlineLevel="0" collapsed="false">
      <c r="A86" s="8" t="s">
        <v>90</v>
      </c>
      <c r="B86" s="12"/>
      <c r="C86" s="12"/>
      <c r="D86" s="12"/>
      <c r="E86" s="12"/>
      <c r="F86" s="12"/>
      <c r="G86" s="12"/>
      <c r="H86" s="12"/>
      <c r="I86" s="12"/>
    </row>
    <row r="87" customFormat="false" ht="14.25" hidden="false" customHeight="false" outlineLevel="0" collapsed="false">
      <c r="A87" s="19" t="s">
        <v>91</v>
      </c>
      <c r="C87" s="12" t="n">
        <v>981</v>
      </c>
      <c r="D87" s="12" t="n">
        <v>1482</v>
      </c>
      <c r="E87" s="12"/>
      <c r="F87" s="12"/>
      <c r="G87" s="12" t="n">
        <v>6134</v>
      </c>
      <c r="H87" s="12" t="n">
        <v>0</v>
      </c>
      <c r="I87" s="12" t="n">
        <v>0</v>
      </c>
      <c r="K87" s="9" t="s">
        <v>92</v>
      </c>
    </row>
    <row r="88" customFormat="false" ht="14.25" hidden="false" customHeight="false" outlineLevel="0" collapsed="false">
      <c r="A88" s="1" t="s">
        <v>93</v>
      </c>
      <c r="B88" s="12" t="n">
        <v>-7</v>
      </c>
      <c r="C88" s="12" t="n">
        <v>-106</v>
      </c>
      <c r="D88" s="12" t="n">
        <v>-44</v>
      </c>
      <c r="E88" s="12" t="n">
        <v>-6</v>
      </c>
      <c r="F88" s="12"/>
      <c r="G88" s="12"/>
      <c r="H88" s="12"/>
      <c r="I88" s="12"/>
    </row>
    <row r="89" customFormat="false" ht="14.25" hidden="false" customHeight="false" outlineLevel="0" collapsed="false">
      <c r="A89" s="19" t="s">
        <v>94</v>
      </c>
      <c r="B89" s="12" t="n">
        <v>-63</v>
      </c>
      <c r="C89" s="12" t="n">
        <v>-67</v>
      </c>
      <c r="D89" s="12" t="n">
        <v>327</v>
      </c>
      <c r="E89" s="12" t="n">
        <v>13</v>
      </c>
      <c r="F89" s="12" t="n">
        <v>-325</v>
      </c>
      <c r="G89" s="12" t="n">
        <v>49</v>
      </c>
      <c r="H89" s="12" t="n">
        <v>-52</v>
      </c>
      <c r="I89" s="12" t="n">
        <v>15</v>
      </c>
    </row>
    <row r="90" customFormat="false" ht="14.25" hidden="false" customHeight="false" outlineLevel="0" collapsed="false">
      <c r="A90" s="19" t="s">
        <v>95</v>
      </c>
      <c r="B90" s="12" t="n">
        <v>-19</v>
      </c>
      <c r="C90" s="12" t="n">
        <v>-7</v>
      </c>
      <c r="D90" s="12" t="n">
        <v>-17</v>
      </c>
      <c r="E90" s="12" t="n">
        <v>-23</v>
      </c>
      <c r="F90" s="12"/>
      <c r="H90" s="12" t="n">
        <v>-197</v>
      </c>
      <c r="I90" s="12" t="n">
        <v>0</v>
      </c>
    </row>
    <row r="91" customFormat="false" ht="14.25" hidden="false" customHeight="false" outlineLevel="0" collapsed="false">
      <c r="A91" s="19" t="s">
        <v>96</v>
      </c>
      <c r="B91" s="12" t="n">
        <v>514</v>
      </c>
      <c r="C91" s="12" t="n">
        <v>507</v>
      </c>
      <c r="D91" s="12" t="n">
        <v>489</v>
      </c>
      <c r="E91" s="12" t="n">
        <v>733</v>
      </c>
      <c r="F91" s="12" t="n">
        <v>700</v>
      </c>
      <c r="G91" s="12" t="n">
        <v>885</v>
      </c>
      <c r="H91" s="12" t="n">
        <v>1172</v>
      </c>
      <c r="I91" s="12" t="n">
        <v>1151</v>
      </c>
      <c r="K91" s="9" t="n">
        <v>383</v>
      </c>
    </row>
    <row r="92" customFormat="false" ht="14.25" hidden="false" customHeight="false" outlineLevel="0" collapsed="false">
      <c r="A92" s="19" t="s">
        <v>97</v>
      </c>
      <c r="B92" s="12" t="n">
        <v>218</v>
      </c>
      <c r="C92" s="12" t="n">
        <v>-3238</v>
      </c>
      <c r="D92" s="12" t="n">
        <v>-3223</v>
      </c>
      <c r="E92" s="12" t="n">
        <v>-4254</v>
      </c>
      <c r="F92" s="12" t="n">
        <v>-4286</v>
      </c>
      <c r="G92" s="12" t="n">
        <v>-3067</v>
      </c>
      <c r="H92" s="12" t="n">
        <v>-608</v>
      </c>
      <c r="I92" s="12" t="n">
        <v>-4014</v>
      </c>
    </row>
    <row r="93" customFormat="false" ht="14.25" hidden="false" customHeight="false" outlineLevel="0" collapsed="false">
      <c r="A93" s="19" t="s">
        <v>98</v>
      </c>
      <c r="B93" s="12" t="n">
        <v>-2534</v>
      </c>
      <c r="C93" s="12" t="n">
        <v>-1022</v>
      </c>
      <c r="D93" s="12" t="n">
        <v>-1133</v>
      </c>
      <c r="E93" s="12" t="n">
        <v>-1243</v>
      </c>
      <c r="F93" s="12" t="n">
        <v>-1332</v>
      </c>
      <c r="G93" s="12" t="n">
        <v>-1452</v>
      </c>
      <c r="H93" s="12" t="n">
        <v>-1638</v>
      </c>
      <c r="I93" s="12" t="n">
        <v>-1837</v>
      </c>
      <c r="K93" s="12" t="n">
        <v>-799</v>
      </c>
    </row>
    <row r="94" customFormat="false" ht="14.25" hidden="false" customHeight="false" outlineLevel="0" collapsed="false">
      <c r="A94" s="19" t="s">
        <v>99</v>
      </c>
      <c r="B94" s="12" t="n">
        <v>-899</v>
      </c>
      <c r="C94" s="12" t="n">
        <v>-22</v>
      </c>
      <c r="D94" s="12" t="n">
        <v>-29</v>
      </c>
      <c r="E94" s="12" t="n">
        <v>-55</v>
      </c>
      <c r="F94" s="12" t="n">
        <v>-50</v>
      </c>
      <c r="G94" s="12" t="n">
        <v>-58</v>
      </c>
      <c r="H94" s="12" t="n">
        <v>-136</v>
      </c>
      <c r="I94" s="12" t="n">
        <v>-151</v>
      </c>
    </row>
    <row r="95" customFormat="false" ht="14.25" hidden="false" customHeight="false" outlineLevel="0" collapsed="false">
      <c r="A95" s="34" t="s">
        <v>100</v>
      </c>
      <c r="B95" s="33" t="n">
        <f aca="false">+SUM(B87:B94)</f>
        <v>-2790</v>
      </c>
      <c r="C95" s="33" t="n">
        <f aca="false">+SUM(C87:C94)</f>
        <v>-2974</v>
      </c>
      <c r="D95" s="33" t="n">
        <f aca="false">+SUM(D87:D94)</f>
        <v>-2148</v>
      </c>
      <c r="E95" s="33" t="n">
        <f aca="false">+SUM(E87:E94)</f>
        <v>-4835</v>
      </c>
      <c r="F95" s="33" t="n">
        <f aca="false">+SUM(F87:F94)</f>
        <v>-5293</v>
      </c>
      <c r="G95" s="33" t="n">
        <f aca="false">+SUM(G87:G94)</f>
        <v>2491</v>
      </c>
      <c r="H95" s="33" t="n">
        <f aca="false">+SUM(H87:H94)</f>
        <v>-1459</v>
      </c>
      <c r="I95" s="33" t="n">
        <f aca="false">+SUM(I87:I94)</f>
        <v>-4836</v>
      </c>
    </row>
    <row r="96" customFormat="false" ht="14.25" hidden="false" customHeight="false" outlineLevel="0" collapsed="false">
      <c r="A96" s="19" t="s">
        <v>101</v>
      </c>
      <c r="B96" s="12" t="n">
        <v>-83</v>
      </c>
      <c r="C96" s="12" t="n">
        <v>-105</v>
      </c>
      <c r="D96" s="12" t="n">
        <v>-20</v>
      </c>
      <c r="E96" s="12" t="n">
        <v>45</v>
      </c>
      <c r="F96" s="12" t="n">
        <v>-129</v>
      </c>
      <c r="G96" s="12" t="n">
        <v>-66</v>
      </c>
      <c r="H96" s="12" t="n">
        <v>143</v>
      </c>
      <c r="I96" s="12" t="n">
        <v>-143</v>
      </c>
    </row>
    <row r="97" customFormat="false" ht="14.25" hidden="false" customHeight="false" outlineLevel="0" collapsed="false">
      <c r="A97" s="34" t="s">
        <v>102</v>
      </c>
      <c r="B97" s="33" t="n">
        <f aca="false">+B76+B85+B95+B96</f>
        <v>1632</v>
      </c>
      <c r="C97" s="33" t="n">
        <f aca="false">+C76+C85+C95+C96</f>
        <v>-714</v>
      </c>
      <c r="D97" s="33" t="n">
        <f aca="false">+D76+D85+D95+D96</f>
        <v>670</v>
      </c>
      <c r="E97" s="33" t="n">
        <f aca="false">+E76+E85+E95+E96</f>
        <v>441</v>
      </c>
      <c r="F97" s="33" t="n">
        <f aca="false">+F76+F85+F95+F96</f>
        <v>217</v>
      </c>
      <c r="G97" s="33" t="n">
        <f aca="false">+G76+G85+G95+G96</f>
        <v>3882</v>
      </c>
      <c r="H97" s="33" t="n">
        <f aca="false">+H76+H85+H95+H96</f>
        <v>1541</v>
      </c>
      <c r="I97" s="33" t="n">
        <f aca="false">+I76+I85+I95+I96</f>
        <v>-1315</v>
      </c>
    </row>
    <row r="98" customFormat="false" ht="14.25" hidden="false" customHeight="false" outlineLevel="0" collapsed="false">
      <c r="A98" s="9" t="s">
        <v>103</v>
      </c>
      <c r="B98" s="12" t="n">
        <v>2220</v>
      </c>
      <c r="C98" s="12" t="n">
        <v>3852</v>
      </c>
      <c r="D98" s="12" t="n">
        <v>3138</v>
      </c>
      <c r="E98" s="12" t="n">
        <v>3808</v>
      </c>
      <c r="F98" s="12" t="n">
        <v>4249</v>
      </c>
      <c r="G98" s="12" t="n">
        <v>4466</v>
      </c>
      <c r="H98" s="12" t="n">
        <v>8348</v>
      </c>
      <c r="I98" s="12" t="n">
        <f aca="false">+H99</f>
        <v>9889</v>
      </c>
    </row>
    <row r="99" customFormat="false" ht="14.25" hidden="false" customHeight="false" outlineLevel="0" collapsed="false">
      <c r="A99" s="22" t="s">
        <v>104</v>
      </c>
      <c r="B99" s="23" t="n">
        <v>3852</v>
      </c>
      <c r="C99" s="23" t="n">
        <v>3138</v>
      </c>
      <c r="D99" s="23" t="n">
        <v>3808</v>
      </c>
      <c r="E99" s="23" t="n">
        <f aca="false">+E97+E98</f>
        <v>4249</v>
      </c>
      <c r="F99" s="23" t="n">
        <f aca="false">+F97+F98</f>
        <v>4466</v>
      </c>
      <c r="G99" s="23" t="n">
        <f aca="false">+G97+G98</f>
        <v>8348</v>
      </c>
      <c r="H99" s="23" t="n">
        <f aca="false">+H97+H98</f>
        <v>9889</v>
      </c>
      <c r="I99" s="23" t="n">
        <f aca="false">+I97+I98</f>
        <v>8574</v>
      </c>
    </row>
    <row r="100" customFormat="false" ht="14.25" hidden="false" customHeight="false" outlineLevel="0" collapsed="false">
      <c r="A100" s="25" t="s">
        <v>105</v>
      </c>
      <c r="B100" s="26" t="n">
        <f aca="false">+B99-B25</f>
        <v>0</v>
      </c>
      <c r="C100" s="26" t="n">
        <f aca="false">+C99-C25</f>
        <v>0</v>
      </c>
      <c r="D100" s="26" t="n">
        <f aca="false">+D99-D25</f>
        <v>0</v>
      </c>
      <c r="E100" s="26" t="n">
        <f aca="false">+E99-E25</f>
        <v>0</v>
      </c>
      <c r="F100" s="26" t="n">
        <f aca="false">+F99-F25</f>
        <v>0</v>
      </c>
      <c r="G100" s="26" t="n">
        <f aca="false">+G99-G25</f>
        <v>0</v>
      </c>
      <c r="H100" s="26" t="n">
        <f aca="false">+H99-H25</f>
        <v>0</v>
      </c>
      <c r="I100" s="26" t="n">
        <f aca="false">+I99-I25</f>
        <v>0</v>
      </c>
    </row>
    <row r="101" s="25" customFormat="true" ht="14.25" hidden="false" customHeight="false" outlineLevel="0" collapsed="false">
      <c r="A101" s="25" t="s">
        <v>106</v>
      </c>
      <c r="B101" s="12"/>
      <c r="C101" s="12"/>
      <c r="D101" s="12"/>
      <c r="E101" s="12"/>
      <c r="F101" s="12"/>
      <c r="G101" s="12"/>
      <c r="H101" s="12"/>
      <c r="I101" s="12"/>
    </row>
    <row r="102" customFormat="false" ht="14.25" hidden="false" customHeight="false" outlineLevel="0" collapsed="false">
      <c r="A102" s="19" t="s">
        <v>107</v>
      </c>
      <c r="B102" s="12"/>
      <c r="C102" s="12"/>
      <c r="D102" s="12"/>
      <c r="E102" s="12"/>
      <c r="F102" s="12"/>
      <c r="G102" s="12"/>
      <c r="H102" s="12"/>
      <c r="I102" s="12"/>
    </row>
    <row r="103" customFormat="false" ht="14.25" hidden="false" customHeight="false" outlineLevel="0" collapsed="false">
      <c r="A103" s="16" t="s">
        <v>108</v>
      </c>
      <c r="B103" s="12" t="n">
        <v>53</v>
      </c>
      <c r="C103" s="12" t="n">
        <v>70</v>
      </c>
      <c r="D103" s="12" t="n">
        <v>98</v>
      </c>
      <c r="E103" s="12" t="n">
        <v>125</v>
      </c>
      <c r="F103" s="12" t="n">
        <v>153</v>
      </c>
      <c r="G103" s="12" t="n">
        <v>140</v>
      </c>
      <c r="H103" s="12" t="n">
        <v>293</v>
      </c>
      <c r="I103" s="12" t="n">
        <v>290</v>
      </c>
    </row>
    <row r="104" customFormat="false" ht="14.25" hidden="false" customHeight="false" outlineLevel="0" collapsed="false">
      <c r="A104" s="16" t="s">
        <v>109</v>
      </c>
      <c r="B104" s="12" t="n">
        <v>1262</v>
      </c>
      <c r="C104" s="12" t="n">
        <v>748</v>
      </c>
      <c r="D104" s="12" t="n">
        <v>703</v>
      </c>
      <c r="E104" s="12" t="n">
        <v>529</v>
      </c>
      <c r="F104" s="12" t="n">
        <v>757</v>
      </c>
      <c r="G104" s="12" t="n">
        <v>1028</v>
      </c>
      <c r="H104" s="12" t="n">
        <v>1177</v>
      </c>
      <c r="I104" s="12" t="n">
        <v>1231</v>
      </c>
    </row>
    <row r="105" customFormat="false" ht="14.25" hidden="false" customHeight="false" outlineLevel="0" collapsed="false">
      <c r="A105" s="16" t="s">
        <v>110</v>
      </c>
      <c r="B105" s="12" t="n">
        <v>206</v>
      </c>
      <c r="C105" s="12" t="n">
        <v>252</v>
      </c>
      <c r="D105" s="12" t="n">
        <v>266</v>
      </c>
      <c r="E105" s="12" t="n">
        <v>294</v>
      </c>
      <c r="F105" s="12" t="n">
        <v>160</v>
      </c>
      <c r="G105" s="12" t="n">
        <v>121</v>
      </c>
      <c r="H105" s="12" t="n">
        <v>179</v>
      </c>
      <c r="I105" s="12" t="n">
        <v>160</v>
      </c>
    </row>
    <row r="106" customFormat="false" ht="14.25" hidden="false" customHeight="false" outlineLevel="0" collapsed="false">
      <c r="A106" s="16" t="s">
        <v>111</v>
      </c>
      <c r="B106" s="12" t="n">
        <v>240</v>
      </c>
      <c r="C106" s="12" t="n">
        <v>271</v>
      </c>
      <c r="D106" s="12" t="n">
        <v>300</v>
      </c>
      <c r="E106" s="12" t="n">
        <v>320</v>
      </c>
      <c r="F106" s="12" t="n">
        <v>347</v>
      </c>
      <c r="G106" s="12" t="n">
        <v>385</v>
      </c>
      <c r="H106" s="12" t="n">
        <v>438</v>
      </c>
      <c r="I106" s="12" t="n">
        <v>480</v>
      </c>
    </row>
    <row r="108" customFormat="false" ht="14.25" hidden="false" customHeight="false" outlineLevel="0" collapsed="false">
      <c r="A108" s="27" t="s">
        <v>112</v>
      </c>
      <c r="B108" s="27"/>
      <c r="C108" s="27"/>
      <c r="D108" s="27"/>
      <c r="E108" s="27"/>
      <c r="F108" s="27"/>
      <c r="G108" s="27"/>
      <c r="H108" s="27"/>
      <c r="I108" s="27"/>
    </row>
    <row r="109" customFormat="false" ht="14.25" hidden="false" customHeight="false" outlineLevel="0" collapsed="false">
      <c r="A109" s="35" t="s">
        <v>113</v>
      </c>
      <c r="B109" s="12"/>
      <c r="C109" s="12"/>
      <c r="D109" s="12"/>
      <c r="E109" s="12"/>
      <c r="F109" s="12"/>
      <c r="G109" s="12"/>
      <c r="H109" s="12"/>
      <c r="I109" s="12"/>
    </row>
    <row r="110" customFormat="false" ht="14.25" hidden="false" customHeight="false" outlineLevel="0" collapsed="false">
      <c r="A110" s="19" t="s">
        <v>114</v>
      </c>
      <c r="B110" s="15" t="n">
        <f aca="false">+SUM(B111:B113)</f>
        <v>13740</v>
      </c>
      <c r="C110" s="15" t="n">
        <f aca="false">+SUM(C111:C113)</f>
        <v>14764</v>
      </c>
      <c r="D110" s="15" t="n">
        <f aca="false">+SUM(D111:D113)</f>
        <v>15216</v>
      </c>
      <c r="E110" s="15" t="n">
        <f aca="false">+SUM(E111:E113)</f>
        <v>14855</v>
      </c>
      <c r="F110" s="15" t="n">
        <f aca="false">+SUM(F111:F113)</f>
        <v>15902</v>
      </c>
      <c r="G110" s="15" t="n">
        <f aca="false">+SUM(G111:G113)</f>
        <v>14484</v>
      </c>
      <c r="H110" s="15" t="n">
        <f aca="false">+SUM(H111:H113)</f>
        <v>17179</v>
      </c>
      <c r="I110" s="15" t="n">
        <f aca="false">+SUM(I111:I113)</f>
        <v>18353</v>
      </c>
    </row>
    <row r="111" customFormat="false" ht="14.25" hidden="false" customHeight="false" outlineLevel="0" collapsed="false">
      <c r="A111" s="16" t="s">
        <v>115</v>
      </c>
      <c r="B111" s="9" t="n">
        <v>8506</v>
      </c>
      <c r="C111" s="9" t="n">
        <v>9299</v>
      </c>
      <c r="D111" s="9" t="n">
        <v>9684</v>
      </c>
      <c r="E111" s="9" t="n">
        <v>9322</v>
      </c>
      <c r="F111" s="9" t="n">
        <v>10045</v>
      </c>
      <c r="G111" s="9" t="n">
        <v>9329</v>
      </c>
      <c r="H111" s="24" t="n">
        <v>11644</v>
      </c>
      <c r="I111" s="24" t="n">
        <v>12228</v>
      </c>
    </row>
    <row r="112" customFormat="false" ht="14.25" hidden="false" customHeight="false" outlineLevel="0" collapsed="false">
      <c r="A112" s="16" t="s">
        <v>116</v>
      </c>
      <c r="B112" s="9" t="n">
        <v>4410</v>
      </c>
      <c r="C112" s="9" t="n">
        <v>4746</v>
      </c>
      <c r="D112" s="9" t="n">
        <v>4886</v>
      </c>
      <c r="E112" s="9" t="n">
        <v>4938</v>
      </c>
      <c r="F112" s="9" t="n">
        <v>5260</v>
      </c>
      <c r="G112" s="9" t="n">
        <v>4639</v>
      </c>
      <c r="H112" s="24" t="n">
        <v>5028</v>
      </c>
      <c r="I112" s="24" t="n">
        <v>5492</v>
      </c>
    </row>
    <row r="113" customFormat="false" ht="14.25" hidden="false" customHeight="false" outlineLevel="0" collapsed="false">
      <c r="A113" s="16" t="s">
        <v>117</v>
      </c>
      <c r="B113" s="9" t="n">
        <v>824</v>
      </c>
      <c r="C113" s="9" t="n">
        <v>719</v>
      </c>
      <c r="D113" s="9" t="n">
        <v>646</v>
      </c>
      <c r="E113" s="12" t="n">
        <v>595</v>
      </c>
      <c r="F113" s="12" t="n">
        <v>597</v>
      </c>
      <c r="G113" s="12" t="n">
        <v>516</v>
      </c>
      <c r="H113" s="9" t="n">
        <v>507</v>
      </c>
      <c r="I113" s="9" t="n">
        <v>633</v>
      </c>
    </row>
    <row r="114" customFormat="false" ht="14.25" hidden="false" customHeight="false" outlineLevel="0" collapsed="false">
      <c r="A114" s="19" t="s">
        <v>118</v>
      </c>
      <c r="B114" s="15" t="n">
        <f aca="false">+SUM(B115:B117)</f>
        <v>7126</v>
      </c>
      <c r="C114" s="15" t="n">
        <f aca="false">+SUM(C115:C117)</f>
        <v>7568</v>
      </c>
      <c r="D114" s="15" t="n">
        <f aca="false">+SUM(D115:D117)</f>
        <v>7970</v>
      </c>
      <c r="E114" s="15" t="n">
        <f aca="false">+SUM(E115:E117)</f>
        <v>9242</v>
      </c>
      <c r="F114" s="15" t="n">
        <f aca="false">+SUM(F115:F117)</f>
        <v>9812</v>
      </c>
      <c r="G114" s="15" t="n">
        <f aca="false">+SUM(G115:G117)</f>
        <v>9347</v>
      </c>
      <c r="H114" s="15" t="n">
        <f aca="false">+SUM(H115:H117)</f>
        <v>11456</v>
      </c>
      <c r="I114" s="15" t="n">
        <f aca="false">+SUM(I115:I117)</f>
        <v>12479</v>
      </c>
    </row>
    <row r="115" customFormat="false" ht="14.25" hidden="false" customHeight="false" outlineLevel="0" collapsed="false">
      <c r="A115" s="16" t="s">
        <v>115</v>
      </c>
      <c r="B115" s="9" t="n">
        <v>4703</v>
      </c>
      <c r="C115" s="9" t="n">
        <v>5043</v>
      </c>
      <c r="D115" s="9" t="n">
        <v>5192</v>
      </c>
      <c r="E115" s="9" t="n">
        <v>5875</v>
      </c>
      <c r="F115" s="9" t="n">
        <v>6293</v>
      </c>
      <c r="G115" s="9" t="n">
        <v>5892</v>
      </c>
      <c r="H115" s="24" t="n">
        <v>6970</v>
      </c>
      <c r="I115" s="24" t="n">
        <v>7388</v>
      </c>
    </row>
    <row r="116" customFormat="false" ht="14.25" hidden="false" customHeight="false" outlineLevel="0" collapsed="false">
      <c r="A116" s="16" t="s">
        <v>116</v>
      </c>
      <c r="B116" s="9" t="n">
        <v>2050</v>
      </c>
      <c r="C116" s="9" t="n">
        <v>2149</v>
      </c>
      <c r="D116" s="9" t="n">
        <v>2395</v>
      </c>
      <c r="E116" s="9" t="n">
        <v>2940</v>
      </c>
      <c r="F116" s="9" t="n">
        <v>3087</v>
      </c>
      <c r="G116" s="9" t="n">
        <v>3053</v>
      </c>
      <c r="H116" s="24" t="n">
        <v>3996</v>
      </c>
      <c r="I116" s="24" t="n">
        <v>4527</v>
      </c>
    </row>
    <row r="117" customFormat="false" ht="14.25" hidden="false" customHeight="false" outlineLevel="0" collapsed="false">
      <c r="A117" s="16" t="s">
        <v>117</v>
      </c>
      <c r="B117" s="9" t="n">
        <v>373</v>
      </c>
      <c r="C117" s="9" t="n">
        <v>376</v>
      </c>
      <c r="D117" s="9" t="n">
        <v>383</v>
      </c>
      <c r="E117" s="9" t="n">
        <v>427</v>
      </c>
      <c r="F117" s="9" t="n">
        <v>432</v>
      </c>
      <c r="G117" s="9" t="n">
        <v>402</v>
      </c>
      <c r="H117" s="9" t="n">
        <v>490</v>
      </c>
      <c r="I117" s="9" t="n">
        <v>564</v>
      </c>
    </row>
    <row r="118" customFormat="false" ht="14.25" hidden="false" customHeight="false" outlineLevel="0" collapsed="false">
      <c r="A118" s="19" t="s">
        <v>119</v>
      </c>
      <c r="B118" s="15" t="n">
        <f aca="false">+SUM(B119:B121)</f>
        <v>3067</v>
      </c>
      <c r="C118" s="15" t="n">
        <f aca="false">+SUM(C119:C121)</f>
        <v>3785</v>
      </c>
      <c r="D118" s="15" t="n">
        <f aca="false">+SUM(D119:D121)</f>
        <v>4237</v>
      </c>
      <c r="E118" s="15" t="n">
        <f aca="false">+SUM(E119:E121)</f>
        <v>5134</v>
      </c>
      <c r="F118" s="15" t="n">
        <f aca="false">+SUM(F119:F121)</f>
        <v>6208</v>
      </c>
      <c r="G118" s="15" t="n">
        <f aca="false">+SUM(G119:G121)</f>
        <v>6679</v>
      </c>
      <c r="H118" s="15" t="n">
        <f aca="false">+SUM(H119:H121)</f>
        <v>8290</v>
      </c>
      <c r="I118" s="15" t="n">
        <f aca="false">+SUM(I119:I121)</f>
        <v>7547</v>
      </c>
    </row>
    <row r="119" customFormat="false" ht="14.25" hidden="false" customHeight="false" outlineLevel="0" collapsed="false">
      <c r="A119" s="16" t="s">
        <v>115</v>
      </c>
      <c r="B119" s="9" t="n">
        <v>2016</v>
      </c>
      <c r="C119" s="9" t="n">
        <v>2599</v>
      </c>
      <c r="D119" s="9" t="n">
        <v>2920</v>
      </c>
      <c r="E119" s="1" t="n">
        <v>3496</v>
      </c>
      <c r="F119" s="1" t="n">
        <v>4262</v>
      </c>
      <c r="G119" s="1" t="n">
        <v>4635</v>
      </c>
      <c r="H119" s="24" t="n">
        <v>5748</v>
      </c>
      <c r="I119" s="24" t="n">
        <v>5416</v>
      </c>
    </row>
    <row r="120" customFormat="false" ht="14.25" hidden="false" customHeight="false" outlineLevel="0" collapsed="false">
      <c r="A120" s="16" t="s">
        <v>116</v>
      </c>
      <c r="B120" s="9" t="n">
        <v>925</v>
      </c>
      <c r="C120" s="9" t="n">
        <v>1055</v>
      </c>
      <c r="D120" s="9" t="n">
        <v>1188</v>
      </c>
      <c r="E120" s="1" t="n">
        <v>1508</v>
      </c>
      <c r="F120" s="1" t="n">
        <v>1808</v>
      </c>
      <c r="G120" s="9" t="n">
        <v>1896</v>
      </c>
      <c r="H120" s="24" t="n">
        <v>2347</v>
      </c>
      <c r="I120" s="24" t="n">
        <v>1938</v>
      </c>
    </row>
    <row r="121" customFormat="false" ht="14.25" hidden="false" customHeight="false" outlineLevel="0" collapsed="false">
      <c r="A121" s="16" t="s">
        <v>117</v>
      </c>
      <c r="B121" s="9" t="n">
        <v>126</v>
      </c>
      <c r="C121" s="9" t="n">
        <v>131</v>
      </c>
      <c r="D121" s="9" t="n">
        <v>129</v>
      </c>
      <c r="E121" s="1" t="n">
        <v>130</v>
      </c>
      <c r="F121" s="1" t="n">
        <v>138</v>
      </c>
      <c r="G121" s="9" t="n">
        <v>148</v>
      </c>
      <c r="H121" s="9" t="n">
        <v>195</v>
      </c>
      <c r="I121" s="9" t="n">
        <v>193</v>
      </c>
    </row>
    <row r="122" customFormat="false" ht="14.25" hidden="false" customHeight="false" outlineLevel="0" collapsed="false">
      <c r="A122" s="19" t="s">
        <v>120</v>
      </c>
      <c r="B122" s="15" t="n">
        <f aca="false">+SUM(B123:B125)</f>
        <v>4653</v>
      </c>
      <c r="C122" s="15" t="n">
        <f aca="false">+SUM(C123:C125)</f>
        <v>4317</v>
      </c>
      <c r="D122" s="15" t="n">
        <f aca="false">+SUM(D123:D125)</f>
        <v>4737</v>
      </c>
      <c r="E122" s="15" t="n">
        <f aca="false">+SUM(E123:E125)</f>
        <v>5166</v>
      </c>
      <c r="F122" s="15" t="n">
        <f aca="false">+SUM(F123:F125)</f>
        <v>5254</v>
      </c>
      <c r="G122" s="15" t="n">
        <f aca="false">+SUM(G123:G125)</f>
        <v>5028</v>
      </c>
      <c r="H122" s="15" t="n">
        <f aca="false">+SUM(H123:H125)</f>
        <v>5343</v>
      </c>
      <c r="I122" s="15" t="n">
        <f aca="false">+SUM(I123:I125)</f>
        <v>5955</v>
      </c>
    </row>
    <row r="123" customFormat="false" ht="14.25" hidden="false" customHeight="false" outlineLevel="0" collapsed="false">
      <c r="A123" s="16" t="s">
        <v>115</v>
      </c>
      <c r="B123" s="9" t="n">
        <v>3093</v>
      </c>
      <c r="C123" s="9" t="n">
        <v>2930</v>
      </c>
      <c r="D123" s="9" t="n">
        <v>3285</v>
      </c>
      <c r="E123" s="9" t="n">
        <v>3575</v>
      </c>
      <c r="F123" s="9" t="n">
        <v>3622</v>
      </c>
      <c r="G123" s="9" t="n">
        <v>3449</v>
      </c>
      <c r="H123" s="24" t="n">
        <v>3659</v>
      </c>
      <c r="I123" s="24" t="n">
        <v>4111</v>
      </c>
    </row>
    <row r="124" customFormat="false" ht="14.25" hidden="false" customHeight="false" outlineLevel="0" collapsed="false">
      <c r="A124" s="16" t="s">
        <v>116</v>
      </c>
      <c r="B124" s="9" t="n">
        <v>1251</v>
      </c>
      <c r="C124" s="9" t="n">
        <v>1117</v>
      </c>
      <c r="D124" s="9" t="n">
        <v>1185</v>
      </c>
      <c r="E124" s="9" t="n">
        <v>1347</v>
      </c>
      <c r="F124" s="9" t="n">
        <v>1395</v>
      </c>
      <c r="G124" s="9" t="n">
        <v>1365</v>
      </c>
      <c r="H124" s="24" t="n">
        <v>1494</v>
      </c>
      <c r="I124" s="24" t="n">
        <v>1610</v>
      </c>
    </row>
    <row r="125" customFormat="false" ht="14.25" hidden="false" customHeight="false" outlineLevel="0" collapsed="false">
      <c r="A125" s="16" t="s">
        <v>117</v>
      </c>
      <c r="B125" s="9" t="n">
        <v>309</v>
      </c>
      <c r="C125" s="9" t="n">
        <v>270</v>
      </c>
      <c r="D125" s="9" t="n">
        <v>267</v>
      </c>
      <c r="E125" s="9" t="n">
        <v>244</v>
      </c>
      <c r="F125" s="9" t="n">
        <v>237</v>
      </c>
      <c r="G125" s="9" t="n">
        <v>214</v>
      </c>
      <c r="H125" s="9" t="n">
        <v>190</v>
      </c>
      <c r="I125" s="9" t="n">
        <v>234</v>
      </c>
    </row>
    <row r="126" customFormat="false" ht="14.25" hidden="false" customHeight="false" outlineLevel="0" collapsed="false">
      <c r="A126" s="19" t="s">
        <v>121</v>
      </c>
      <c r="B126" s="15" t="n">
        <v>115</v>
      </c>
      <c r="C126" s="15" t="n">
        <v>73</v>
      </c>
      <c r="D126" s="15" t="n">
        <v>73</v>
      </c>
      <c r="E126" s="15" t="n">
        <v>88</v>
      </c>
      <c r="F126" s="15" t="n">
        <v>42</v>
      </c>
      <c r="G126" s="15" t="n">
        <v>30</v>
      </c>
      <c r="H126" s="12" t="n">
        <v>25</v>
      </c>
      <c r="I126" s="12" t="n">
        <v>102</v>
      </c>
    </row>
    <row r="127" customFormat="false" ht="14.25" hidden="false" customHeight="false" outlineLevel="0" collapsed="false">
      <c r="A127" s="20" t="s">
        <v>122</v>
      </c>
      <c r="B127" s="21" t="n">
        <f aca="false">+B110+B114+B118+B122+B126</f>
        <v>28701</v>
      </c>
      <c r="C127" s="21" t="n">
        <f aca="false">+C110+C114+C118+C122+C126</f>
        <v>30507</v>
      </c>
      <c r="D127" s="21" t="n">
        <f aca="false">+D110+D114+D118+D122+D126</f>
        <v>32233</v>
      </c>
      <c r="E127" s="21" t="n">
        <f aca="false">+E110+E114+E118+E122+E126</f>
        <v>34485</v>
      </c>
      <c r="F127" s="21" t="n">
        <f aca="false">+F110+F114+F118+F122+F126</f>
        <v>37218</v>
      </c>
      <c r="G127" s="21" t="n">
        <f aca="false">+G110+G114+G118+G122+G126</f>
        <v>35568</v>
      </c>
      <c r="H127" s="21" t="n">
        <f aca="false">+H110+H114+H118+H122+H126</f>
        <v>42293</v>
      </c>
      <c r="I127" s="21" t="n">
        <f aca="false">+I110+I114+I118+I122+I126</f>
        <v>44436</v>
      </c>
    </row>
    <row r="128" customFormat="false" ht="14.25" hidden="false" customHeight="false" outlineLevel="0" collapsed="false">
      <c r="A128" s="19" t="s">
        <v>123</v>
      </c>
      <c r="B128" s="15" t="n">
        <v>1982</v>
      </c>
      <c r="C128" s="15" t="n">
        <v>1955</v>
      </c>
      <c r="D128" s="15" t="n">
        <v>2042</v>
      </c>
      <c r="E128" s="15" t="n">
        <v>1886</v>
      </c>
      <c r="F128" s="15" t="n">
        <v>1906</v>
      </c>
      <c r="G128" s="15" t="n">
        <v>1846</v>
      </c>
      <c r="H128" s="12" t="n">
        <f aca="false">+SUM(H129:H132)</f>
        <v>2205</v>
      </c>
      <c r="I128" s="12" t="n">
        <f aca="false">+SUM(I129:I132)</f>
        <v>2346</v>
      </c>
    </row>
    <row r="129" customFormat="false" ht="14.25" hidden="false" customHeight="false" outlineLevel="0" collapsed="false">
      <c r="A129" s="16" t="s">
        <v>115</v>
      </c>
      <c r="B129" s="36" t="s">
        <v>92</v>
      </c>
      <c r="C129" s="36" t="s">
        <v>92</v>
      </c>
      <c r="D129" s="36" t="s">
        <v>92</v>
      </c>
      <c r="E129" s="12" t="n">
        <v>1611</v>
      </c>
      <c r="F129" s="12" t="n">
        <v>1658</v>
      </c>
      <c r="G129" s="9" t="n">
        <v>1642</v>
      </c>
      <c r="H129" s="12" t="n">
        <v>1986</v>
      </c>
      <c r="I129" s="12" t="n">
        <v>2094</v>
      </c>
    </row>
    <row r="130" customFormat="false" ht="14.25" hidden="false" customHeight="false" outlineLevel="0" collapsed="false">
      <c r="A130" s="16" t="s">
        <v>116</v>
      </c>
      <c r="B130" s="36" t="s">
        <v>92</v>
      </c>
      <c r="C130" s="36" t="s">
        <v>92</v>
      </c>
      <c r="D130" s="36" t="s">
        <v>92</v>
      </c>
      <c r="E130" s="12" t="n">
        <v>144</v>
      </c>
      <c r="F130" s="12" t="n">
        <v>118</v>
      </c>
      <c r="G130" s="12" t="n">
        <v>89</v>
      </c>
      <c r="H130" s="12" t="n">
        <v>104</v>
      </c>
      <c r="I130" s="12" t="n">
        <v>103</v>
      </c>
    </row>
    <row r="131" customFormat="false" ht="14.25" hidden="false" customHeight="false" outlineLevel="0" collapsed="false">
      <c r="A131" s="16" t="s">
        <v>117</v>
      </c>
      <c r="B131" s="36" t="s">
        <v>92</v>
      </c>
      <c r="C131" s="36" t="s">
        <v>92</v>
      </c>
      <c r="D131" s="36" t="s">
        <v>92</v>
      </c>
      <c r="E131" s="12" t="n">
        <v>28</v>
      </c>
      <c r="F131" s="12" t="n">
        <v>24</v>
      </c>
      <c r="G131" s="12" t="n">
        <v>25</v>
      </c>
      <c r="H131" s="12" t="n">
        <v>29</v>
      </c>
      <c r="I131" s="12" t="n">
        <v>26</v>
      </c>
    </row>
    <row r="132" customFormat="false" ht="14.25" hidden="false" customHeight="false" outlineLevel="0" collapsed="false">
      <c r="A132" s="16" t="s">
        <v>124</v>
      </c>
      <c r="B132" s="36" t="s">
        <v>92</v>
      </c>
      <c r="C132" s="36" t="s">
        <v>92</v>
      </c>
      <c r="D132" s="36" t="s">
        <v>92</v>
      </c>
      <c r="E132" s="12" t="n">
        <v>103</v>
      </c>
      <c r="F132" s="12" t="n">
        <v>106</v>
      </c>
      <c r="G132" s="12" t="n">
        <v>90</v>
      </c>
      <c r="H132" s="12" t="n">
        <v>86</v>
      </c>
      <c r="I132" s="12" t="n">
        <v>123</v>
      </c>
    </row>
    <row r="133" customFormat="false" ht="14.25" hidden="false" customHeight="false" outlineLevel="0" collapsed="false">
      <c r="A133" s="19" t="s">
        <v>125</v>
      </c>
      <c r="B133" s="15" t="n">
        <v>-82</v>
      </c>
      <c r="C133" s="15" t="n">
        <v>-86</v>
      </c>
      <c r="D133" s="15" t="n">
        <v>75</v>
      </c>
      <c r="E133" s="15" t="n">
        <v>26</v>
      </c>
      <c r="F133" s="15" t="n">
        <v>-7</v>
      </c>
      <c r="G133" s="15" t="n">
        <v>-11</v>
      </c>
      <c r="H133" s="12" t="n">
        <v>40</v>
      </c>
      <c r="I133" s="12" t="n">
        <v>-72</v>
      </c>
    </row>
    <row r="134" customFormat="false" ht="14.25" hidden="false" customHeight="false" outlineLevel="0" collapsed="false">
      <c r="A134" s="22" t="s">
        <v>126</v>
      </c>
      <c r="B134" s="23" t="n">
        <f aca="false">+B127+B128+B133</f>
        <v>30601</v>
      </c>
      <c r="C134" s="23" t="n">
        <f aca="false">+C127+C128+C133</f>
        <v>32376</v>
      </c>
      <c r="D134" s="23" t="n">
        <f aca="false">+D127+D128+D133</f>
        <v>34350</v>
      </c>
      <c r="E134" s="23" t="n">
        <f aca="false">+E127+E128+E133</f>
        <v>36397</v>
      </c>
      <c r="F134" s="23" t="n">
        <f aca="false">+F127+F128+F133</f>
        <v>39117</v>
      </c>
      <c r="G134" s="23" t="n">
        <f aca="false">+G127+G128+G133</f>
        <v>37403</v>
      </c>
      <c r="H134" s="23" t="n">
        <f aca="false">+H127+H128+H133</f>
        <v>44538</v>
      </c>
      <c r="I134" s="23" t="n">
        <f aca="false">+I127+I128+I133</f>
        <v>46710</v>
      </c>
    </row>
    <row r="135" customFormat="false" ht="14.25" hidden="false" customHeight="false" outlineLevel="0" collapsed="false">
      <c r="A135" s="25" t="s">
        <v>127</v>
      </c>
      <c r="B135" s="26" t="n">
        <f aca="false">+I134-I2</f>
        <v>0</v>
      </c>
      <c r="C135" s="26" t="n">
        <f aca="false">+C134-C2</f>
        <v>0</v>
      </c>
      <c r="D135" s="26" t="n">
        <f aca="false">+D134-D2</f>
        <v>0</v>
      </c>
      <c r="E135" s="26" t="n">
        <f aca="false">+E134-E2</f>
        <v>0</v>
      </c>
      <c r="F135" s="26" t="n">
        <f aca="false">+F134-F2</f>
        <v>0</v>
      </c>
      <c r="G135" s="26" t="n">
        <f aca="false">+G134-G2</f>
        <v>0</v>
      </c>
      <c r="H135" s="26" t="n">
        <f aca="false">+H134-H2</f>
        <v>0</v>
      </c>
      <c r="I135" s="25"/>
    </row>
    <row r="136" s="25" customFormat="true" ht="14.25" hidden="false" customHeight="false" outlineLevel="0" collapsed="false">
      <c r="A136" s="8" t="s">
        <v>128</v>
      </c>
    </row>
    <row r="137" customFormat="false" ht="14.25" hidden="false" customHeight="false" outlineLevel="0" collapsed="false">
      <c r="A137" s="19" t="s">
        <v>114</v>
      </c>
      <c r="B137" s="12" t="n">
        <v>3645</v>
      </c>
      <c r="C137" s="12" t="n">
        <v>3763</v>
      </c>
      <c r="D137" s="12" t="n">
        <v>3875</v>
      </c>
      <c r="E137" s="12" t="n">
        <v>3600</v>
      </c>
      <c r="F137" s="12" t="n">
        <v>3925</v>
      </c>
      <c r="G137" s="12" t="n">
        <v>2899</v>
      </c>
      <c r="H137" s="12" t="n">
        <v>5089</v>
      </c>
      <c r="I137" s="12" t="n">
        <v>5114</v>
      </c>
    </row>
    <row r="138" customFormat="false" ht="14.25" hidden="false" customHeight="false" outlineLevel="0" collapsed="false">
      <c r="A138" s="19" t="s">
        <v>118</v>
      </c>
      <c r="B138" s="12" t="n">
        <v>1524</v>
      </c>
      <c r="C138" s="12" t="n">
        <v>1787</v>
      </c>
      <c r="D138" s="12" t="n">
        <v>1507</v>
      </c>
      <c r="E138" s="12" t="n">
        <v>1587</v>
      </c>
      <c r="F138" s="12" t="n">
        <v>1995</v>
      </c>
      <c r="G138" s="12" t="n">
        <v>1541</v>
      </c>
      <c r="H138" s="12" t="n">
        <v>2435</v>
      </c>
      <c r="I138" s="12" t="n">
        <v>3293</v>
      </c>
    </row>
    <row r="139" customFormat="false" ht="14.25" hidden="false" customHeight="false" outlineLevel="0" collapsed="false">
      <c r="A139" s="19" t="s">
        <v>119</v>
      </c>
      <c r="B139" s="12" t="n">
        <v>993</v>
      </c>
      <c r="C139" s="12" t="n">
        <v>1372</v>
      </c>
      <c r="D139" s="12" t="n">
        <v>1507</v>
      </c>
      <c r="E139" s="12" t="n">
        <v>1807</v>
      </c>
      <c r="F139" s="12" t="n">
        <v>2376</v>
      </c>
      <c r="G139" s="12" t="n">
        <v>2490</v>
      </c>
      <c r="H139" s="12" t="n">
        <v>3243</v>
      </c>
      <c r="I139" s="12" t="n">
        <v>2365</v>
      </c>
    </row>
    <row r="140" customFormat="false" ht="14.25" hidden="false" customHeight="false" outlineLevel="0" collapsed="false">
      <c r="A140" s="19" t="s">
        <v>120</v>
      </c>
      <c r="B140" s="12" t="n">
        <v>918</v>
      </c>
      <c r="C140" s="12" t="n">
        <v>1002</v>
      </c>
      <c r="D140" s="12" t="n">
        <v>980</v>
      </c>
      <c r="E140" s="12" t="n">
        <v>1189</v>
      </c>
      <c r="F140" s="12" t="n">
        <v>1323</v>
      </c>
      <c r="G140" s="12" t="n">
        <v>1184</v>
      </c>
      <c r="H140" s="12" t="n">
        <v>1530</v>
      </c>
      <c r="I140" s="12" t="n">
        <v>1896</v>
      </c>
    </row>
    <row r="141" customFormat="false" ht="14.25" hidden="false" customHeight="false" outlineLevel="0" collapsed="false">
      <c r="A141" s="19" t="s">
        <v>121</v>
      </c>
      <c r="B141" s="12" t="n">
        <v>-2263</v>
      </c>
      <c r="C141" s="12" t="n">
        <v>-2596</v>
      </c>
      <c r="D141" s="12" t="n">
        <v>-2677</v>
      </c>
      <c r="E141" s="12" t="n">
        <v>-2658</v>
      </c>
      <c r="F141" s="12" t="n">
        <v>-3262</v>
      </c>
      <c r="G141" s="12" t="n">
        <v>-3468</v>
      </c>
      <c r="H141" s="12" t="n">
        <v>-3656</v>
      </c>
      <c r="I141" s="12" t="n">
        <v>-4262</v>
      </c>
    </row>
    <row r="142" customFormat="false" ht="14.25" hidden="false" customHeight="false" outlineLevel="0" collapsed="false">
      <c r="A142" s="20" t="s">
        <v>122</v>
      </c>
      <c r="B142" s="21" t="n">
        <f aca="false">+SUM(B137:B141)</f>
        <v>4817</v>
      </c>
      <c r="C142" s="21" t="n">
        <f aca="false">+SUM(C137:C141)</f>
        <v>5328</v>
      </c>
      <c r="D142" s="21" t="n">
        <f aca="false">+SUM(D137:D141)</f>
        <v>5192</v>
      </c>
      <c r="E142" s="21" t="n">
        <f aca="false">+SUM(E137:E141)</f>
        <v>5525</v>
      </c>
      <c r="F142" s="21" t="n">
        <f aca="false">+SUM(F137:F141)</f>
        <v>6357</v>
      </c>
      <c r="G142" s="21" t="n">
        <f aca="false">+SUM(G137:G141)</f>
        <v>4646</v>
      </c>
      <c r="H142" s="21" t="n">
        <f aca="false">+SUM(H137:H141)</f>
        <v>8641</v>
      </c>
      <c r="I142" s="21" t="n">
        <f aca="false">+SUM(I137:I141)</f>
        <v>8406</v>
      </c>
    </row>
    <row r="143" customFormat="false" ht="14.25" hidden="false" customHeight="false" outlineLevel="0" collapsed="false">
      <c r="A143" s="19" t="s">
        <v>123</v>
      </c>
      <c r="B143" s="12" t="n">
        <v>517</v>
      </c>
      <c r="C143" s="12" t="n">
        <v>487</v>
      </c>
      <c r="D143" s="12" t="n">
        <v>477</v>
      </c>
      <c r="E143" s="12" t="n">
        <v>310</v>
      </c>
      <c r="F143" s="12" t="n">
        <v>303</v>
      </c>
      <c r="G143" s="12" t="n">
        <v>297</v>
      </c>
      <c r="H143" s="12" t="n">
        <v>543</v>
      </c>
      <c r="I143" s="12" t="n">
        <v>669</v>
      </c>
    </row>
    <row r="144" customFormat="false" ht="14.25" hidden="false" customHeight="false" outlineLevel="0" collapsed="false">
      <c r="A144" s="19" t="s">
        <v>125</v>
      </c>
      <c r="B144" s="12" t="n">
        <v>-1101</v>
      </c>
      <c r="C144" s="12" t="n">
        <v>-1173</v>
      </c>
      <c r="D144" s="12" t="n">
        <v>-724</v>
      </c>
      <c r="E144" s="12" t="n">
        <v>-1456</v>
      </c>
      <c r="F144" s="12" t="n">
        <v>-1810</v>
      </c>
      <c r="G144" s="12" t="n">
        <v>-1967</v>
      </c>
      <c r="H144" s="12" t="n">
        <v>-2261</v>
      </c>
      <c r="I144" s="12" t="n">
        <v>-2219</v>
      </c>
    </row>
    <row r="145" customFormat="false" ht="14.25" hidden="false" customHeight="false" outlineLevel="0" collapsed="false">
      <c r="A145" s="22" t="s">
        <v>129</v>
      </c>
      <c r="B145" s="23" t="n">
        <f aca="false">+SUM(B142:B144)</f>
        <v>4233</v>
      </c>
      <c r="C145" s="23" t="n">
        <f aca="false">+SUM(C142:C144)</f>
        <v>4642</v>
      </c>
      <c r="D145" s="23" t="n">
        <f aca="false">+SUM(D142:D144)</f>
        <v>4945</v>
      </c>
      <c r="E145" s="23" t="n">
        <f aca="false">+SUM(E142:E144)</f>
        <v>4379</v>
      </c>
      <c r="F145" s="23" t="n">
        <f aca="false">+SUM(F142:F144)</f>
        <v>4850</v>
      </c>
      <c r="G145" s="23" t="n">
        <f aca="false">+SUM(G142:G144)</f>
        <v>2976</v>
      </c>
      <c r="H145" s="23" t="n">
        <f aca="false">+SUM(H142:H144)</f>
        <v>6923</v>
      </c>
      <c r="I145" s="23" t="n">
        <f aca="false">+SUM(I142:I144)</f>
        <v>6856</v>
      </c>
    </row>
    <row r="146" customFormat="false" ht="14.25" hidden="false" customHeight="false" outlineLevel="0" collapsed="false">
      <c r="A146" s="25" t="s">
        <v>127</v>
      </c>
      <c r="B146" s="26" t="n">
        <f aca="false">+B145-B10-B8</f>
        <v>0</v>
      </c>
      <c r="C146" s="26" t="n">
        <f aca="false">+C145-C10-C8</f>
        <v>0</v>
      </c>
      <c r="D146" s="26" t="n">
        <f aca="false">+D145-D10-D8</f>
        <v>0</v>
      </c>
      <c r="E146" s="26" t="n">
        <f aca="false">+E145-E10-E8</f>
        <v>0</v>
      </c>
      <c r="F146" s="26" t="n">
        <f aca="false">+F145-F10-F8</f>
        <v>0</v>
      </c>
      <c r="G146" s="26" t="n">
        <f aca="false">+G145-G10-G8</f>
        <v>0</v>
      </c>
      <c r="H146" s="26" t="n">
        <f aca="false">+H145-H10-H8</f>
        <v>0</v>
      </c>
      <c r="I146" s="26" t="n">
        <f aca="false">+I145-I10-I8</f>
        <v>0</v>
      </c>
    </row>
    <row r="147" s="25" customFormat="true" ht="14.25" hidden="false" customHeight="false" outlineLevel="0" collapsed="false">
      <c r="A147" s="8" t="s">
        <v>130</v>
      </c>
    </row>
    <row r="148" customFormat="false" ht="14.25" hidden="false" customHeight="false" outlineLevel="0" collapsed="false">
      <c r="A148" s="19" t="s">
        <v>114</v>
      </c>
      <c r="B148" s="12" t="n">
        <v>632</v>
      </c>
      <c r="C148" s="12" t="n">
        <v>742</v>
      </c>
      <c r="D148" s="12" t="n">
        <v>819</v>
      </c>
      <c r="E148" s="12" t="n">
        <v>848</v>
      </c>
      <c r="F148" s="12" t="n">
        <v>814</v>
      </c>
      <c r="G148" s="12" t="n">
        <v>645</v>
      </c>
      <c r="H148" s="12" t="n">
        <v>617</v>
      </c>
      <c r="I148" s="12" t="n">
        <v>639</v>
      </c>
    </row>
    <row r="149" customFormat="false" ht="14.25" hidden="false" customHeight="false" outlineLevel="0" collapsed="false">
      <c r="A149" s="19" t="s">
        <v>118</v>
      </c>
      <c r="B149" s="12" t="n">
        <v>498</v>
      </c>
      <c r="C149" s="12" t="n">
        <v>639</v>
      </c>
      <c r="D149" s="12" t="n">
        <v>709</v>
      </c>
      <c r="E149" s="12" t="n">
        <v>849</v>
      </c>
      <c r="F149" s="12" t="n">
        <v>929</v>
      </c>
      <c r="G149" s="12" t="n">
        <v>885</v>
      </c>
      <c r="H149" s="12" t="n">
        <v>982</v>
      </c>
      <c r="I149" s="12" t="n">
        <v>920</v>
      </c>
    </row>
    <row r="150" customFormat="false" ht="14.25" hidden="false" customHeight="false" outlineLevel="0" collapsed="false">
      <c r="A150" s="19" t="s">
        <v>119</v>
      </c>
      <c r="B150" s="12" t="n">
        <v>254</v>
      </c>
      <c r="C150" s="12" t="n">
        <v>234</v>
      </c>
      <c r="D150" s="12" t="n">
        <v>225</v>
      </c>
      <c r="E150" s="12" t="n">
        <v>256</v>
      </c>
      <c r="F150" s="12" t="n">
        <v>237</v>
      </c>
      <c r="G150" s="12" t="n">
        <v>214</v>
      </c>
      <c r="H150" s="12" t="n">
        <v>288</v>
      </c>
      <c r="I150" s="12" t="n">
        <v>303</v>
      </c>
    </row>
    <row r="151" customFormat="false" ht="14.25" hidden="false" customHeight="false" outlineLevel="0" collapsed="false">
      <c r="A151" s="19" t="s">
        <v>131</v>
      </c>
      <c r="B151" s="12" t="n">
        <v>308</v>
      </c>
      <c r="C151" s="12" t="n">
        <v>332</v>
      </c>
      <c r="D151" s="12" t="n">
        <v>340</v>
      </c>
      <c r="E151" s="12" t="n">
        <v>339</v>
      </c>
      <c r="F151" s="12" t="n">
        <v>326</v>
      </c>
      <c r="G151" s="12" t="n">
        <v>296</v>
      </c>
      <c r="H151" s="12" t="n">
        <v>304</v>
      </c>
      <c r="I151" s="12" t="n">
        <v>274</v>
      </c>
    </row>
    <row r="152" customFormat="false" ht="14.25" hidden="false" customHeight="false" outlineLevel="0" collapsed="false">
      <c r="A152" s="19" t="s">
        <v>121</v>
      </c>
      <c r="B152" s="12" t="n">
        <v>484</v>
      </c>
      <c r="C152" s="12" t="n">
        <v>511</v>
      </c>
      <c r="D152" s="12" t="n">
        <v>533</v>
      </c>
      <c r="E152" s="12" t="n">
        <v>597</v>
      </c>
      <c r="F152" s="12" t="n">
        <v>665</v>
      </c>
      <c r="G152" s="12" t="n">
        <v>830</v>
      </c>
      <c r="H152" s="12" t="n">
        <v>780</v>
      </c>
      <c r="I152" s="12" t="n">
        <v>789</v>
      </c>
    </row>
    <row r="153" customFormat="false" ht="14.25" hidden="false" customHeight="false" outlineLevel="0" collapsed="false">
      <c r="A153" s="20" t="s">
        <v>132</v>
      </c>
      <c r="B153" s="21" t="n">
        <f aca="false">+SUM(B148:B152)</f>
        <v>2176</v>
      </c>
      <c r="C153" s="21" t="n">
        <f aca="false">+SUM(C148:C152)</f>
        <v>2458</v>
      </c>
      <c r="D153" s="21" t="n">
        <f aca="false">+SUM(D148:D152)</f>
        <v>2626</v>
      </c>
      <c r="E153" s="21" t="n">
        <f aca="false">+SUM(E148:E152)</f>
        <v>2889</v>
      </c>
      <c r="F153" s="21" t="n">
        <f aca="false">+SUM(F148:F152)</f>
        <v>2971</v>
      </c>
      <c r="G153" s="21" t="n">
        <f aca="false">+SUM(G148:G152)</f>
        <v>2870</v>
      </c>
      <c r="H153" s="21" t="n">
        <f aca="false">+SUM(H148:H152)</f>
        <v>2971</v>
      </c>
      <c r="I153" s="21" t="n">
        <f aca="false">+SUM(I148:I152)</f>
        <v>2925</v>
      </c>
    </row>
    <row r="154" customFormat="false" ht="14.25" hidden="false" customHeight="false" outlineLevel="0" collapsed="false">
      <c r="A154" s="19" t="s">
        <v>123</v>
      </c>
      <c r="B154" s="12" t="n">
        <v>122</v>
      </c>
      <c r="C154" s="12" t="n">
        <v>125</v>
      </c>
      <c r="D154" s="12" t="n">
        <v>125</v>
      </c>
      <c r="E154" s="12" t="n">
        <v>115</v>
      </c>
      <c r="F154" s="12" t="n">
        <v>100</v>
      </c>
      <c r="G154" s="12" t="n">
        <v>80</v>
      </c>
      <c r="H154" s="12" t="n">
        <v>63</v>
      </c>
      <c r="I154" s="12" t="n">
        <v>49</v>
      </c>
    </row>
    <row r="155" customFormat="false" ht="14.25" hidden="false" customHeight="false" outlineLevel="0" collapsed="false">
      <c r="A155" s="19" t="s">
        <v>125</v>
      </c>
      <c r="B155" s="12" t="n">
        <v>713</v>
      </c>
      <c r="C155" s="12" t="n">
        <v>937</v>
      </c>
      <c r="D155" s="12" t="n">
        <v>1238</v>
      </c>
      <c r="E155" s="12" t="n">
        <v>1450</v>
      </c>
      <c r="F155" s="12" t="n">
        <v>1673</v>
      </c>
      <c r="G155" s="12" t="n">
        <v>1916</v>
      </c>
      <c r="H155" s="12" t="n">
        <v>1870</v>
      </c>
      <c r="I155" s="12" t="n">
        <v>1817</v>
      </c>
    </row>
    <row r="156" customFormat="false" ht="14.25" hidden="false" customHeight="false" outlineLevel="0" collapsed="false">
      <c r="A156" s="22" t="s">
        <v>133</v>
      </c>
      <c r="B156" s="23" t="n">
        <f aca="false">+SUM(B153:B155)</f>
        <v>3011</v>
      </c>
      <c r="C156" s="23" t="n">
        <f aca="false">+SUM(C153:C155)</f>
        <v>3520</v>
      </c>
      <c r="D156" s="23" t="n">
        <f aca="false">+SUM(D153:D155)</f>
        <v>3989</v>
      </c>
      <c r="E156" s="23" t="n">
        <f aca="false">+SUM(E153:E155)</f>
        <v>4454</v>
      </c>
      <c r="F156" s="23" t="n">
        <f aca="false">+SUM(F153:F155)</f>
        <v>4744</v>
      </c>
      <c r="G156" s="23" t="n">
        <f aca="false">+SUM(G153:G155)</f>
        <v>4866</v>
      </c>
      <c r="H156" s="23" t="n">
        <f aca="false">+SUM(H153:H155)</f>
        <v>4904</v>
      </c>
      <c r="I156" s="23" t="n">
        <f aca="false">+SUM(I153:I155)</f>
        <v>4791</v>
      </c>
    </row>
    <row r="157" customFormat="false" ht="14.25" hidden="false" customHeight="false" outlineLevel="0" collapsed="false">
      <c r="A157" s="25" t="s">
        <v>127</v>
      </c>
      <c r="B157" s="26" t="n">
        <f aca="false">+B156-B31</f>
        <v>0</v>
      </c>
      <c r="C157" s="26" t="n">
        <f aca="false">+C156-C31</f>
        <v>0</v>
      </c>
      <c r="D157" s="26" t="n">
        <f aca="false">+D156-D31</f>
        <v>0</v>
      </c>
      <c r="E157" s="26" t="n">
        <f aca="false">+E156-E31</f>
        <v>0</v>
      </c>
      <c r="F157" s="26" t="n">
        <f aca="false">+F156-F31</f>
        <v>0</v>
      </c>
      <c r="G157" s="26" t="n">
        <f aca="false">+G156-G31</f>
        <v>0</v>
      </c>
      <c r="H157" s="26" t="n">
        <f aca="false">+H156-H31</f>
        <v>0</v>
      </c>
      <c r="I157" s="26" t="n">
        <f aca="false">+I156-I31</f>
        <v>0</v>
      </c>
    </row>
    <row r="158" customFormat="false" ht="14.25" hidden="false" customHeight="false" outlineLevel="0" collapsed="false">
      <c r="A158" s="8" t="s">
        <v>134</v>
      </c>
    </row>
    <row r="159" customFormat="false" ht="14.25" hidden="false" customHeight="false" outlineLevel="0" collapsed="false">
      <c r="A159" s="19" t="s">
        <v>114</v>
      </c>
      <c r="B159" s="12" t="n">
        <v>208</v>
      </c>
      <c r="C159" s="12" t="n">
        <v>242</v>
      </c>
      <c r="D159" s="12" t="n">
        <v>223</v>
      </c>
      <c r="E159" s="12" t="n">
        <v>196</v>
      </c>
      <c r="F159" s="12" t="n">
        <v>117</v>
      </c>
      <c r="G159" s="12" t="n">
        <v>110</v>
      </c>
      <c r="H159" s="12" t="n">
        <v>98</v>
      </c>
      <c r="I159" s="12" t="n">
        <v>146</v>
      </c>
    </row>
    <row r="160" customFormat="false" ht="14.25" hidden="false" customHeight="false" outlineLevel="0" collapsed="false">
      <c r="A160" s="19" t="s">
        <v>118</v>
      </c>
      <c r="B160" s="12" t="n">
        <v>236</v>
      </c>
      <c r="C160" s="12" t="n">
        <v>232</v>
      </c>
      <c r="D160" s="12" t="n">
        <v>173</v>
      </c>
      <c r="E160" s="12" t="n">
        <v>240</v>
      </c>
      <c r="F160" s="12" t="n">
        <v>233</v>
      </c>
      <c r="G160" s="12" t="n">
        <v>139</v>
      </c>
      <c r="H160" s="12" t="n">
        <v>153</v>
      </c>
      <c r="I160" s="12" t="n">
        <v>197</v>
      </c>
    </row>
    <row r="161" customFormat="false" ht="14.25" hidden="false" customHeight="false" outlineLevel="0" collapsed="false">
      <c r="A161" s="19" t="s">
        <v>119</v>
      </c>
      <c r="B161" s="12" t="n">
        <v>69</v>
      </c>
      <c r="C161" s="12" t="n">
        <v>44</v>
      </c>
      <c r="D161" s="12" t="n">
        <v>51</v>
      </c>
      <c r="E161" s="12" t="n">
        <v>76</v>
      </c>
      <c r="F161" s="12" t="n">
        <v>49</v>
      </c>
      <c r="G161" s="12" t="n">
        <v>28</v>
      </c>
      <c r="H161" s="12" t="n">
        <v>94</v>
      </c>
      <c r="I161" s="12" t="n">
        <v>78</v>
      </c>
    </row>
    <row r="162" customFormat="false" ht="14.25" hidden="false" customHeight="false" outlineLevel="0" collapsed="false">
      <c r="A162" s="19" t="s">
        <v>131</v>
      </c>
      <c r="B162" s="12" t="n">
        <v>52</v>
      </c>
      <c r="C162" s="12" t="n">
        <v>64</v>
      </c>
      <c r="D162" s="12" t="n">
        <v>59</v>
      </c>
      <c r="E162" s="12" t="n">
        <v>49</v>
      </c>
      <c r="F162" s="12" t="n">
        <v>47</v>
      </c>
      <c r="G162" s="12" t="n">
        <v>41</v>
      </c>
      <c r="H162" s="12" t="n">
        <v>54</v>
      </c>
      <c r="I162" s="12" t="n">
        <v>56</v>
      </c>
    </row>
    <row r="163" customFormat="false" ht="14.25" hidden="false" customHeight="false" outlineLevel="0" collapsed="false">
      <c r="A163" s="19" t="s">
        <v>121</v>
      </c>
      <c r="B163" s="12" t="n">
        <v>225</v>
      </c>
      <c r="C163" s="12" t="n">
        <v>258</v>
      </c>
      <c r="D163" s="12" t="n">
        <v>278</v>
      </c>
      <c r="E163" s="12" t="n">
        <v>286</v>
      </c>
      <c r="F163" s="12" t="n">
        <v>278</v>
      </c>
      <c r="G163" s="12" t="n">
        <v>438</v>
      </c>
      <c r="H163" s="12" t="n">
        <v>278</v>
      </c>
      <c r="I163" s="12" t="n">
        <v>222</v>
      </c>
    </row>
    <row r="164" customFormat="false" ht="14.25" hidden="false" customHeight="false" outlineLevel="0" collapsed="false">
      <c r="A164" s="20" t="s">
        <v>132</v>
      </c>
      <c r="B164" s="21" t="n">
        <f aca="false">+SUM(B159:B163)</f>
        <v>790</v>
      </c>
      <c r="C164" s="21" t="n">
        <f aca="false">+SUM(C159:C163)</f>
        <v>840</v>
      </c>
      <c r="D164" s="21" t="n">
        <f aca="false">+SUM(D159:D163)</f>
        <v>784</v>
      </c>
      <c r="E164" s="21" t="n">
        <f aca="false">+SUM(E159:E163)</f>
        <v>847</v>
      </c>
      <c r="F164" s="21" t="n">
        <f aca="false">+SUM(F159:F163)</f>
        <v>724</v>
      </c>
      <c r="G164" s="21" t="n">
        <f aca="false">+SUM(G159:G163)</f>
        <v>756</v>
      </c>
      <c r="H164" s="21" t="n">
        <f aca="false">+SUM(H159:H163)</f>
        <v>677</v>
      </c>
      <c r="I164" s="21" t="n">
        <f aca="false">+SUM(I159:I163)</f>
        <v>699</v>
      </c>
    </row>
    <row r="165" customFormat="false" ht="14.25" hidden="false" customHeight="false" outlineLevel="0" collapsed="false">
      <c r="A165" s="19" t="s">
        <v>123</v>
      </c>
      <c r="B165" s="12" t="n">
        <v>69</v>
      </c>
      <c r="C165" s="12" t="n">
        <v>39</v>
      </c>
      <c r="D165" s="12" t="n">
        <v>30</v>
      </c>
      <c r="E165" s="12" t="n">
        <v>22</v>
      </c>
      <c r="F165" s="12" t="n">
        <v>18</v>
      </c>
      <c r="G165" s="12" t="n">
        <v>12</v>
      </c>
      <c r="H165" s="12" t="n">
        <v>7</v>
      </c>
      <c r="I165" s="12" t="n">
        <v>9</v>
      </c>
    </row>
    <row r="166" customFormat="false" ht="14.25" hidden="false" customHeight="false" outlineLevel="0" collapsed="false">
      <c r="A166" s="19" t="s">
        <v>125</v>
      </c>
      <c r="B166" s="12" t="n">
        <v>144</v>
      </c>
      <c r="C166" s="12" t="n">
        <v>312</v>
      </c>
      <c r="D166" s="12" t="n">
        <v>387</v>
      </c>
      <c r="E166" s="12" t="n">
        <v>325</v>
      </c>
      <c r="F166" s="12" t="n">
        <v>333</v>
      </c>
      <c r="G166" s="9" t="n">
        <v>356</v>
      </c>
      <c r="H166" s="12" t="n">
        <v>107</v>
      </c>
      <c r="I166" s="12" t="n">
        <f aca="false">-(SUM(I164:I165)+I82)</f>
        <v>50</v>
      </c>
    </row>
    <row r="167" customFormat="false" ht="14.25" hidden="false" customHeight="false" outlineLevel="0" collapsed="false">
      <c r="A167" s="37" t="s">
        <v>135</v>
      </c>
      <c r="B167" s="38" t="n">
        <v>-40</v>
      </c>
      <c r="C167" s="38" t="n">
        <v>-48</v>
      </c>
      <c r="D167" s="38" t="n">
        <v>-96</v>
      </c>
      <c r="E167" s="38" t="n">
        <v>-166</v>
      </c>
      <c r="F167" s="38" t="n">
        <v>44</v>
      </c>
      <c r="G167" s="39" t="n">
        <v>-38</v>
      </c>
      <c r="H167" s="38" t="n">
        <v>-96</v>
      </c>
      <c r="I167" s="12"/>
    </row>
    <row r="168" customFormat="false" ht="14.25" hidden="false" customHeight="false" outlineLevel="0" collapsed="false">
      <c r="A168" s="22" t="s">
        <v>136</v>
      </c>
      <c r="B168" s="23" t="n">
        <f aca="false">+SUM(B164:B167)</f>
        <v>963</v>
      </c>
      <c r="C168" s="23" t="n">
        <f aca="false">+SUM(C164:C167)</f>
        <v>1143</v>
      </c>
      <c r="D168" s="23" t="n">
        <f aca="false">+SUM(D164:D167)</f>
        <v>1105</v>
      </c>
      <c r="E168" s="23" t="n">
        <f aca="false">+SUM(E164:E167)</f>
        <v>1028</v>
      </c>
      <c r="F168" s="23" t="n">
        <f aca="false">+SUM(F164:F167)</f>
        <v>1119</v>
      </c>
      <c r="G168" s="23" t="n">
        <f aca="false">+SUM(G164:G167)</f>
        <v>1086</v>
      </c>
      <c r="H168" s="23" t="n">
        <f aca="false">+SUM(H164:H167)</f>
        <v>695</v>
      </c>
      <c r="I168" s="23" t="n">
        <f aca="false">+SUM(I164:I166)</f>
        <v>758</v>
      </c>
    </row>
    <row r="169" customFormat="false" ht="14.25" hidden="false" customHeight="false" outlineLevel="0" collapsed="false">
      <c r="A169" s="25" t="s">
        <v>127</v>
      </c>
      <c r="B169" s="26" t="n">
        <f aca="false">+B168+B82</f>
        <v>0</v>
      </c>
      <c r="C169" s="26" t="n">
        <f aca="false">+C168+C82</f>
        <v>0</v>
      </c>
      <c r="D169" s="26" t="n">
        <f aca="false">+D168+D82</f>
        <v>0</v>
      </c>
      <c r="E169" s="26" t="n">
        <f aca="false">+E168+E82</f>
        <v>0</v>
      </c>
      <c r="F169" s="26" t="n">
        <f aca="false">+F168+F82</f>
        <v>0</v>
      </c>
      <c r="G169" s="26" t="n">
        <f aca="false">+G168+G82</f>
        <v>0</v>
      </c>
      <c r="H169" s="26" t="n">
        <f aca="false">+H168+H82</f>
        <v>0</v>
      </c>
      <c r="I169" s="26" t="n">
        <f aca="false">+I168+I82</f>
        <v>0</v>
      </c>
    </row>
    <row r="170" customFormat="false" ht="14.25" hidden="false" customHeight="false" outlineLevel="0" collapsed="false">
      <c r="A170" s="8" t="s">
        <v>137</v>
      </c>
    </row>
    <row r="171" customFormat="false" ht="14.25" hidden="false" customHeight="false" outlineLevel="0" collapsed="false">
      <c r="A171" s="19" t="s">
        <v>114</v>
      </c>
      <c r="B171" s="12" t="n">
        <v>121</v>
      </c>
      <c r="C171" s="12" t="n">
        <v>133</v>
      </c>
      <c r="D171" s="12" t="n">
        <v>140</v>
      </c>
      <c r="E171" s="12" t="n">
        <v>160</v>
      </c>
      <c r="F171" s="12" t="n">
        <v>149</v>
      </c>
      <c r="G171" s="12" t="n">
        <v>148</v>
      </c>
      <c r="H171" s="12" t="n">
        <v>130</v>
      </c>
      <c r="I171" s="12" t="n">
        <v>124</v>
      </c>
    </row>
    <row r="172" customFormat="false" ht="14.25" hidden="false" customHeight="false" outlineLevel="0" collapsed="false">
      <c r="A172" s="19" t="s">
        <v>118</v>
      </c>
      <c r="B172" s="12" t="n">
        <v>87</v>
      </c>
      <c r="C172" s="12" t="n">
        <v>84</v>
      </c>
      <c r="D172" s="12" t="n">
        <v>104</v>
      </c>
      <c r="E172" s="12" t="n">
        <v>116</v>
      </c>
      <c r="F172" s="12" t="n">
        <v>111</v>
      </c>
      <c r="G172" s="12" t="n">
        <v>132</v>
      </c>
      <c r="H172" s="12" t="n">
        <v>136</v>
      </c>
      <c r="I172" s="12" t="n">
        <v>134</v>
      </c>
    </row>
    <row r="173" customFormat="false" ht="14.25" hidden="false" customHeight="false" outlineLevel="0" collapsed="false">
      <c r="A173" s="19" t="s">
        <v>119</v>
      </c>
      <c r="B173" s="12" t="n">
        <v>46</v>
      </c>
      <c r="C173" s="12" t="n">
        <v>48</v>
      </c>
      <c r="D173" s="12" t="n">
        <v>54</v>
      </c>
      <c r="E173" s="12" t="n">
        <v>56</v>
      </c>
      <c r="F173" s="12" t="n">
        <v>50</v>
      </c>
      <c r="G173" s="12" t="n">
        <v>44</v>
      </c>
      <c r="H173" s="12" t="n">
        <v>46</v>
      </c>
      <c r="I173" s="12" t="n">
        <v>41</v>
      </c>
    </row>
    <row r="174" customFormat="false" ht="14.25" hidden="false" customHeight="false" outlineLevel="0" collapsed="false">
      <c r="A174" s="19" t="s">
        <v>120</v>
      </c>
      <c r="B174" s="12" t="n">
        <v>49</v>
      </c>
      <c r="C174" s="12" t="n">
        <v>43</v>
      </c>
      <c r="D174" s="12" t="n">
        <v>56</v>
      </c>
      <c r="E174" s="12" t="n">
        <v>55</v>
      </c>
      <c r="F174" s="12" t="n">
        <v>53</v>
      </c>
      <c r="G174" s="12" t="n">
        <v>46</v>
      </c>
      <c r="H174" s="12" t="n">
        <v>43</v>
      </c>
      <c r="I174" s="12" t="n">
        <v>42</v>
      </c>
    </row>
    <row r="175" customFormat="false" ht="14.25" hidden="false" customHeight="false" outlineLevel="0" collapsed="false">
      <c r="A175" s="19" t="s">
        <v>121</v>
      </c>
      <c r="B175" s="12" t="n">
        <v>210</v>
      </c>
      <c r="C175" s="12" t="n">
        <v>230</v>
      </c>
      <c r="D175" s="12" t="n">
        <v>233</v>
      </c>
      <c r="E175" s="12" t="n">
        <v>217</v>
      </c>
      <c r="F175" s="12" t="n">
        <v>195</v>
      </c>
      <c r="G175" s="12" t="n">
        <v>214</v>
      </c>
      <c r="H175" s="12" t="n">
        <v>222</v>
      </c>
      <c r="I175" s="12" t="n">
        <v>220</v>
      </c>
    </row>
    <row r="176" customFormat="false" ht="14.25" hidden="false" customHeight="false" outlineLevel="0" collapsed="false">
      <c r="A176" s="20" t="s">
        <v>132</v>
      </c>
      <c r="B176" s="21" t="n">
        <f aca="false">+SUM(B171:B175)</f>
        <v>513</v>
      </c>
      <c r="C176" s="21" t="n">
        <f aca="false">+SUM(C171:C175)</f>
        <v>538</v>
      </c>
      <c r="D176" s="21" t="n">
        <f aca="false">+SUM(D171:D175)</f>
        <v>587</v>
      </c>
      <c r="E176" s="21" t="n">
        <f aca="false">+SUM(E171:E175)</f>
        <v>604</v>
      </c>
      <c r="F176" s="21" t="n">
        <f aca="false">+SUM(F171:F175)</f>
        <v>558</v>
      </c>
      <c r="G176" s="21" t="n">
        <f aca="false">+SUM(G171:G175)</f>
        <v>584</v>
      </c>
      <c r="H176" s="21" t="n">
        <f aca="false">+SUM(H171:H175)</f>
        <v>577</v>
      </c>
      <c r="I176" s="21" t="n">
        <f aca="false">+SUM(I171:I175)</f>
        <v>561</v>
      </c>
    </row>
    <row r="177" customFormat="false" ht="14.25" hidden="false" customHeight="false" outlineLevel="0" collapsed="false">
      <c r="A177" s="19" t="s">
        <v>123</v>
      </c>
      <c r="B177" s="12" t="n">
        <v>18</v>
      </c>
      <c r="C177" s="12" t="n">
        <v>27</v>
      </c>
      <c r="D177" s="12" t="n">
        <v>28</v>
      </c>
      <c r="E177" s="12" t="n">
        <v>33</v>
      </c>
      <c r="F177" s="12" t="n">
        <v>31</v>
      </c>
      <c r="G177" s="12" t="n">
        <v>25</v>
      </c>
      <c r="H177" s="12" t="n">
        <v>26</v>
      </c>
      <c r="I177" s="12" t="n">
        <v>22</v>
      </c>
    </row>
    <row r="178" customFormat="false" ht="14.25" hidden="false" customHeight="false" outlineLevel="0" collapsed="false">
      <c r="A178" s="19" t="s">
        <v>125</v>
      </c>
      <c r="B178" s="12" t="n">
        <v>75</v>
      </c>
      <c r="C178" s="12" t="n">
        <v>84</v>
      </c>
      <c r="D178" s="12" t="n">
        <v>91</v>
      </c>
      <c r="E178" s="12" t="n">
        <v>110</v>
      </c>
      <c r="F178" s="12" t="n">
        <v>116</v>
      </c>
      <c r="G178" s="12" t="n">
        <v>112</v>
      </c>
      <c r="H178" s="12" t="n">
        <v>141</v>
      </c>
      <c r="I178" s="12" t="n">
        <v>134</v>
      </c>
    </row>
    <row r="179" customFormat="false" ht="14.25" hidden="false" customHeight="false" outlineLevel="0" collapsed="false">
      <c r="A179" s="22" t="s">
        <v>138</v>
      </c>
      <c r="B179" s="23" t="n">
        <f aca="false">+SUM(B176:B178)</f>
        <v>606</v>
      </c>
      <c r="C179" s="23" t="n">
        <f aca="false">+SUM(C176:C178)</f>
        <v>649</v>
      </c>
      <c r="D179" s="23" t="n">
        <f aca="false">+SUM(D176:D178)</f>
        <v>706</v>
      </c>
      <c r="E179" s="23" t="n">
        <f aca="false">+SUM(E176:E178)</f>
        <v>747</v>
      </c>
      <c r="F179" s="23" t="n">
        <f aca="false">+SUM(F176:F178)</f>
        <v>705</v>
      </c>
      <c r="G179" s="23" t="n">
        <f aca="false">+SUM(G176:G178)</f>
        <v>721</v>
      </c>
      <c r="H179" s="23" t="n">
        <f aca="false">+SUM(H176:H178)</f>
        <v>744</v>
      </c>
      <c r="I179" s="23" t="n">
        <f aca="false">+SUM(I176:I178)</f>
        <v>717</v>
      </c>
    </row>
    <row r="180" customFormat="false" ht="14.25" hidden="false" customHeight="false" outlineLevel="0" collapsed="false">
      <c r="A180" s="25" t="s">
        <v>127</v>
      </c>
      <c r="B180" s="26" t="n">
        <f aca="false">+B179-B66</f>
        <v>0</v>
      </c>
      <c r="C180" s="26" t="n">
        <f aca="false">+C179-C66</f>
        <v>0</v>
      </c>
      <c r="D180" s="26" t="n">
        <f aca="false">+D179-D66</f>
        <v>0</v>
      </c>
      <c r="E180" s="26" t="n">
        <f aca="false">+E179-E66</f>
        <v>0</v>
      </c>
      <c r="F180" s="26" t="n">
        <f aca="false">+F179-F66</f>
        <v>0</v>
      </c>
      <c r="G180" s="26" t="n">
        <f aca="false">+G179-G66</f>
        <v>0</v>
      </c>
      <c r="H180" s="26" t="n">
        <f aca="false">+H179-H66</f>
        <v>0</v>
      </c>
      <c r="I180" s="26" t="n">
        <f aca="false">+I179-I66</f>
        <v>0</v>
      </c>
    </row>
    <row r="181" customFormat="false" ht="14.25" hidden="false" customHeight="false" outlineLevel="0" collapsed="false">
      <c r="A181" s="27" t="s">
        <v>139</v>
      </c>
      <c r="B181" s="27"/>
      <c r="C181" s="27"/>
      <c r="D181" s="27"/>
      <c r="E181" s="27"/>
      <c r="F181" s="27"/>
      <c r="G181" s="27"/>
      <c r="H181" s="27"/>
      <c r="I181" s="27"/>
    </row>
    <row r="182" customFormat="false" ht="14.25" hidden="false" customHeight="false" outlineLevel="0" collapsed="false">
      <c r="A182" s="35" t="s">
        <v>140</v>
      </c>
    </row>
    <row r="183" customFormat="false" ht="14.25" hidden="false" customHeight="false" outlineLevel="0" collapsed="false">
      <c r="A183" s="40" t="s">
        <v>114</v>
      </c>
      <c r="B183" s="41" t="n">
        <v>0.14</v>
      </c>
      <c r="C183" s="41" t="n">
        <v>0.08</v>
      </c>
      <c r="D183" s="41" t="n">
        <v>0.03</v>
      </c>
      <c r="E183" s="41" t="n">
        <v>-0.02</v>
      </c>
      <c r="F183" s="41" t="n">
        <v>0.07</v>
      </c>
      <c r="G183" s="41" t="n">
        <v>-0.09</v>
      </c>
      <c r="H183" s="41" t="n">
        <v>0.19</v>
      </c>
      <c r="I183" s="41" t="n">
        <v>0.07</v>
      </c>
    </row>
    <row r="184" customFormat="false" ht="14.25" hidden="false" customHeight="false" outlineLevel="0" collapsed="false">
      <c r="A184" s="42" t="s">
        <v>115</v>
      </c>
      <c r="B184" s="43" t="n">
        <v>0.12</v>
      </c>
      <c r="C184" s="43" t="n">
        <v>0.09</v>
      </c>
      <c r="D184" s="43" t="n">
        <v>0.04</v>
      </c>
      <c r="E184" s="43" t="n">
        <v>-0.04</v>
      </c>
      <c r="F184" s="43" t="n">
        <v>0.08</v>
      </c>
      <c r="G184" s="43" t="n">
        <v>-0.07</v>
      </c>
      <c r="H184" s="43" t="n">
        <v>0.25</v>
      </c>
      <c r="I184" s="43" t="n">
        <v>0.05</v>
      </c>
    </row>
    <row r="185" customFormat="false" ht="14.25" hidden="false" customHeight="false" outlineLevel="0" collapsed="false">
      <c r="A185" s="42" t="s">
        <v>116</v>
      </c>
      <c r="B185" s="43" t="n">
        <v>-0.05</v>
      </c>
      <c r="C185" s="43" t="n">
        <v>0.08</v>
      </c>
      <c r="D185" s="43" t="n">
        <v>0.03</v>
      </c>
      <c r="E185" s="43" t="n">
        <v>0.01</v>
      </c>
      <c r="F185" s="43" t="n">
        <v>0.07</v>
      </c>
      <c r="G185" s="43" t="n">
        <v>-0.12</v>
      </c>
      <c r="H185" s="43" t="n">
        <v>0.08</v>
      </c>
      <c r="I185" s="43" t="n">
        <v>0.09</v>
      </c>
    </row>
    <row r="186" customFormat="false" ht="14.25" hidden="false" customHeight="false" outlineLevel="0" collapsed="false">
      <c r="A186" s="42" t="s">
        <v>117</v>
      </c>
      <c r="B186" s="43" t="n">
        <v>0.12</v>
      </c>
      <c r="C186" s="43" t="n">
        <v>-0.13</v>
      </c>
      <c r="D186" s="43" t="n">
        <v>-0.1</v>
      </c>
      <c r="E186" s="43" t="n">
        <v>-0.08</v>
      </c>
      <c r="F186" s="43" t="n">
        <v>0</v>
      </c>
      <c r="G186" s="43" t="n">
        <v>-0.14</v>
      </c>
      <c r="H186" s="43" t="n">
        <v>-0.02</v>
      </c>
      <c r="I186" s="43" t="n">
        <v>0.25</v>
      </c>
    </row>
    <row r="187" customFormat="false" ht="14.25" hidden="false" customHeight="false" outlineLevel="0" collapsed="false">
      <c r="A187" s="40" t="s">
        <v>118</v>
      </c>
      <c r="B187" s="44" t="n">
        <v>0.2</v>
      </c>
      <c r="C187" s="44" t="n">
        <v>0.15</v>
      </c>
      <c r="D187" s="44" t="n">
        <v>0.1</v>
      </c>
      <c r="E187" s="44" t="n">
        <v>0.09</v>
      </c>
      <c r="F187" s="44" t="n">
        <v>0.11</v>
      </c>
      <c r="G187" s="44" t="n">
        <v>-0.01</v>
      </c>
      <c r="H187" s="44" t="n">
        <v>0.17</v>
      </c>
      <c r="I187" s="44" t="n">
        <v>0.12</v>
      </c>
    </row>
    <row r="188" customFormat="false" ht="14.25" hidden="false" customHeight="false" outlineLevel="0" collapsed="false">
      <c r="A188" s="42" t="s">
        <v>115</v>
      </c>
      <c r="B188" s="43" t="n">
        <v>0.24</v>
      </c>
      <c r="C188" s="43" t="n">
        <v>0.16</v>
      </c>
      <c r="D188" s="43" t="n">
        <v>0.08</v>
      </c>
      <c r="E188" s="43" t="n">
        <v>0.06</v>
      </c>
      <c r="F188" s="43" t="n">
        <v>0.12</v>
      </c>
      <c r="G188" s="43" t="n">
        <v>-0.03</v>
      </c>
      <c r="H188" s="43" t="n">
        <v>0.19</v>
      </c>
      <c r="I188" s="43" t="n">
        <v>0.09</v>
      </c>
    </row>
    <row r="189" customFormat="false" ht="14.25" hidden="false" customHeight="false" outlineLevel="0" collapsed="false">
      <c r="A189" s="42" t="s">
        <v>116</v>
      </c>
      <c r="B189" s="43" t="n">
        <v>0.12</v>
      </c>
      <c r="C189" s="43" t="n">
        <v>0.14</v>
      </c>
      <c r="D189" s="43" t="n">
        <v>0.17</v>
      </c>
      <c r="E189" s="43" t="n">
        <v>0.16</v>
      </c>
      <c r="F189" s="43" t="n">
        <v>0.09</v>
      </c>
      <c r="G189" s="43" t="n">
        <v>0.02</v>
      </c>
      <c r="H189" s="43" t="n">
        <v>0.25</v>
      </c>
      <c r="I189" s="43" t="n">
        <v>0.16</v>
      </c>
    </row>
    <row r="190" customFormat="false" ht="14.25" hidden="false" customHeight="false" outlineLevel="0" collapsed="false">
      <c r="A190" s="42" t="s">
        <v>117</v>
      </c>
      <c r="B190" s="43" t="n">
        <v>0.15</v>
      </c>
      <c r="C190" s="43" t="n">
        <v>0.08</v>
      </c>
      <c r="D190" s="43" t="n">
        <v>0.07</v>
      </c>
      <c r="E190" s="43" t="n">
        <v>0.06</v>
      </c>
      <c r="F190" s="43" t="n">
        <v>0.05</v>
      </c>
      <c r="G190" s="43" t="n">
        <v>-0.03</v>
      </c>
      <c r="H190" s="43" t="n">
        <v>0.19</v>
      </c>
      <c r="I190" s="43" t="n">
        <v>0.17</v>
      </c>
    </row>
    <row r="191" customFormat="false" ht="14.25" hidden="false" customHeight="false" outlineLevel="0" collapsed="false">
      <c r="A191" s="40" t="s">
        <v>119</v>
      </c>
      <c r="B191" s="44" t="n">
        <v>0.19</v>
      </c>
      <c r="C191" s="44" t="n">
        <v>0.27</v>
      </c>
      <c r="D191" s="44" t="n">
        <v>0.17</v>
      </c>
      <c r="E191" s="44" t="n">
        <v>0.18</v>
      </c>
      <c r="F191" s="44" t="n">
        <v>0.24</v>
      </c>
      <c r="G191" s="44" t="n">
        <v>0.11</v>
      </c>
      <c r="H191" s="44" t="n">
        <v>0.19</v>
      </c>
      <c r="I191" s="44" t="n">
        <v>-0.13</v>
      </c>
    </row>
    <row r="192" customFormat="false" ht="14.25" hidden="false" customHeight="false" outlineLevel="0" collapsed="false">
      <c r="A192" s="42" t="s">
        <v>115</v>
      </c>
      <c r="B192" s="43" t="n">
        <v>0.28</v>
      </c>
      <c r="C192" s="43" t="n">
        <v>0.33</v>
      </c>
      <c r="D192" s="43" t="n">
        <v>0.18</v>
      </c>
      <c r="E192" s="43" t="n">
        <v>0.16</v>
      </c>
      <c r="F192" s="43" t="n">
        <v>0.25</v>
      </c>
      <c r="G192" s="43" t="n">
        <v>0.12</v>
      </c>
      <c r="H192" s="43" t="n">
        <v>0.19</v>
      </c>
      <c r="I192" s="43" t="n">
        <v>-0.1</v>
      </c>
    </row>
    <row r="193" customFormat="false" ht="14.25" hidden="false" customHeight="false" outlineLevel="0" collapsed="false">
      <c r="A193" s="42" t="s">
        <v>116</v>
      </c>
      <c r="B193" s="43" t="n">
        <v>0.07</v>
      </c>
      <c r="C193" s="43" t="n">
        <v>0.17</v>
      </c>
      <c r="D193" s="43" t="n">
        <v>0.18</v>
      </c>
      <c r="E193" s="43" t="n">
        <v>0.23</v>
      </c>
      <c r="F193" s="43" t="n">
        <v>0.23</v>
      </c>
      <c r="G193" s="43" t="n">
        <v>0.08</v>
      </c>
      <c r="H193" s="43" t="n">
        <v>0.19</v>
      </c>
      <c r="I193" s="43" t="n">
        <v>-0.21</v>
      </c>
    </row>
    <row r="194" customFormat="false" ht="14.25" hidden="false" customHeight="false" outlineLevel="0" collapsed="false">
      <c r="A194" s="42" t="s">
        <v>117</v>
      </c>
      <c r="B194" s="43" t="n">
        <v>0.01</v>
      </c>
      <c r="C194" s="43" t="n">
        <v>0.07</v>
      </c>
      <c r="D194" s="43" t="n">
        <v>0.03</v>
      </c>
      <c r="E194" s="43" t="n">
        <v>-0.01</v>
      </c>
      <c r="F194" s="43" t="n">
        <v>0.08</v>
      </c>
      <c r="G194" s="43" t="n">
        <v>0.11</v>
      </c>
      <c r="H194" s="43" t="n">
        <v>0.26</v>
      </c>
      <c r="I194" s="43" t="n">
        <v>-0.06</v>
      </c>
    </row>
    <row r="195" customFormat="false" ht="14.25" hidden="false" customHeight="false" outlineLevel="0" collapsed="false">
      <c r="A195" s="40" t="s">
        <v>120</v>
      </c>
      <c r="B195" s="44" t="n">
        <v>0.08</v>
      </c>
      <c r="C195" s="44" t="n">
        <v>0.15</v>
      </c>
      <c r="D195" s="44" t="n">
        <v>0.13</v>
      </c>
      <c r="E195" s="44" t="n">
        <v>0.1</v>
      </c>
      <c r="F195" s="44" t="n">
        <v>0.13</v>
      </c>
      <c r="G195" s="44" t="n">
        <v>0.01</v>
      </c>
      <c r="H195" s="44" t="n">
        <v>0.08</v>
      </c>
      <c r="I195" s="44" t="n">
        <v>0.16</v>
      </c>
    </row>
    <row r="196" customFormat="false" ht="14.25" hidden="false" customHeight="false" outlineLevel="0" collapsed="false">
      <c r="A196" s="42" t="s">
        <v>115</v>
      </c>
      <c r="B196" s="43" t="n">
        <v>0.12</v>
      </c>
      <c r="C196" s="43" t="n">
        <v>0.19</v>
      </c>
      <c r="D196" s="43" t="n">
        <v>0.16</v>
      </c>
      <c r="E196" s="43" t="n">
        <v>0.09</v>
      </c>
      <c r="F196" s="43" t="n">
        <v>0.12</v>
      </c>
      <c r="G196" s="43" t="n">
        <v>0</v>
      </c>
      <c r="H196" s="43" t="n">
        <v>0.08</v>
      </c>
      <c r="I196" s="43" t="n">
        <v>0.17</v>
      </c>
    </row>
    <row r="197" customFormat="false" ht="14.25" hidden="false" customHeight="false" outlineLevel="0" collapsed="false">
      <c r="A197" s="42" t="s">
        <v>116</v>
      </c>
      <c r="B197" s="43" t="n">
        <v>0.08</v>
      </c>
      <c r="C197" s="43" t="n">
        <v>0.1</v>
      </c>
      <c r="D197" s="43" t="n">
        <v>0.09</v>
      </c>
      <c r="E197" s="43" t="n">
        <v>0.15</v>
      </c>
      <c r="F197" s="43" t="n">
        <v>0.15</v>
      </c>
      <c r="G197" s="43" t="n">
        <v>0.03</v>
      </c>
      <c r="H197" s="43" t="n">
        <v>0.1</v>
      </c>
      <c r="I197" s="43" t="n">
        <v>0.12</v>
      </c>
    </row>
    <row r="198" customFormat="false" ht="14.25" hidden="false" customHeight="false" outlineLevel="0" collapsed="false">
      <c r="A198" s="42" t="s">
        <v>117</v>
      </c>
      <c r="B198" s="43" t="n">
        <v>0.03</v>
      </c>
      <c r="C198" s="43" t="n">
        <v>0.09</v>
      </c>
      <c r="D198" s="43" t="n">
        <v>-0.01</v>
      </c>
      <c r="E198" s="43" t="n">
        <v>-0.08</v>
      </c>
      <c r="F198" s="43" t="n">
        <v>0.08</v>
      </c>
      <c r="G198" s="43" t="n">
        <v>-0.04</v>
      </c>
      <c r="H198" s="43" t="n">
        <v>-0.09</v>
      </c>
      <c r="I198" s="43" t="n">
        <v>0.28</v>
      </c>
    </row>
    <row r="199" customFormat="false" ht="14.25" hidden="false" customHeight="false" outlineLevel="0" collapsed="false">
      <c r="A199" s="40" t="s">
        <v>121</v>
      </c>
      <c r="B199" s="41" t="n">
        <v>-0.02</v>
      </c>
      <c r="C199" s="41" t="n">
        <v>-0.37</v>
      </c>
      <c r="D199" s="41" t="n">
        <v>0.02</v>
      </c>
      <c r="E199" s="41" t="n">
        <v>0.12</v>
      </c>
      <c r="F199" s="41" t="n">
        <v>0.53</v>
      </c>
      <c r="G199" s="41" t="n">
        <v>-0.26</v>
      </c>
      <c r="H199" s="41" t="n">
        <v>-0.17</v>
      </c>
      <c r="I199" s="41" t="n">
        <v>3.02</v>
      </c>
    </row>
    <row r="200" customFormat="false" ht="14.25" hidden="false" customHeight="false" outlineLevel="0" collapsed="false">
      <c r="A200" s="45" t="s">
        <v>122</v>
      </c>
      <c r="B200" s="46" t="n">
        <v>0.14</v>
      </c>
      <c r="C200" s="46" t="n">
        <v>0.13</v>
      </c>
      <c r="D200" s="46" t="n">
        <v>0.08</v>
      </c>
      <c r="E200" s="46" t="n">
        <v>0.05</v>
      </c>
      <c r="F200" s="46" t="n">
        <v>0.11</v>
      </c>
      <c r="G200" s="46" t="n">
        <v>-0.04</v>
      </c>
      <c r="H200" s="46" t="n">
        <v>0.17</v>
      </c>
      <c r="I200" s="44" t="n">
        <v>0.06</v>
      </c>
    </row>
    <row r="201" customFormat="false" ht="14.25" hidden="false" customHeight="false" outlineLevel="0" collapsed="false">
      <c r="A201" s="40" t="s">
        <v>123</v>
      </c>
      <c r="B201" s="41" t="n">
        <v>0.21</v>
      </c>
      <c r="C201" s="41" t="n">
        <v>0.02</v>
      </c>
      <c r="D201" s="41" t="n">
        <v>0.06</v>
      </c>
      <c r="E201" s="41" t="n">
        <v>-0.11</v>
      </c>
      <c r="F201" s="41" t="n">
        <v>0.03</v>
      </c>
      <c r="G201" s="41" t="n">
        <v>-0.01</v>
      </c>
      <c r="H201" s="41" t="n">
        <v>0.16</v>
      </c>
      <c r="I201" s="41" t="n">
        <v>0.07</v>
      </c>
    </row>
    <row r="202" customFormat="false" ht="14.25" hidden="false" customHeight="false" outlineLevel="0" collapsed="false">
      <c r="A202" s="42" t="s">
        <v>115</v>
      </c>
      <c r="B202" s="36" t="s">
        <v>92</v>
      </c>
      <c r="C202" s="36" t="s">
        <v>92</v>
      </c>
      <c r="D202" s="36" t="s">
        <v>92</v>
      </c>
      <c r="E202" s="36" t="s">
        <v>92</v>
      </c>
      <c r="F202" s="41" t="n">
        <v>0.05</v>
      </c>
      <c r="G202" s="41" t="n">
        <v>0.01</v>
      </c>
      <c r="H202" s="43" t="n">
        <v>0.17</v>
      </c>
      <c r="I202" s="43" t="n">
        <v>0.06</v>
      </c>
    </row>
    <row r="203" customFormat="false" ht="14.25" hidden="false" customHeight="false" outlineLevel="0" collapsed="false">
      <c r="A203" s="42" t="s">
        <v>116</v>
      </c>
      <c r="B203" s="36" t="s">
        <v>92</v>
      </c>
      <c r="C203" s="36" t="s">
        <v>92</v>
      </c>
      <c r="D203" s="36" t="s">
        <v>92</v>
      </c>
      <c r="E203" s="36" t="s">
        <v>92</v>
      </c>
      <c r="F203" s="43" t="n">
        <v>-0.17</v>
      </c>
      <c r="G203" s="43" t="n">
        <v>-0.22</v>
      </c>
      <c r="H203" s="43" t="n">
        <v>0.13</v>
      </c>
      <c r="I203" s="43" t="n">
        <v>-0.03</v>
      </c>
    </row>
    <row r="204" customFormat="false" ht="14.25" hidden="false" customHeight="false" outlineLevel="0" collapsed="false">
      <c r="A204" s="42" t="s">
        <v>117</v>
      </c>
      <c r="B204" s="36" t="s">
        <v>92</v>
      </c>
      <c r="C204" s="36" t="s">
        <v>92</v>
      </c>
      <c r="D204" s="36" t="s">
        <v>92</v>
      </c>
      <c r="E204" s="36" t="s">
        <v>92</v>
      </c>
      <c r="F204" s="43" t="n">
        <v>-0.13</v>
      </c>
      <c r="G204" s="43" t="n">
        <v>0.08</v>
      </c>
      <c r="H204" s="43" t="n">
        <v>0.14</v>
      </c>
      <c r="I204" s="43" t="n">
        <v>-0.16</v>
      </c>
    </row>
    <row r="205" customFormat="false" ht="14.25" hidden="false" customHeight="false" outlineLevel="0" collapsed="false">
      <c r="A205" s="42" t="s">
        <v>124</v>
      </c>
      <c r="B205" s="36" t="s">
        <v>92</v>
      </c>
      <c r="C205" s="36" t="s">
        <v>92</v>
      </c>
      <c r="D205" s="36" t="s">
        <v>92</v>
      </c>
      <c r="E205" s="36" t="s">
        <v>92</v>
      </c>
      <c r="F205" s="43" t="n">
        <v>0.04</v>
      </c>
      <c r="G205" s="43" t="n">
        <v>-0.14</v>
      </c>
      <c r="H205" s="43" t="n">
        <v>-0.01</v>
      </c>
      <c r="I205" s="43" t="n">
        <v>0.42</v>
      </c>
    </row>
    <row r="206" customFormat="false" ht="14.25" hidden="false" customHeight="false" outlineLevel="0" collapsed="false">
      <c r="A206" s="47" t="s">
        <v>125</v>
      </c>
      <c r="B206" s="43" t="n">
        <v>0.06</v>
      </c>
      <c r="C206" s="43" t="n">
        <v>0.07</v>
      </c>
      <c r="D206" s="48" t="s">
        <v>92</v>
      </c>
      <c r="E206" s="43" t="n">
        <v>-1.01</v>
      </c>
      <c r="F206" s="43" t="n">
        <v>0.24</v>
      </c>
      <c r="G206" s="43" t="n">
        <v>0.09</v>
      </c>
      <c r="H206" s="43" t="n">
        <v>0.15</v>
      </c>
      <c r="I206" s="43" t="n">
        <v>0</v>
      </c>
    </row>
    <row r="207" customFormat="false" ht="14.25" hidden="false" customHeight="false" outlineLevel="0" collapsed="false">
      <c r="A207" s="49" t="s">
        <v>126</v>
      </c>
      <c r="B207" s="46" t="n">
        <v>0.14</v>
      </c>
      <c r="C207" s="46" t="n">
        <v>0.12</v>
      </c>
      <c r="D207" s="46" t="n">
        <v>0.08</v>
      </c>
      <c r="E207" s="46" t="n">
        <v>0.04</v>
      </c>
      <c r="F207" s="46" t="n">
        <v>0.11</v>
      </c>
      <c r="G207" s="46" t="n">
        <v>-0.04</v>
      </c>
      <c r="H207" s="46" t="n">
        <v>0.17</v>
      </c>
      <c r="I207" s="50" t="n">
        <v>0.06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2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15" activeCellId="0" sqref="B15"/>
    </sheetView>
  </sheetViews>
  <sheetFormatPr defaultColWidth="8.5625" defaultRowHeight="14.25" zeroHeight="false" outlineLevelRow="0" outlineLevelCol="0"/>
  <cols>
    <col collapsed="false" customWidth="true" hidden="false" outlineLevel="0" max="1" min="1" style="9" width="48.78"/>
    <col collapsed="false" customWidth="true" hidden="false" outlineLevel="0" max="14" min="2" style="9" width="11.77"/>
  </cols>
  <sheetData>
    <row r="1" customFormat="false" ht="60" hidden="false" customHeight="true" outlineLevel="0" collapsed="false">
      <c r="A1" s="10" t="s">
        <v>7</v>
      </c>
      <c r="B1" s="11" t="n">
        <f aca="false">+C1-1</f>
        <v>2015</v>
      </c>
      <c r="C1" s="11" t="n">
        <f aca="false">+D1-1</f>
        <v>2016</v>
      </c>
      <c r="D1" s="11" t="n">
        <f aca="false">+E1-1</f>
        <v>2017</v>
      </c>
      <c r="E1" s="11" t="n">
        <f aca="false">+F1-1</f>
        <v>2018</v>
      </c>
      <c r="F1" s="11" t="n">
        <f aca="false">+G1-1</f>
        <v>2019</v>
      </c>
      <c r="G1" s="11" t="n">
        <f aca="false">+H1-1</f>
        <v>2020</v>
      </c>
      <c r="H1" s="11" t="n">
        <f aca="false">+I1-1</f>
        <v>2021</v>
      </c>
      <c r="I1" s="11" t="n">
        <v>2022</v>
      </c>
      <c r="J1" s="51" t="n">
        <f aca="false">+I1+1</f>
        <v>2023</v>
      </c>
      <c r="K1" s="51" t="n">
        <f aca="false">+J1+1</f>
        <v>2024</v>
      </c>
      <c r="L1" s="51" t="n">
        <f aca="false">+K1+1</f>
        <v>2025</v>
      </c>
      <c r="M1" s="51" t="n">
        <f aca="false">+L1+1</f>
        <v>2026</v>
      </c>
      <c r="N1" s="51" t="n">
        <f aca="false">+M1+1</f>
        <v>2027</v>
      </c>
    </row>
    <row r="2" customFormat="false" ht="14.25" hidden="false" customHeight="false" outlineLevel="0" collapsed="false">
      <c r="A2" s="52" t="s">
        <v>141</v>
      </c>
      <c r="B2" s="52"/>
      <c r="C2" s="52"/>
      <c r="D2" s="52"/>
      <c r="E2" s="52"/>
      <c r="F2" s="52"/>
      <c r="G2" s="52"/>
      <c r="H2" s="52"/>
      <c r="I2" s="52"/>
      <c r="J2" s="51"/>
      <c r="K2" s="51"/>
      <c r="L2" s="51"/>
      <c r="M2" s="51"/>
      <c r="N2" s="51"/>
    </row>
    <row r="3" customFormat="false" ht="14.25" hidden="false" customHeight="false" outlineLevel="0" collapsed="false">
      <c r="A3" s="15" t="s">
        <v>142</v>
      </c>
      <c r="B3" s="15" t="n">
        <f aca="false">B21+B52+B83+B114+B145+B166+B201</f>
        <v>30601</v>
      </c>
      <c r="C3" s="15" t="n">
        <f aca="false">C21+C52+C83+C114+C145+C166+C201</f>
        <v>32376</v>
      </c>
      <c r="D3" s="15" t="n">
        <f aca="false">D21+D52+D83+D114+D145+D166+D201</f>
        <v>34350</v>
      </c>
      <c r="E3" s="15" t="n">
        <f aca="false">E21+E52+E83+E114+E145+E166+E201</f>
        <v>36397</v>
      </c>
      <c r="F3" s="15" t="n">
        <f aca="false">F21+F52+F83+F114+F145+F166+F201</f>
        <v>39117</v>
      </c>
      <c r="G3" s="15" t="n">
        <f aca="false">G21+G52+G83+G114+G145+G166+G201</f>
        <v>37403</v>
      </c>
      <c r="H3" s="15" t="n">
        <f aca="false">H21+H52+H83+H114+H145+H166+H201</f>
        <v>44538</v>
      </c>
      <c r="I3" s="15" t="n">
        <f aca="false">I21+I52+I83+I114+I145+I166+I201</f>
        <v>46710</v>
      </c>
      <c r="J3" s="15" t="n">
        <f aca="false">J21+J52+J83+J114+J145+J166+J201</f>
        <v>46710</v>
      </c>
      <c r="K3" s="15" t="n">
        <f aca="false">K21+K52+K83+K114+K145+K166+K201</f>
        <v>46710</v>
      </c>
      <c r="L3" s="15" t="n">
        <f aca="false">L21+L52+L83+L114+L145+L166+L201</f>
        <v>46710</v>
      </c>
      <c r="M3" s="15" t="n">
        <f aca="false">M21+M52+M83+M114+M145+M166+M201</f>
        <v>46710</v>
      </c>
      <c r="N3" s="15" t="n">
        <f aca="false">N21+N52+N83+N114+N145+N166+N201</f>
        <v>46710</v>
      </c>
    </row>
    <row r="4" customFormat="false" ht="14.25" hidden="false" customHeight="false" outlineLevel="0" collapsed="false">
      <c r="A4" s="53" t="s">
        <v>143</v>
      </c>
      <c r="B4" s="54" t="str">
        <f aca="false">+IFERROR(B3/A3-1,"nm")</f>
        <v>nm</v>
      </c>
      <c r="C4" s="54" t="n">
        <f aca="false">+IFERROR(C3/B3-1,"nm")</f>
        <v>0.0580046403712298</v>
      </c>
      <c r="D4" s="54" t="n">
        <f aca="false">+IFERROR(D3/C3-1,"nm")</f>
        <v>0.0609710896960711</v>
      </c>
      <c r="E4" s="54" t="n">
        <f aca="false">+IFERROR(E3/D3-1,"nm")</f>
        <v>0.0595924308588065</v>
      </c>
      <c r="F4" s="54" t="n">
        <f aca="false">+IFERROR(F3/E3-1,"nm")</f>
        <v>0.0747314339093881</v>
      </c>
      <c r="G4" s="54" t="n">
        <f aca="false">+IFERROR(G3/F3-1,"nm")</f>
        <v>-0.0438172661502672</v>
      </c>
      <c r="H4" s="54" t="n">
        <f aca="false">+IFERROR(H3/G3-1,"nm")</f>
        <v>0.190760099457263</v>
      </c>
      <c r="I4" s="54" t="n">
        <f aca="false">+IFERROR(I3/H3-1,"nm")</f>
        <v>0.0487673447393238</v>
      </c>
      <c r="J4" s="54" t="n">
        <f aca="false">+IFERROR(J3/I3-1,"nm")</f>
        <v>0</v>
      </c>
      <c r="K4" s="54" t="n">
        <f aca="false">+IFERROR(K3/J3-1,"nm")</f>
        <v>0</v>
      </c>
      <c r="L4" s="54" t="n">
        <f aca="false">+IFERROR(L3/K3-1,"nm")</f>
        <v>0</v>
      </c>
      <c r="M4" s="54" t="n">
        <f aca="false">+IFERROR(M3/L3-1,"nm")</f>
        <v>0</v>
      </c>
      <c r="N4" s="54" t="n">
        <f aca="false">+IFERROR(N3/M3-1,"nm")</f>
        <v>0</v>
      </c>
    </row>
    <row r="5" customFormat="false" ht="14.25" hidden="false" customHeight="false" outlineLevel="0" collapsed="false">
      <c r="A5" s="15" t="s">
        <v>144</v>
      </c>
      <c r="B5" s="8" t="n">
        <f aca="false">B35+B66+B97+B128+B149+B184+B205</f>
        <v>4839</v>
      </c>
      <c r="C5" s="8" t="n">
        <f aca="false">C35+C66+C97+C128+C149+C184+C205</f>
        <v>5291</v>
      </c>
      <c r="D5" s="8" t="n">
        <f aca="false">D35+D66+D97+D128+D149+D184+D205</f>
        <v>5651</v>
      </c>
      <c r="E5" s="8" t="n">
        <f aca="false">E35+E66+E97+E128+E149+E184+E205</f>
        <v>5126</v>
      </c>
      <c r="F5" s="8" t="n">
        <f aca="false">F35+F66+F97+F128+F149+F184+F205</f>
        <v>5555</v>
      </c>
      <c r="G5" s="8" t="n">
        <f aca="false">G35+G66+G97+G128+G149+G184+G205</f>
        <v>3697</v>
      </c>
      <c r="H5" s="8" t="n">
        <f aca="false">H35+H66+H97+H128+H149+H184+H205</f>
        <v>7667</v>
      </c>
      <c r="I5" s="8" t="n">
        <f aca="false">I35+I66+I97+I128+I149+I184+I205</f>
        <v>7573</v>
      </c>
      <c r="J5" s="55" t="n">
        <f aca="false">J35+J66+J97+J128+J149+J184+J205</f>
        <v>7573</v>
      </c>
      <c r="K5" s="55" t="n">
        <f aca="false">K35+K66+K97+K128+K149+K184+K205</f>
        <v>7573</v>
      </c>
      <c r="L5" s="55" t="n">
        <f aca="false">L35+L66+L97+L128+L149+L184+L205</f>
        <v>7573</v>
      </c>
      <c r="M5" s="55" t="n">
        <f aca="false">M35+M66+M97+M128+M149+M184+M205</f>
        <v>7573</v>
      </c>
      <c r="N5" s="55" t="n">
        <f aca="false">N35+N66+N97+N128+N149+N184+N205</f>
        <v>7573</v>
      </c>
    </row>
    <row r="6" customFormat="false" ht="14.25" hidden="false" customHeight="false" outlineLevel="0" collapsed="false">
      <c r="A6" s="53" t="s">
        <v>143</v>
      </c>
      <c r="B6" s="54" t="str">
        <f aca="false">+IFERROR(B5/A5-1,"nm")</f>
        <v>nm</v>
      </c>
      <c r="C6" s="54" t="n">
        <f aca="false">+IFERROR(C5/B5-1,"nm")</f>
        <v>0.0934077288696011</v>
      </c>
      <c r="D6" s="54" t="n">
        <f aca="false">+IFERROR(D5/C5-1,"nm")</f>
        <v>0.0680400680400681</v>
      </c>
      <c r="E6" s="54" t="n">
        <f aca="false">+IFERROR(E5/D5-1,"nm")</f>
        <v>-0.0929039108122456</v>
      </c>
      <c r="F6" s="54" t="n">
        <f aca="false">+IFERROR(F5/E5-1,"nm")</f>
        <v>0.0836909871244636</v>
      </c>
      <c r="G6" s="54" t="n">
        <f aca="false">+IFERROR(G5/F5-1,"nm")</f>
        <v>-0.334473447344735</v>
      </c>
      <c r="H6" s="54" t="n">
        <f aca="false">+IFERROR(H5/G5-1,"nm")</f>
        <v>1.07384365701921</v>
      </c>
      <c r="I6" s="54" t="n">
        <f aca="false">+IFERROR(I5/H5-1,"nm")</f>
        <v>-0.0122603365071083</v>
      </c>
      <c r="J6" s="54" t="n">
        <f aca="false">+IFERROR(J5/I5-1,"nm")</f>
        <v>0</v>
      </c>
      <c r="K6" s="54" t="n">
        <f aca="false">+IFERROR(K5/J5-1,"nm")</f>
        <v>0</v>
      </c>
      <c r="L6" s="54" t="n">
        <f aca="false">+IFERROR(L5/K5-1,"nm")</f>
        <v>0</v>
      </c>
      <c r="M6" s="54" t="n">
        <f aca="false">+IFERROR(M5/L5-1,"nm")</f>
        <v>0</v>
      </c>
      <c r="N6" s="54" t="n">
        <f aca="false">+IFERROR(N5/M5-1,"nm")</f>
        <v>0</v>
      </c>
    </row>
    <row r="7" customFormat="false" ht="14.25" hidden="false" customHeight="false" outlineLevel="0" collapsed="false">
      <c r="A7" s="53" t="s">
        <v>145</v>
      </c>
      <c r="B7" s="54" t="n">
        <f aca="false">+IFERROR(B5/B$3,"nm")</f>
        <v>0.158132087186693</v>
      </c>
      <c r="C7" s="54" t="n">
        <f aca="false">+IFERROR(C5/C$3,"nm")</f>
        <v>0.163423523597727</v>
      </c>
      <c r="D7" s="54" t="n">
        <f aca="false">+IFERROR(D5/D$3,"nm")</f>
        <v>0.164512372634643</v>
      </c>
      <c r="E7" s="54" t="n">
        <f aca="false">+IFERROR(E5/E$3,"nm")</f>
        <v>0.140835783168943</v>
      </c>
      <c r="F7" s="54" t="n">
        <f aca="false">+IFERROR(F5/F$3,"nm")</f>
        <v>0.1420098678324</v>
      </c>
      <c r="G7" s="54" t="n">
        <f aca="false">+IFERROR(G5/G$3,"nm")</f>
        <v>0.0988423388498249</v>
      </c>
      <c r="H7" s="54" t="n">
        <f aca="false">+IFERROR(H5/H$3,"nm")</f>
        <v>0.172145134491895</v>
      </c>
      <c r="I7" s="54" t="n">
        <f aca="false">+IFERROR(I5/I$3,"nm")</f>
        <v>0.162128023977735</v>
      </c>
      <c r="J7" s="54" t="n">
        <f aca="false">+IFERROR(J5/J$3,"nm")</f>
        <v>0.162128023977735</v>
      </c>
      <c r="K7" s="54" t="n">
        <f aca="false">+IFERROR(K5/K$3,"nm")</f>
        <v>0.162128023977735</v>
      </c>
      <c r="L7" s="54" t="n">
        <f aca="false">+IFERROR(L5/L$3,"nm")</f>
        <v>0.162128023977735</v>
      </c>
      <c r="M7" s="54" t="n">
        <f aca="false">+IFERROR(M5/M$3,"nm")</f>
        <v>0.162128023977735</v>
      </c>
      <c r="N7" s="54" t="n">
        <f aca="false">+IFERROR(N5/N$3,"nm")</f>
        <v>0.162128023977735</v>
      </c>
    </row>
    <row r="8" customFormat="false" ht="14.25" hidden="false" customHeight="false" outlineLevel="0" collapsed="false">
      <c r="A8" s="15" t="s">
        <v>146</v>
      </c>
      <c r="B8" s="8" t="n">
        <f aca="false">B38+B69+B100+B131+B152+B187+B208</f>
        <v>606</v>
      </c>
      <c r="C8" s="8" t="n">
        <f aca="false">C38+C69+C100+C131+C152+C187+C208</f>
        <v>649</v>
      </c>
      <c r="D8" s="8" t="n">
        <f aca="false">D38+D69+D100+D131+D152+D187+D208</f>
        <v>706</v>
      </c>
      <c r="E8" s="8" t="n">
        <f aca="false">E38+E69+E100+E131+E152+E187+E208</f>
        <v>747</v>
      </c>
      <c r="F8" s="8" t="n">
        <f aca="false">F38+F69+F100+F131+F152+F187+F208</f>
        <v>705</v>
      </c>
      <c r="G8" s="8" t="n">
        <f aca="false">G38+G69+G100+G131+G152+G187+G208</f>
        <v>721</v>
      </c>
      <c r="H8" s="8" t="n">
        <f aca="false">H38+H69+H100+H131+H152+H187+H208</f>
        <v>744</v>
      </c>
      <c r="I8" s="8" t="n">
        <f aca="false">I38+I69+I100+I131+I152+I187+I208</f>
        <v>717</v>
      </c>
      <c r="J8" s="55" t="n">
        <f aca="false">J38+J69+J100+J131+J152+J187+J208</f>
        <v>717</v>
      </c>
      <c r="K8" s="55" t="n">
        <f aca="false">K38+K69+K100+K131+K152+K187+K208</f>
        <v>717</v>
      </c>
      <c r="L8" s="55" t="n">
        <f aca="false">L38+L69+L100+L131+L152+L187+L208</f>
        <v>717</v>
      </c>
      <c r="M8" s="55" t="n">
        <f aca="false">M38+M69+M100+M131+M152+M187+M208</f>
        <v>717</v>
      </c>
      <c r="N8" s="55" t="n">
        <f aca="false">N38+N69+N100+N131+N152+N187+N208</f>
        <v>717</v>
      </c>
    </row>
    <row r="9" customFormat="false" ht="14.25" hidden="false" customHeight="false" outlineLevel="0" collapsed="false">
      <c r="A9" s="53" t="s">
        <v>143</v>
      </c>
      <c r="B9" s="54" t="str">
        <f aca="false">+IFERROR(B8/A8-1,"nm")</f>
        <v>nm</v>
      </c>
      <c r="C9" s="54" t="n">
        <f aca="false">+IFERROR(C8/B8-1,"nm")</f>
        <v>0.0709570957095709</v>
      </c>
      <c r="D9" s="54" t="n">
        <f aca="false">+IFERROR(D8/C8-1,"nm")</f>
        <v>0.0878274268104777</v>
      </c>
      <c r="E9" s="54" t="n">
        <f aca="false">+IFERROR(E8/D8-1,"nm")</f>
        <v>0.0580736543909348</v>
      </c>
      <c r="F9" s="54" t="n">
        <f aca="false">+IFERROR(F8/E8-1,"nm")</f>
        <v>-0.0562248995983936</v>
      </c>
      <c r="G9" s="54" t="n">
        <f aca="false">+IFERROR(G8/F8-1,"nm")</f>
        <v>0.0226950354609929</v>
      </c>
      <c r="H9" s="54" t="n">
        <f aca="false">+IFERROR(H8/G8-1,"nm")</f>
        <v>0.0319001386962552</v>
      </c>
      <c r="I9" s="54" t="n">
        <f aca="false">+IFERROR(I8/H8-1,"nm")</f>
        <v>-0.0362903225806451</v>
      </c>
      <c r="J9" s="54" t="n">
        <f aca="false">+IFERROR(J8/I8-1,"nm")</f>
        <v>0</v>
      </c>
      <c r="K9" s="54" t="n">
        <f aca="false">+IFERROR(K8/J8-1,"nm")</f>
        <v>0</v>
      </c>
      <c r="L9" s="54" t="n">
        <f aca="false">+IFERROR(L8/K8-1,"nm")</f>
        <v>0</v>
      </c>
      <c r="M9" s="54" t="n">
        <f aca="false">+IFERROR(M8/L8-1,"nm")</f>
        <v>0</v>
      </c>
      <c r="N9" s="54" t="n">
        <f aca="false">+IFERROR(N8/M8-1,"nm")</f>
        <v>0</v>
      </c>
    </row>
    <row r="10" customFormat="false" ht="14.25" hidden="false" customHeight="false" outlineLevel="0" collapsed="false">
      <c r="A10" s="53" t="s">
        <v>147</v>
      </c>
      <c r="B10" s="54" t="n">
        <f aca="false">+IFERROR(B8/B$3,"nm")</f>
        <v>0.0198032744027973</v>
      </c>
      <c r="C10" s="54" t="n">
        <f aca="false">+IFERROR(C8/C$3,"nm")</f>
        <v>0.0200457128737336</v>
      </c>
      <c r="D10" s="54" t="n">
        <f aca="false">+IFERROR(D8/D$3,"nm")</f>
        <v>0.0205531295487627</v>
      </c>
      <c r="E10" s="54" t="n">
        <f aca="false">+IFERROR(E8/E$3,"nm")</f>
        <v>0.0205236695332033</v>
      </c>
      <c r="F10" s="54" t="n">
        <f aca="false">+IFERROR(F8/F$3,"nm")</f>
        <v>0.0180228545133829</v>
      </c>
      <c r="G10" s="54" t="n">
        <f aca="false">+IFERROR(G8/G$3,"nm")</f>
        <v>0.0192765286206989</v>
      </c>
      <c r="H10" s="54" t="n">
        <f aca="false">+IFERROR(H8/H$3,"nm")</f>
        <v>0.0167048363195474</v>
      </c>
      <c r="I10" s="54" t="n">
        <f aca="false">+IFERROR(I8/I$3,"nm")</f>
        <v>0.0153500321130379</v>
      </c>
      <c r="J10" s="54" t="n">
        <f aca="false">+IFERROR(J8/J$3,"nm")</f>
        <v>0.0153500321130379</v>
      </c>
      <c r="K10" s="54" t="n">
        <f aca="false">+IFERROR(K8/K$3,"nm")</f>
        <v>0.0153500321130379</v>
      </c>
      <c r="L10" s="54" t="n">
        <f aca="false">+IFERROR(L8/L$3,"nm")</f>
        <v>0.0153500321130379</v>
      </c>
      <c r="M10" s="54" t="n">
        <f aca="false">+IFERROR(M8/M$3,"nm")</f>
        <v>0.0153500321130379</v>
      </c>
      <c r="N10" s="54" t="n">
        <f aca="false">+IFERROR(N8/N$3,"nm")</f>
        <v>0.0153500321130379</v>
      </c>
    </row>
    <row r="11" customFormat="false" ht="14.25" hidden="false" customHeight="false" outlineLevel="0" collapsed="false">
      <c r="A11" s="15" t="s">
        <v>148</v>
      </c>
      <c r="B11" s="8" t="n">
        <f aca="false">B42+B73+B104+B135+B156+B191+B212</f>
        <v>4233</v>
      </c>
      <c r="C11" s="8" t="n">
        <f aca="false">C42+C73+C104+C135+C156+C191+C212</f>
        <v>4642</v>
      </c>
      <c r="D11" s="8" t="n">
        <f aca="false">D42+D73+D104+D135+D156+D191+D212</f>
        <v>4945</v>
      </c>
      <c r="E11" s="8" t="n">
        <f aca="false">E42+E73+E104+E135+E156+E191+E212</f>
        <v>4379</v>
      </c>
      <c r="F11" s="8" t="n">
        <f aca="false">F42+F73+F104+F135+F156+F191+F212</f>
        <v>4850</v>
      </c>
      <c r="G11" s="8" t="n">
        <f aca="false">G42+G73+G104+G135+G156+G191+G212</f>
        <v>2976</v>
      </c>
      <c r="H11" s="8" t="n">
        <f aca="false">H42+H73+H104+H135+H156+H191+H212</f>
        <v>6923</v>
      </c>
      <c r="I11" s="8" t="n">
        <f aca="false">I42+I73+I104+I135+I156+I191+I212</f>
        <v>6856</v>
      </c>
      <c r="J11" s="55" t="n">
        <f aca="false">J42+J73+J104+J135+J156+J191+J212</f>
        <v>6856</v>
      </c>
      <c r="K11" s="55" t="n">
        <f aca="false">K42+K73+K104+K135+K156+K191+K212</f>
        <v>6856</v>
      </c>
      <c r="L11" s="55" t="n">
        <f aca="false">L42+L73+L104+L135+L156+L191+L212</f>
        <v>6856</v>
      </c>
      <c r="M11" s="55" t="n">
        <f aca="false">M42+M73+M104+M135+M156+M191+M212</f>
        <v>6856</v>
      </c>
      <c r="N11" s="55" t="n">
        <f aca="false">N42+N73+N104+N135+N156+N191+N212</f>
        <v>6856</v>
      </c>
    </row>
    <row r="12" customFormat="false" ht="14.25" hidden="false" customHeight="false" outlineLevel="0" collapsed="false">
      <c r="A12" s="53" t="s">
        <v>143</v>
      </c>
      <c r="B12" s="54" t="str">
        <f aca="false">+IFERROR(B11/A11-1,"nm")</f>
        <v>nm</v>
      </c>
      <c r="C12" s="54" t="n">
        <f aca="false">+IFERROR(C11/B11-1,"nm")</f>
        <v>0.0966217812426176</v>
      </c>
      <c r="D12" s="54" t="n">
        <f aca="false">+IFERROR(D11/C11-1,"nm")</f>
        <v>0.0652735889702714</v>
      </c>
      <c r="E12" s="54" t="n">
        <f aca="false">+IFERROR(E11/D11-1,"nm")</f>
        <v>-0.114459049544995</v>
      </c>
      <c r="F12" s="54" t="n">
        <f aca="false">+IFERROR(F11/E11-1,"nm")</f>
        <v>0.107558803379767</v>
      </c>
      <c r="G12" s="54" t="n">
        <f aca="false">+IFERROR(G11/F11-1,"nm")</f>
        <v>-0.38639175257732</v>
      </c>
      <c r="H12" s="54" t="n">
        <f aca="false">+IFERROR(H11/G11-1,"nm")</f>
        <v>1.32627688172043</v>
      </c>
      <c r="I12" s="54" t="n">
        <f aca="false">+IFERROR(I11/H11-1,"nm")</f>
        <v>-0.00967788530983682</v>
      </c>
      <c r="J12" s="54" t="n">
        <f aca="false">+IFERROR(J11/I11-1,"nm")</f>
        <v>0</v>
      </c>
      <c r="K12" s="54" t="n">
        <f aca="false">+IFERROR(K11/J11-1,"nm")</f>
        <v>0</v>
      </c>
      <c r="L12" s="54" t="n">
        <f aca="false">+IFERROR(L11/K11-1,"nm")</f>
        <v>0</v>
      </c>
      <c r="M12" s="54" t="n">
        <f aca="false">+IFERROR(M11/L11-1,"nm")</f>
        <v>0</v>
      </c>
      <c r="N12" s="54" t="n">
        <f aca="false">+IFERROR(N11/M11-1,"nm")</f>
        <v>0</v>
      </c>
    </row>
    <row r="13" customFormat="false" ht="14.25" hidden="false" customHeight="false" outlineLevel="0" collapsed="false">
      <c r="A13" s="53" t="s">
        <v>145</v>
      </c>
      <c r="B13" s="54" t="n">
        <f aca="false">+IFERROR(B11/B$3,"nm")</f>
        <v>0.138328812783896</v>
      </c>
      <c r="C13" s="54" t="n">
        <f aca="false">+IFERROR(C11/C$3,"nm")</f>
        <v>0.143377810723993</v>
      </c>
      <c r="D13" s="54" t="n">
        <f aca="false">+IFERROR(D11/D$3,"nm")</f>
        <v>0.143959243085881</v>
      </c>
      <c r="E13" s="54" t="n">
        <f aca="false">+IFERROR(E11/E$3,"nm")</f>
        <v>0.120312113635739</v>
      </c>
      <c r="F13" s="54" t="n">
        <f aca="false">+IFERROR(F11/F$3,"nm")</f>
        <v>0.123987013319017</v>
      </c>
      <c r="G13" s="54" t="n">
        <f aca="false">+IFERROR(G11/G$3,"nm")</f>
        <v>0.079565810229126</v>
      </c>
      <c r="H13" s="54" t="n">
        <f aca="false">+IFERROR(H11/H$3,"nm")</f>
        <v>0.155440298172347</v>
      </c>
      <c r="I13" s="54" t="n">
        <f aca="false">+IFERROR(I11/I$3,"nm")</f>
        <v>0.146777991864697</v>
      </c>
      <c r="J13" s="54" t="n">
        <f aca="false">+IFERROR(J11/J$3,"nm")</f>
        <v>0.146777991864697</v>
      </c>
      <c r="K13" s="54" t="n">
        <f aca="false">+IFERROR(K11/K$3,"nm")</f>
        <v>0.146777991864697</v>
      </c>
      <c r="L13" s="54" t="n">
        <f aca="false">+IFERROR(L11/L$3,"nm")</f>
        <v>0.146777991864697</v>
      </c>
      <c r="M13" s="54" t="n">
        <f aca="false">+IFERROR(M11/M$3,"nm")</f>
        <v>0.146777991864697</v>
      </c>
      <c r="N13" s="54" t="n">
        <f aca="false">+IFERROR(N11/N$3,"nm")</f>
        <v>0.146777991864697</v>
      </c>
    </row>
    <row r="14" customFormat="false" ht="14.25" hidden="false" customHeight="false" outlineLevel="0" collapsed="false">
      <c r="A14" s="15" t="s">
        <v>149</v>
      </c>
      <c r="B14" s="8" t="n">
        <f aca="false">B45+B76+B107+B138+B159+B194+B215+B224</f>
        <v>963</v>
      </c>
      <c r="C14" s="8" t="n">
        <f aca="false">C45+C76+C107+C138+C159+C194+C215+C224</f>
        <v>1143</v>
      </c>
      <c r="D14" s="8" t="n">
        <f aca="false">D45+D76+D107+D138+D159+D194+D215+D224</f>
        <v>1105</v>
      </c>
      <c r="E14" s="8" t="n">
        <f aca="false">E45+E76+E107+E138+E159+E194+E215+E224</f>
        <v>1028</v>
      </c>
      <c r="F14" s="8" t="n">
        <f aca="false">F45+F76+F107+F138+F159+F194+F215+F224</f>
        <v>1119</v>
      </c>
      <c r="G14" s="8" t="n">
        <f aca="false">G45+G76+G107+G138+G159+G194+G215+G224</f>
        <v>1086</v>
      </c>
      <c r="H14" s="8" t="n">
        <f aca="false">H45+H76+H107+H138+H159+H194+H215+H224</f>
        <v>695</v>
      </c>
      <c r="I14" s="8" t="n">
        <f aca="false">I45+I76+I107+I138+I159+I194+I215+I224</f>
        <v>758</v>
      </c>
      <c r="J14" s="55" t="n">
        <f aca="false">J45+J76+J107+J138+J159+J194+J215</f>
        <v>758</v>
      </c>
      <c r="K14" s="55" t="n">
        <f aca="false">K45+K76+K107+K138+K159+K194+K215</f>
        <v>758</v>
      </c>
      <c r="L14" s="55" t="n">
        <f aca="false">L45+L76+L107+L138+L159+L194+L215</f>
        <v>758</v>
      </c>
      <c r="M14" s="55" t="n">
        <f aca="false">M45+M76+M107+M138+M159+M194+M215</f>
        <v>758</v>
      </c>
      <c r="N14" s="55" t="n">
        <f aca="false">N45+N76+N107+N138+N159+N194+N215</f>
        <v>758</v>
      </c>
    </row>
    <row r="15" customFormat="false" ht="14.25" hidden="false" customHeight="false" outlineLevel="0" collapsed="false">
      <c r="A15" s="53" t="s">
        <v>143</v>
      </c>
      <c r="B15" s="54" t="str">
        <f aca="false">+IFERROR(B14/A14-1,"nm")</f>
        <v>nm</v>
      </c>
      <c r="C15" s="54" t="n">
        <f aca="false">+IFERROR(C14/B14-1,"nm")</f>
        <v>0.186915887850467</v>
      </c>
      <c r="D15" s="54" t="n">
        <f aca="false">+IFERROR(D14/C14-1,"nm")</f>
        <v>-0.0332458442694663</v>
      </c>
      <c r="E15" s="54" t="n">
        <f aca="false">+IFERROR(E14/D14-1,"nm")</f>
        <v>-0.069683257918552</v>
      </c>
      <c r="F15" s="54" t="n">
        <f aca="false">+IFERROR(F14/E14-1,"nm")</f>
        <v>0.08852140077821</v>
      </c>
      <c r="G15" s="54" t="n">
        <f aca="false">+IFERROR(G14/F14-1,"nm")</f>
        <v>-0.0294906166219839</v>
      </c>
      <c r="H15" s="54" t="n">
        <f aca="false">+IFERROR(H14/G14-1,"nm")</f>
        <v>-0.360036832412523</v>
      </c>
      <c r="I15" s="54" t="n">
        <f aca="false">+IFERROR(I14/H14-1,"nm")</f>
        <v>0.0906474820143886</v>
      </c>
      <c r="J15" s="54" t="n">
        <f aca="false">+IFERROR(J14/I14-1,"nm")</f>
        <v>0</v>
      </c>
      <c r="K15" s="54" t="n">
        <f aca="false">+IFERROR(K14/J14-1,"nm")</f>
        <v>0</v>
      </c>
      <c r="L15" s="54" t="n">
        <f aca="false">+IFERROR(L14/K14-1,"nm")</f>
        <v>0</v>
      </c>
      <c r="M15" s="54" t="n">
        <f aca="false">+IFERROR(M14/L14-1,"nm")</f>
        <v>0</v>
      </c>
      <c r="N15" s="54" t="n">
        <f aca="false">+IFERROR(N14/M14-1,"nm")</f>
        <v>0</v>
      </c>
    </row>
    <row r="16" customFormat="false" ht="14.25" hidden="false" customHeight="false" outlineLevel="0" collapsed="false">
      <c r="A16" s="53" t="s">
        <v>147</v>
      </c>
      <c r="B16" s="54" t="n">
        <f aca="false">+IFERROR(B14/B$3,"nm")</f>
        <v>0.0314695598183066</v>
      </c>
      <c r="C16" s="54" t="n">
        <f aca="false">+IFERROR(C14/C$3,"nm")</f>
        <v>0.035303928836175</v>
      </c>
      <c r="D16" s="54" t="n">
        <f aca="false">+IFERROR(D14/D$3,"nm")</f>
        <v>0.0321688500727802</v>
      </c>
      <c r="E16" s="54" t="n">
        <f aca="false">+IFERROR(E14/E$3,"nm")</f>
        <v>0.0282440860510482</v>
      </c>
      <c r="F16" s="54" t="n">
        <f aca="false">+IFERROR(F14/F$3,"nm")</f>
        <v>0.0286064882276248</v>
      </c>
      <c r="G16" s="54" t="n">
        <f aca="false">+IFERROR(G14/G$3,"nm")</f>
        <v>0.0290351041360319</v>
      </c>
      <c r="H16" s="54" t="n">
        <f aca="false">+IFERROR(H14/H$3,"nm")</f>
        <v>0.015604652207104</v>
      </c>
      <c r="I16" s="54" t="n">
        <f aca="false">+IFERROR(I14/I$3,"nm")</f>
        <v>0.0162277884821237</v>
      </c>
      <c r="J16" s="54" t="n">
        <f aca="false">+IFERROR(J14/J$3,"nm")</f>
        <v>0.0162277884821237</v>
      </c>
      <c r="K16" s="54" t="n">
        <f aca="false">+IFERROR(K14/K$3,"nm")</f>
        <v>0.0162277884821237</v>
      </c>
      <c r="L16" s="54" t="n">
        <f aca="false">+IFERROR(L14/L$3,"nm")</f>
        <v>0.0162277884821237</v>
      </c>
      <c r="M16" s="54" t="n">
        <f aca="false">+IFERROR(M14/M$3,"nm")</f>
        <v>0.0162277884821237</v>
      </c>
      <c r="N16" s="54" t="n">
        <f aca="false">+IFERROR(N14/N$3,"nm")</f>
        <v>0.0162277884821237</v>
      </c>
    </row>
    <row r="17" customFormat="false" ht="14.25" hidden="false" customHeight="false" outlineLevel="0" collapsed="false">
      <c r="A17" s="15" t="s">
        <v>150</v>
      </c>
      <c r="B17" s="8" t="n">
        <f aca="false">B48+B79+B110+B141+B162+B197+B218</f>
        <v>2825</v>
      </c>
      <c r="C17" s="8" t="n">
        <f aca="false">C48+C79+C110+C141+C162+C197+C218</f>
        <v>3313</v>
      </c>
      <c r="D17" s="8" t="n">
        <f aca="false">D48+D79+D110+D141+D162+D197+D218</f>
        <v>3774</v>
      </c>
      <c r="E17" s="8" t="n">
        <f aca="false">E48+E79+E110+E141+E162+E197+E218</f>
        <v>4230</v>
      </c>
      <c r="F17" s="8" t="n">
        <f aca="false">F48+F79+F110+F141+F162+F197+F218</f>
        <v>4518</v>
      </c>
      <c r="G17" s="8" t="n">
        <f aca="false">G48+G79+G110+G141+G162+G197+G218</f>
        <v>4650</v>
      </c>
      <c r="H17" s="8" t="n">
        <f aca="false">H48+H79+H110+H141+H162+H197+H218</f>
        <v>4663</v>
      </c>
      <c r="I17" s="8" t="n">
        <f aca="false">I48+I79+I110+I141+I162+I197+I218</f>
        <v>4566</v>
      </c>
      <c r="J17" s="55" t="n">
        <f aca="false">J48+J79+J110+J141+J162+J197+J218</f>
        <v>4566</v>
      </c>
      <c r="K17" s="55" t="n">
        <f aca="false">K48+K79+K110+K141+K162+K197+K218</f>
        <v>4566</v>
      </c>
      <c r="L17" s="55" t="n">
        <f aca="false">L48+L79+L110+L141+L162+L197+L218</f>
        <v>4566</v>
      </c>
      <c r="M17" s="55" t="n">
        <f aca="false">M48+M79+M110+M141+M162+M197+M218</f>
        <v>4566</v>
      </c>
      <c r="N17" s="55" t="n">
        <f aca="false">N48+N79+N110+N141+N162+N197+N218</f>
        <v>4566</v>
      </c>
    </row>
    <row r="18" customFormat="false" ht="14.25" hidden="false" customHeight="false" outlineLevel="0" collapsed="false">
      <c r="A18" s="53" t="s">
        <v>143</v>
      </c>
      <c r="B18" s="54" t="str">
        <f aca="false">+IFERROR(B17/A17-1,"nm")</f>
        <v>nm</v>
      </c>
      <c r="C18" s="54" t="n">
        <f aca="false">+IFERROR(C17/B17-1,"nm")</f>
        <v>0.172743362831858</v>
      </c>
      <c r="D18" s="54" t="n">
        <f aca="false">+IFERROR(D17/C17-1,"nm")</f>
        <v>0.139148807727135</v>
      </c>
      <c r="E18" s="54" t="n">
        <f aca="false">+IFERROR(E17/D17-1,"nm")</f>
        <v>0.120826709062003</v>
      </c>
      <c r="F18" s="54" t="n">
        <f aca="false">+IFERROR(F17/E17-1,"nm")</f>
        <v>0.0680851063829788</v>
      </c>
      <c r="G18" s="54" t="n">
        <f aca="false">+IFERROR(G17/F17-1,"nm")</f>
        <v>0.0292164674634794</v>
      </c>
      <c r="H18" s="54" t="n">
        <f aca="false">+IFERROR(H17/G17-1,"nm")</f>
        <v>0.00279569892473108</v>
      </c>
      <c r="I18" s="54" t="n">
        <f aca="false">+IFERROR(I17/H17-1,"nm")</f>
        <v>-0.0208020587604546</v>
      </c>
      <c r="J18" s="54" t="n">
        <f aca="false">+IFERROR(J17/I17-1,"nm")</f>
        <v>0</v>
      </c>
      <c r="K18" s="54" t="n">
        <f aca="false">+IFERROR(K17/J17-1,"nm")</f>
        <v>0</v>
      </c>
      <c r="L18" s="54" t="n">
        <f aca="false">+IFERROR(L17/K17-1,"nm")</f>
        <v>0</v>
      </c>
      <c r="M18" s="54" t="n">
        <f aca="false">+IFERROR(M17/L17-1,"nm")</f>
        <v>0</v>
      </c>
      <c r="N18" s="54" t="n">
        <f aca="false">+IFERROR(N17/M17-1,"nm")</f>
        <v>0</v>
      </c>
    </row>
    <row r="19" customFormat="false" ht="14.25" hidden="false" customHeight="false" outlineLevel="0" collapsed="false">
      <c r="A19" s="53" t="s">
        <v>147</v>
      </c>
      <c r="B19" s="54" t="n">
        <f aca="false">+IFERROR(B17/B$3,"nm")</f>
        <v>0.0923172445344923</v>
      </c>
      <c r="C19" s="54" t="n">
        <f aca="false">+IFERROR(C17/C$3,"nm")</f>
        <v>0.102328885594267</v>
      </c>
      <c r="D19" s="54" t="n">
        <f aca="false">+IFERROR(D17/D$3,"nm")</f>
        <v>0.109868995633188</v>
      </c>
      <c r="E19" s="54" t="n">
        <f aca="false">+IFERROR(E17/E$3,"nm")</f>
        <v>0.11621836964585</v>
      </c>
      <c r="F19" s="54" t="n">
        <f aca="false">+IFERROR(F17/F$3,"nm")</f>
        <v>0.115499654881509</v>
      </c>
      <c r="G19" s="54" t="n">
        <f aca="false">+IFERROR(G17/G$3,"nm")</f>
        <v>0.124321578483009</v>
      </c>
      <c r="H19" s="54" t="n">
        <f aca="false">+IFERROR(H17/H$3,"nm")</f>
        <v>0.104697112578023</v>
      </c>
      <c r="I19" s="54" t="n">
        <f aca="false">+IFERROR(I17/I$3,"nm")</f>
        <v>0.0977520873474631</v>
      </c>
      <c r="J19" s="54" t="n">
        <f aca="false">+IFERROR(J17/J$3,"nm")</f>
        <v>0.0977520873474631</v>
      </c>
      <c r="K19" s="54" t="n">
        <f aca="false">+IFERROR(K17/K$3,"nm")</f>
        <v>0.0977520873474631</v>
      </c>
      <c r="L19" s="54" t="n">
        <f aca="false">+IFERROR(L17/L$3,"nm")</f>
        <v>0.0977520873474631</v>
      </c>
      <c r="M19" s="54" t="n">
        <f aca="false">+IFERROR(M17/M$3,"nm")</f>
        <v>0.0977520873474631</v>
      </c>
      <c r="N19" s="54" t="n">
        <f aca="false">+IFERROR(N17/N$3,"nm")</f>
        <v>0.0977520873474631</v>
      </c>
    </row>
    <row r="20" customFormat="false" ht="14.25" hidden="false" customHeight="false" outlineLevel="0" collapsed="false">
      <c r="A20" s="56" t="str">
        <f aca="false">+Historicals!A110</f>
        <v>North America</v>
      </c>
      <c r="B20" s="57"/>
      <c r="C20" s="57"/>
      <c r="D20" s="57"/>
      <c r="E20" s="57"/>
      <c r="F20" s="57"/>
      <c r="G20" s="57"/>
      <c r="H20" s="57"/>
      <c r="I20" s="57"/>
      <c r="J20" s="51"/>
      <c r="K20" s="51"/>
      <c r="L20" s="51"/>
      <c r="M20" s="51"/>
      <c r="N20" s="51"/>
    </row>
    <row r="21" customFormat="false" ht="14.25" hidden="false" customHeight="false" outlineLevel="0" collapsed="false">
      <c r="A21" s="15" t="s">
        <v>151</v>
      </c>
      <c r="B21" s="15" t="n">
        <f aca="false">+Historicals!B110</f>
        <v>13740</v>
      </c>
      <c r="C21" s="15" t="n">
        <f aca="false">+Historicals!C110</f>
        <v>14764</v>
      </c>
      <c r="D21" s="15" t="n">
        <f aca="false">+Historicals!D110</f>
        <v>15216</v>
      </c>
      <c r="E21" s="15" t="n">
        <f aca="false">+Historicals!E110</f>
        <v>14855</v>
      </c>
      <c r="F21" s="15" t="n">
        <f aca="false">+Historicals!F110</f>
        <v>15902</v>
      </c>
      <c r="G21" s="15" t="n">
        <f aca="false">+Historicals!G110</f>
        <v>14484</v>
      </c>
      <c r="H21" s="15" t="n">
        <f aca="false">+Historicals!H110</f>
        <v>17179</v>
      </c>
      <c r="I21" s="15" t="n">
        <f aca="false">+Historicals!I110</f>
        <v>18353</v>
      </c>
      <c r="J21" s="15" t="n">
        <f aca="false">+SUM(J23+J27+J31)</f>
        <v>18353</v>
      </c>
      <c r="K21" s="15" t="n">
        <f aca="false">+SUM(K23+K27+K31)</f>
        <v>18353</v>
      </c>
      <c r="L21" s="15" t="n">
        <f aca="false">+SUM(L23+L27+L31)</f>
        <v>18353</v>
      </c>
      <c r="M21" s="15" t="n">
        <f aca="false">+SUM(M23+M27+M31)</f>
        <v>18353</v>
      </c>
      <c r="N21" s="15" t="n">
        <f aca="false">+SUM(N23+N27+N31)</f>
        <v>18353</v>
      </c>
    </row>
    <row r="22" customFormat="false" ht="14.25" hidden="false" customHeight="false" outlineLevel="0" collapsed="false">
      <c r="A22" s="58" t="s">
        <v>143</v>
      </c>
      <c r="B22" s="54" t="str">
        <f aca="false">+IFERROR(B21/A21-1,"nm")</f>
        <v>nm</v>
      </c>
      <c r="C22" s="54" t="n">
        <f aca="false">+IFERROR(C21/B21-1,"nm")</f>
        <v>0.0745269286754002</v>
      </c>
      <c r="D22" s="54" t="n">
        <f aca="false">+IFERROR(D21/C21-1,"nm")</f>
        <v>0.030615009482525</v>
      </c>
      <c r="E22" s="54" t="n">
        <f aca="false">+IFERROR(E21/D21-1,"nm")</f>
        <v>-0.0237250262881178</v>
      </c>
      <c r="F22" s="54" t="n">
        <f aca="false">+IFERROR(F21/E21-1,"nm")</f>
        <v>0.0704813194210703</v>
      </c>
      <c r="G22" s="54" t="n">
        <f aca="false">+IFERROR(G21/F21-1,"nm")</f>
        <v>-0.0891711734373035</v>
      </c>
      <c r="H22" s="54" t="n">
        <f aca="false">+IFERROR(H21/G21-1,"nm")</f>
        <v>0.186067384700359</v>
      </c>
      <c r="I22" s="54" t="n">
        <f aca="false">+IFERROR(I21/H21-1,"nm")</f>
        <v>0.0683392514116072</v>
      </c>
      <c r="J22" s="54" t="n">
        <f aca="false">+IFERROR(J21/I21-1,"nm")</f>
        <v>0</v>
      </c>
      <c r="K22" s="54" t="n">
        <f aca="false">+IFERROR(K21/J21-1,"nm")</f>
        <v>0</v>
      </c>
      <c r="L22" s="54" t="n">
        <f aca="false">+IFERROR(L21/K21-1,"nm")</f>
        <v>0</v>
      </c>
      <c r="M22" s="54" t="n">
        <f aca="false">+IFERROR(M21/L21-1,"nm")</f>
        <v>0</v>
      </c>
      <c r="N22" s="54" t="n">
        <f aca="false">+IFERROR(N21/M21-1,"nm")</f>
        <v>0</v>
      </c>
    </row>
    <row r="23" customFormat="false" ht="14.25" hidden="false" customHeight="false" outlineLevel="0" collapsed="false">
      <c r="A23" s="59" t="s">
        <v>115</v>
      </c>
      <c r="B23" s="15" t="n">
        <f aca="false">+Historicals!B111</f>
        <v>8506</v>
      </c>
      <c r="C23" s="15" t="n">
        <f aca="false">+Historicals!C111</f>
        <v>9299</v>
      </c>
      <c r="D23" s="15" t="n">
        <f aca="false">+Historicals!D111</f>
        <v>9684</v>
      </c>
      <c r="E23" s="15" t="n">
        <f aca="false">+Historicals!E111</f>
        <v>9322</v>
      </c>
      <c r="F23" s="15" t="n">
        <f aca="false">+Historicals!F111</f>
        <v>10045</v>
      </c>
      <c r="G23" s="15" t="n">
        <f aca="false">+Historicals!G111</f>
        <v>9329</v>
      </c>
      <c r="H23" s="15" t="n">
        <f aca="false">+Historicals!H111</f>
        <v>11644</v>
      </c>
      <c r="I23" s="15" t="n">
        <f aca="false">+Historicals!I111</f>
        <v>12228</v>
      </c>
      <c r="J23" s="15" t="n">
        <f aca="false">+I23*(1+J24)</f>
        <v>12228</v>
      </c>
      <c r="K23" s="15" t="n">
        <f aca="false">+J23*(1+K24)</f>
        <v>12228</v>
      </c>
      <c r="L23" s="15" t="n">
        <f aca="false">+K23*(1+L24)</f>
        <v>12228</v>
      </c>
      <c r="M23" s="15" t="n">
        <f aca="false">+L23*(1+M24)</f>
        <v>12228</v>
      </c>
      <c r="N23" s="15" t="n">
        <f aca="false">+M23*(1+N24)</f>
        <v>12228</v>
      </c>
    </row>
    <row r="24" customFormat="false" ht="14.25" hidden="false" customHeight="false" outlineLevel="0" collapsed="false">
      <c r="A24" s="58" t="s">
        <v>143</v>
      </c>
      <c r="B24" s="54" t="str">
        <f aca="false">+IFERROR(B23/A23-1,"nm")</f>
        <v>nm</v>
      </c>
      <c r="C24" s="54" t="n">
        <f aca="false">+IFERROR(C23/B23-1,"nm")</f>
        <v>0.0932283094286386</v>
      </c>
      <c r="D24" s="54" t="n">
        <f aca="false">+IFERROR(D23/C23-1,"nm")</f>
        <v>0.0414023013227229</v>
      </c>
      <c r="E24" s="54" t="n">
        <f aca="false">+IFERROR(E23/D23-1,"nm")</f>
        <v>-0.0373812474184222</v>
      </c>
      <c r="F24" s="54" t="n">
        <f aca="false">+IFERROR(F23/E23-1,"nm")</f>
        <v>0.0775584638489595</v>
      </c>
      <c r="G24" s="54" t="n">
        <f aca="false">+IFERROR(G23/F23-1,"nm")</f>
        <v>-0.071279243404679</v>
      </c>
      <c r="H24" s="54" t="n">
        <f aca="false">+IFERROR(H23/G23-1,"nm")</f>
        <v>0.248150927216207</v>
      </c>
      <c r="I24" s="54" t="n">
        <f aca="false">+IFERROR(I23/H23-1,"nm")</f>
        <v>0.0501545860529027</v>
      </c>
      <c r="J24" s="54" t="n">
        <f aca="false">+J25+J26</f>
        <v>0</v>
      </c>
      <c r="K24" s="54" t="n">
        <f aca="false">+K25+K26</f>
        <v>0</v>
      </c>
      <c r="L24" s="54" t="n">
        <f aca="false">+L25+L26</f>
        <v>0</v>
      </c>
      <c r="M24" s="54" t="n">
        <f aca="false">+M25+M26</f>
        <v>0</v>
      </c>
      <c r="N24" s="54" t="n">
        <f aca="false">+N25+N26</f>
        <v>0</v>
      </c>
    </row>
    <row r="25" customFormat="false" ht="14.25" hidden="false" customHeight="false" outlineLevel="0" collapsed="false">
      <c r="A25" s="58" t="s">
        <v>152</v>
      </c>
      <c r="B25" s="54" t="n">
        <f aca="false">+Historicals!B184</f>
        <v>0.12</v>
      </c>
      <c r="C25" s="54" t="n">
        <f aca="false">+Historicals!C184</f>
        <v>0.09</v>
      </c>
      <c r="D25" s="54" t="n">
        <f aca="false">+Historicals!D184</f>
        <v>0.04</v>
      </c>
      <c r="E25" s="54" t="n">
        <f aca="false">+Historicals!E184</f>
        <v>-0.04</v>
      </c>
      <c r="F25" s="54" t="n">
        <f aca="false">+Historicals!F184</f>
        <v>0.08</v>
      </c>
      <c r="G25" s="54" t="n">
        <f aca="false">+Historicals!G184</f>
        <v>-0.07</v>
      </c>
      <c r="H25" s="54" t="n">
        <f aca="false">+Historicals!H184</f>
        <v>0.25</v>
      </c>
      <c r="I25" s="54" t="n">
        <f aca="false">+Historicals!I184</f>
        <v>0.05</v>
      </c>
      <c r="J25" s="60" t="n">
        <v>0</v>
      </c>
      <c r="K25" s="60" t="n">
        <f aca="false">+J25</f>
        <v>0</v>
      </c>
      <c r="L25" s="60" t="n">
        <f aca="false">+K25</f>
        <v>0</v>
      </c>
      <c r="M25" s="60" t="n">
        <f aca="false">+L25</f>
        <v>0</v>
      </c>
      <c r="N25" s="60" t="n">
        <f aca="false">+M25</f>
        <v>0</v>
      </c>
    </row>
    <row r="26" customFormat="false" ht="14.25" hidden="false" customHeight="false" outlineLevel="0" collapsed="false">
      <c r="A26" s="58" t="s">
        <v>153</v>
      </c>
      <c r="B26" s="54" t="str">
        <f aca="false">+IFERROR(B24-B25,"nm")</f>
        <v>nm</v>
      </c>
      <c r="C26" s="54" t="n">
        <f aca="false">+IFERROR(C24-C25,"nm")</f>
        <v>0.00322830942863858</v>
      </c>
      <c r="D26" s="54" t="n">
        <f aca="false">+IFERROR(D24-D25,"nm")</f>
        <v>0.00140230132272293</v>
      </c>
      <c r="E26" s="54" t="n">
        <f aca="false">+IFERROR(E24-E25,"nm")</f>
        <v>0.00261875258157781</v>
      </c>
      <c r="F26" s="54" t="n">
        <f aca="false">+IFERROR(F24-F25,"nm")</f>
        <v>-0.00244153615104052</v>
      </c>
      <c r="G26" s="54" t="n">
        <f aca="false">+IFERROR(G24-G25,"nm")</f>
        <v>-0.00127924340467894</v>
      </c>
      <c r="H26" s="54" t="n">
        <f aca="false">+IFERROR(H24-H25,"nm")</f>
        <v>-0.00184907278379254</v>
      </c>
      <c r="I26" s="54" t="n">
        <f aca="false">+IFERROR(I24-I25,"nm")</f>
        <v>0.00015458605290268</v>
      </c>
      <c r="J26" s="60" t="n">
        <v>0</v>
      </c>
      <c r="K26" s="60" t="n">
        <f aca="false">+J26</f>
        <v>0</v>
      </c>
      <c r="L26" s="60" t="n">
        <f aca="false">+K26</f>
        <v>0</v>
      </c>
      <c r="M26" s="60" t="n">
        <f aca="false">+L26</f>
        <v>0</v>
      </c>
      <c r="N26" s="60" t="n">
        <f aca="false">+M26</f>
        <v>0</v>
      </c>
    </row>
    <row r="27" customFormat="false" ht="14.25" hidden="false" customHeight="false" outlineLevel="0" collapsed="false">
      <c r="A27" s="59" t="s">
        <v>116</v>
      </c>
      <c r="B27" s="15" t="n">
        <f aca="false">+Historicals!B112</f>
        <v>4410</v>
      </c>
      <c r="C27" s="15" t="n">
        <f aca="false">+Historicals!C112</f>
        <v>4746</v>
      </c>
      <c r="D27" s="15" t="n">
        <f aca="false">+Historicals!D112</f>
        <v>4886</v>
      </c>
      <c r="E27" s="15" t="n">
        <f aca="false">+Historicals!E112</f>
        <v>4938</v>
      </c>
      <c r="F27" s="15" t="n">
        <f aca="false">+Historicals!F112</f>
        <v>5260</v>
      </c>
      <c r="G27" s="15" t="n">
        <f aca="false">+Historicals!G112</f>
        <v>4639</v>
      </c>
      <c r="H27" s="15" t="n">
        <f aca="false">+Historicals!H112</f>
        <v>5028</v>
      </c>
      <c r="I27" s="15" t="n">
        <f aca="false">+Historicals!I112</f>
        <v>5492</v>
      </c>
      <c r="J27" s="15" t="n">
        <f aca="false">+I27*(1+J28)</f>
        <v>5492</v>
      </c>
      <c r="K27" s="15" t="n">
        <f aca="false">+J27*(1+K28)</f>
        <v>5492</v>
      </c>
      <c r="L27" s="15" t="n">
        <f aca="false">+K27*(1+L28)</f>
        <v>5492</v>
      </c>
      <c r="M27" s="15" t="n">
        <f aca="false">+L27*(1+M28)</f>
        <v>5492</v>
      </c>
      <c r="N27" s="15" t="n">
        <f aca="false">+M27*(1+N28)</f>
        <v>5492</v>
      </c>
    </row>
    <row r="28" customFormat="false" ht="14.25" hidden="false" customHeight="false" outlineLevel="0" collapsed="false">
      <c r="A28" s="58" t="s">
        <v>143</v>
      </c>
      <c r="B28" s="54" t="str">
        <f aca="false">+IFERROR(B27/A27-1,"nm")</f>
        <v>nm</v>
      </c>
      <c r="C28" s="54" t="n">
        <f aca="false">+IFERROR(C27/B27-1,"nm")</f>
        <v>0.0761904761904761</v>
      </c>
      <c r="D28" s="54" t="n">
        <f aca="false">+IFERROR(D27/C27-1,"nm")</f>
        <v>0.0294985250737463</v>
      </c>
      <c r="E28" s="54" t="n">
        <f aca="false">+IFERROR(E27/D27-1,"nm")</f>
        <v>0.0106426524764633</v>
      </c>
      <c r="F28" s="54" t="n">
        <f aca="false">+IFERROR(F27/E27-1,"nm")</f>
        <v>0.065208586472256</v>
      </c>
      <c r="G28" s="54" t="n">
        <f aca="false">+IFERROR(G27/F27-1,"nm")</f>
        <v>-0.118060836501901</v>
      </c>
      <c r="H28" s="54" t="n">
        <f aca="false">+IFERROR(H27/G27-1,"nm")</f>
        <v>0.0838542789394265</v>
      </c>
      <c r="I28" s="54" t="n">
        <f aca="false">+IFERROR(I27/H27-1,"nm")</f>
        <v>0.092283214001591</v>
      </c>
      <c r="J28" s="54" t="n">
        <f aca="false">+J29+J30</f>
        <v>0</v>
      </c>
      <c r="K28" s="54" t="n">
        <f aca="false">+K29+K30</f>
        <v>0</v>
      </c>
      <c r="L28" s="54" t="n">
        <f aca="false">+L29+L30</f>
        <v>0</v>
      </c>
      <c r="M28" s="54" t="n">
        <f aca="false">+M29+M30</f>
        <v>0</v>
      </c>
      <c r="N28" s="54" t="n">
        <f aca="false">+N29+N30</f>
        <v>0</v>
      </c>
    </row>
    <row r="29" customFormat="false" ht="14.25" hidden="false" customHeight="false" outlineLevel="0" collapsed="false">
      <c r="A29" s="58" t="s">
        <v>152</v>
      </c>
      <c r="B29" s="54" t="n">
        <f aca="false">+Historicals!B188</f>
        <v>0.24</v>
      </c>
      <c r="C29" s="54" t="n">
        <f aca="false">+Historicals!C188</f>
        <v>0.16</v>
      </c>
      <c r="D29" s="54" t="n">
        <f aca="false">+Historicals!D188</f>
        <v>0.08</v>
      </c>
      <c r="E29" s="54" t="n">
        <f aca="false">+Historicals!E188</f>
        <v>0.06</v>
      </c>
      <c r="F29" s="54" t="n">
        <f aca="false">+Historicals!F188</f>
        <v>0.12</v>
      </c>
      <c r="G29" s="54" t="n">
        <f aca="false">+Historicals!G188</f>
        <v>-0.03</v>
      </c>
      <c r="H29" s="54" t="n">
        <f aca="false">+Historicals!H188</f>
        <v>0.19</v>
      </c>
      <c r="I29" s="54" t="n">
        <f aca="false">+Historicals!I188</f>
        <v>0.09</v>
      </c>
      <c r="J29" s="60" t="n">
        <v>0</v>
      </c>
      <c r="K29" s="60" t="n">
        <f aca="false">+J29</f>
        <v>0</v>
      </c>
      <c r="L29" s="60" t="n">
        <f aca="false">+K29</f>
        <v>0</v>
      </c>
      <c r="M29" s="60" t="n">
        <f aca="false">+L29</f>
        <v>0</v>
      </c>
      <c r="N29" s="60" t="n">
        <f aca="false">+M29</f>
        <v>0</v>
      </c>
    </row>
    <row r="30" customFormat="false" ht="14.25" hidden="false" customHeight="false" outlineLevel="0" collapsed="false">
      <c r="A30" s="58" t="s">
        <v>153</v>
      </c>
      <c r="B30" s="54" t="str">
        <f aca="false">+IFERROR(B28-B29,"nm")</f>
        <v>nm</v>
      </c>
      <c r="C30" s="54" t="n">
        <f aca="false">+IFERROR(C28-C29,"nm")</f>
        <v>-0.0838095238095239</v>
      </c>
      <c r="D30" s="54" t="n">
        <f aca="false">+IFERROR(D28-D29,"nm")</f>
        <v>-0.0505014749262537</v>
      </c>
      <c r="E30" s="54" t="n">
        <f aca="false">+IFERROR(E28-E29,"nm")</f>
        <v>-0.0493573475235367</v>
      </c>
      <c r="F30" s="54" t="n">
        <f aca="false">+IFERROR(F28-F29,"nm")</f>
        <v>-0.054791413527744</v>
      </c>
      <c r="G30" s="54" t="n">
        <f aca="false">+IFERROR(G28-G29,"nm")</f>
        <v>-0.0880608365019011</v>
      </c>
      <c r="H30" s="54" t="n">
        <f aca="false">+IFERROR(H28-H29,"nm")</f>
        <v>-0.106145721060573</v>
      </c>
      <c r="I30" s="54" t="n">
        <f aca="false">+IFERROR(I28-I29,"nm")</f>
        <v>0.00228321400159101</v>
      </c>
      <c r="J30" s="60" t="n">
        <v>0</v>
      </c>
      <c r="K30" s="60" t="n">
        <f aca="false">+J30</f>
        <v>0</v>
      </c>
      <c r="L30" s="60" t="n">
        <f aca="false">+K30</f>
        <v>0</v>
      </c>
      <c r="M30" s="60" t="n">
        <f aca="false">+L30</f>
        <v>0</v>
      </c>
      <c r="N30" s="60" t="n">
        <f aca="false">+M30</f>
        <v>0</v>
      </c>
    </row>
    <row r="31" customFormat="false" ht="14.25" hidden="false" customHeight="false" outlineLevel="0" collapsed="false">
      <c r="A31" s="59" t="s">
        <v>117</v>
      </c>
      <c r="B31" s="15" t="n">
        <f aca="false">+Historicals!B113</f>
        <v>824</v>
      </c>
      <c r="C31" s="15" t="n">
        <f aca="false">+Historicals!C113</f>
        <v>719</v>
      </c>
      <c r="D31" s="15" t="n">
        <f aca="false">+Historicals!D113</f>
        <v>646</v>
      </c>
      <c r="E31" s="15" t="n">
        <f aca="false">+Historicals!E113</f>
        <v>595</v>
      </c>
      <c r="F31" s="15" t="n">
        <f aca="false">+Historicals!F113</f>
        <v>597</v>
      </c>
      <c r="G31" s="15" t="n">
        <f aca="false">+Historicals!G113</f>
        <v>516</v>
      </c>
      <c r="H31" s="15" t="n">
        <f aca="false">+Historicals!H113</f>
        <v>507</v>
      </c>
      <c r="I31" s="15" t="n">
        <f aca="false">+Historicals!I113</f>
        <v>633</v>
      </c>
      <c r="J31" s="15" t="n">
        <f aca="false">+I31*(1+J32)</f>
        <v>633</v>
      </c>
      <c r="K31" s="15" t="n">
        <f aca="false">+J31*(1+K32)</f>
        <v>633</v>
      </c>
      <c r="L31" s="15" t="n">
        <f aca="false">+K31*(1+L32)</f>
        <v>633</v>
      </c>
      <c r="M31" s="15" t="n">
        <f aca="false">+L31*(1+M32)</f>
        <v>633</v>
      </c>
      <c r="N31" s="15" t="n">
        <f aca="false">+M31*(1+N32)</f>
        <v>633</v>
      </c>
    </row>
    <row r="32" customFormat="false" ht="14.25" hidden="false" customHeight="false" outlineLevel="0" collapsed="false">
      <c r="A32" s="58" t="s">
        <v>143</v>
      </c>
      <c r="B32" s="54" t="str">
        <f aca="false">+IFERROR(B31/A31-1,"nm")</f>
        <v>nm</v>
      </c>
      <c r="C32" s="54" t="n">
        <f aca="false">+IFERROR(C31/B31-1,"nm")</f>
        <v>-0.127427184466019</v>
      </c>
      <c r="D32" s="54" t="n">
        <f aca="false">+IFERROR(D31/C31-1,"nm")</f>
        <v>-0.101529902642559</v>
      </c>
      <c r="E32" s="54" t="n">
        <f aca="false">+IFERROR(E31/D31-1,"nm")</f>
        <v>-0.0789473684210527</v>
      </c>
      <c r="F32" s="54" t="n">
        <f aca="false">+IFERROR(F31/E31-1,"nm")</f>
        <v>0.00336134453781511</v>
      </c>
      <c r="G32" s="54" t="n">
        <f aca="false">+IFERROR(G31/F31-1,"nm")</f>
        <v>-0.135678391959799</v>
      </c>
      <c r="H32" s="54" t="n">
        <f aca="false">+IFERROR(H31/G31-1,"nm")</f>
        <v>-0.0174418604651163</v>
      </c>
      <c r="I32" s="54" t="n">
        <f aca="false">+IFERROR(I31/H31-1,"nm")</f>
        <v>0.248520710059172</v>
      </c>
      <c r="J32" s="54" t="n">
        <f aca="false">+J33+J34</f>
        <v>0</v>
      </c>
      <c r="K32" s="54" t="n">
        <f aca="false">+K33+K34</f>
        <v>0</v>
      </c>
      <c r="L32" s="54" t="n">
        <f aca="false">+L33+L34</f>
        <v>0</v>
      </c>
      <c r="M32" s="54" t="n">
        <f aca="false">+M33+M34</f>
        <v>0</v>
      </c>
      <c r="N32" s="54" t="n">
        <f aca="false">+N33+N34</f>
        <v>0</v>
      </c>
    </row>
    <row r="33" customFormat="false" ht="14.25" hidden="false" customHeight="false" outlineLevel="0" collapsed="false">
      <c r="A33" s="58" t="s">
        <v>152</v>
      </c>
      <c r="B33" s="54" t="n">
        <f aca="false">+Historicals!B186</f>
        <v>0.12</v>
      </c>
      <c r="C33" s="54" t="n">
        <f aca="false">+Historicals!C186</f>
        <v>-0.13</v>
      </c>
      <c r="D33" s="54" t="n">
        <f aca="false">+Historicals!D186</f>
        <v>-0.1</v>
      </c>
      <c r="E33" s="54" t="n">
        <f aca="false">+Historicals!E186</f>
        <v>-0.08</v>
      </c>
      <c r="F33" s="54" t="n">
        <f aca="false">+Historicals!F186</f>
        <v>0</v>
      </c>
      <c r="G33" s="54" t="n">
        <f aca="false">+Historicals!G186</f>
        <v>-0.14</v>
      </c>
      <c r="H33" s="54" t="n">
        <f aca="false">+Historicals!H186</f>
        <v>-0.02</v>
      </c>
      <c r="I33" s="54" t="n">
        <f aca="false">+Historicals!I186</f>
        <v>0.25</v>
      </c>
      <c r="J33" s="60" t="n">
        <v>0</v>
      </c>
      <c r="K33" s="60" t="n">
        <f aca="false">+J33</f>
        <v>0</v>
      </c>
      <c r="L33" s="60" t="n">
        <f aca="false">+K33</f>
        <v>0</v>
      </c>
      <c r="M33" s="60" t="n">
        <f aca="false">+L33</f>
        <v>0</v>
      </c>
      <c r="N33" s="60" t="n">
        <f aca="false">+M33</f>
        <v>0</v>
      </c>
    </row>
    <row r="34" customFormat="false" ht="14.25" hidden="false" customHeight="false" outlineLevel="0" collapsed="false">
      <c r="A34" s="58" t="s">
        <v>153</v>
      </c>
      <c r="B34" s="54" t="str">
        <f aca="false">+IFERROR(B32-B33,"nm")</f>
        <v>nm</v>
      </c>
      <c r="C34" s="54" t="n">
        <f aca="false">+IFERROR(C32-C33,"nm")</f>
        <v>0.00257281553398059</v>
      </c>
      <c r="D34" s="54" t="n">
        <f aca="false">+IFERROR(D32-D33,"nm")</f>
        <v>-0.00152990264255912</v>
      </c>
      <c r="E34" s="54" t="n">
        <f aca="false">+IFERROR(E32-E33,"nm")</f>
        <v>0.00105263157894735</v>
      </c>
      <c r="F34" s="54" t="n">
        <f aca="false">+IFERROR(F32-F33,"nm")</f>
        <v>0.00336134453781511</v>
      </c>
      <c r="G34" s="54" t="n">
        <f aca="false">+IFERROR(G32-G33,"nm")</f>
        <v>0.00432160804020099</v>
      </c>
      <c r="H34" s="54" t="n">
        <f aca="false">+IFERROR(H32-H33,"nm")</f>
        <v>0.00255813953488369</v>
      </c>
      <c r="I34" s="54" t="n">
        <f aca="false">+IFERROR(I32-I33,"nm")</f>
        <v>-0.00147928994082847</v>
      </c>
      <c r="J34" s="60" t="n">
        <v>0</v>
      </c>
      <c r="K34" s="60" t="n">
        <f aca="false">+J34</f>
        <v>0</v>
      </c>
      <c r="L34" s="60" t="n">
        <f aca="false">+K34</f>
        <v>0</v>
      </c>
      <c r="M34" s="60" t="n">
        <f aca="false">+L34</f>
        <v>0</v>
      </c>
      <c r="N34" s="60" t="n">
        <f aca="false">+M34</f>
        <v>0</v>
      </c>
    </row>
    <row r="35" customFormat="false" ht="14.25" hidden="false" customHeight="false" outlineLevel="0" collapsed="false">
      <c r="A35" s="15" t="s">
        <v>144</v>
      </c>
      <c r="B35" s="61" t="n">
        <f aca="false">+B42+B38</f>
        <v>3766</v>
      </c>
      <c r="C35" s="61" t="n">
        <f aca="false">+C42+C38</f>
        <v>3896</v>
      </c>
      <c r="D35" s="61" t="n">
        <f aca="false">+D42+D38</f>
        <v>4015</v>
      </c>
      <c r="E35" s="61" t="n">
        <f aca="false">+E42+E38</f>
        <v>3760</v>
      </c>
      <c r="F35" s="61" t="n">
        <f aca="false">+F42+F38</f>
        <v>4074</v>
      </c>
      <c r="G35" s="61" t="n">
        <f aca="false">+G42+G38</f>
        <v>3047</v>
      </c>
      <c r="H35" s="61" t="n">
        <f aca="false">+H42+H38</f>
        <v>5219</v>
      </c>
      <c r="I35" s="61" t="n">
        <f aca="false">+I42+I38</f>
        <v>5238</v>
      </c>
      <c r="J35" s="61" t="n">
        <f aca="false">+J21*J37</f>
        <v>5238</v>
      </c>
      <c r="K35" s="61" t="n">
        <f aca="false">+K21*K37</f>
        <v>5238</v>
      </c>
      <c r="L35" s="61" t="n">
        <f aca="false">+L21*L37</f>
        <v>5238</v>
      </c>
      <c r="M35" s="61" t="n">
        <f aca="false">+M21*M37</f>
        <v>5238</v>
      </c>
      <c r="N35" s="61" t="n">
        <f aca="false">+N21*N37</f>
        <v>5238</v>
      </c>
    </row>
    <row r="36" customFormat="false" ht="14.25" hidden="false" customHeight="false" outlineLevel="0" collapsed="false">
      <c r="A36" s="53" t="s">
        <v>143</v>
      </c>
      <c r="B36" s="54" t="str">
        <f aca="false">+IFERROR(B35/A35-1,"nm")</f>
        <v>nm</v>
      </c>
      <c r="C36" s="54" t="n">
        <f aca="false">+IFERROR(C35/B35-1,"nm")</f>
        <v>0.0345193839617632</v>
      </c>
      <c r="D36" s="54" t="n">
        <f aca="false">+IFERROR(D35/C35-1,"nm")</f>
        <v>0.0305441478439426</v>
      </c>
      <c r="E36" s="54" t="n">
        <f aca="false">+IFERROR(E35/D35-1,"nm")</f>
        <v>-0.0635118306351183</v>
      </c>
      <c r="F36" s="54" t="n">
        <f aca="false">+IFERROR(F35/E35-1,"nm")</f>
        <v>0.0835106382978723</v>
      </c>
      <c r="G36" s="54" t="n">
        <f aca="false">+IFERROR(G35/F35-1,"nm")</f>
        <v>-0.252086401570938</v>
      </c>
      <c r="H36" s="54" t="n">
        <f aca="false">+IFERROR(H35/G35-1,"nm")</f>
        <v>0.712832294059731</v>
      </c>
      <c r="I36" s="54" t="n">
        <f aca="false">+IFERROR(I35/H35-1,"nm")</f>
        <v>0.00364054416554893</v>
      </c>
      <c r="J36" s="54" t="n">
        <f aca="false">+IFERROR(J35/I35-1,"nm")</f>
        <v>0</v>
      </c>
      <c r="K36" s="54" t="n">
        <f aca="false">+IFERROR(K35/J35-1,"nm")</f>
        <v>0</v>
      </c>
      <c r="L36" s="54" t="n">
        <f aca="false">+IFERROR(L35/K35-1,"nm")</f>
        <v>0</v>
      </c>
      <c r="M36" s="54" t="n">
        <f aca="false">+IFERROR(M35/L35-1,"nm")</f>
        <v>0</v>
      </c>
      <c r="N36" s="54" t="n">
        <f aca="false">+IFERROR(N35/M35-1,"nm")</f>
        <v>0</v>
      </c>
    </row>
    <row r="37" customFormat="false" ht="14.25" hidden="false" customHeight="false" outlineLevel="0" collapsed="false">
      <c r="A37" s="53" t="s">
        <v>145</v>
      </c>
      <c r="B37" s="54" t="n">
        <f aca="false">+IFERROR(B35/B$21,"nm")</f>
        <v>0.274090247452693</v>
      </c>
      <c r="C37" s="54" t="n">
        <f aca="false">+IFERROR(C35/C$21,"nm")</f>
        <v>0.263885125982119</v>
      </c>
      <c r="D37" s="54" t="n">
        <f aca="false">+IFERROR(D35/D$21,"nm")</f>
        <v>0.26386698212408</v>
      </c>
      <c r="E37" s="54" t="n">
        <f aca="false">+IFERROR(E35/E$21,"nm")</f>
        <v>0.253113429821609</v>
      </c>
      <c r="F37" s="54" t="n">
        <f aca="false">+IFERROR(F35/F$21,"nm")</f>
        <v>0.256194189410137</v>
      </c>
      <c r="G37" s="54" t="n">
        <f aca="false">+IFERROR(G35/G$21,"nm")</f>
        <v>0.210370063518365</v>
      </c>
      <c r="H37" s="54" t="n">
        <f aca="false">+IFERROR(H35/H$21,"nm")</f>
        <v>0.303801152569998</v>
      </c>
      <c r="I37" s="54" t="n">
        <f aca="false">+IFERROR(I35/I$21,"nm")</f>
        <v>0.285402931400861</v>
      </c>
      <c r="J37" s="60" t="n">
        <f aca="false">+I37</f>
        <v>0.285402931400861</v>
      </c>
      <c r="K37" s="60" t="n">
        <f aca="false">+J37</f>
        <v>0.285402931400861</v>
      </c>
      <c r="L37" s="60" t="n">
        <f aca="false">+K37</f>
        <v>0.285402931400861</v>
      </c>
      <c r="M37" s="60" t="n">
        <f aca="false">+L37</f>
        <v>0.285402931400861</v>
      </c>
      <c r="N37" s="60" t="n">
        <f aca="false">+M37</f>
        <v>0.285402931400861</v>
      </c>
    </row>
    <row r="38" customFormat="false" ht="14.25" hidden="false" customHeight="false" outlineLevel="0" collapsed="false">
      <c r="A38" s="15" t="s">
        <v>146</v>
      </c>
      <c r="B38" s="15" t="n">
        <f aca="false">+Historicals!B171</f>
        <v>121</v>
      </c>
      <c r="C38" s="15" t="n">
        <f aca="false">+Historicals!C171</f>
        <v>133</v>
      </c>
      <c r="D38" s="15" t="n">
        <f aca="false">+Historicals!D171</f>
        <v>140</v>
      </c>
      <c r="E38" s="15" t="n">
        <f aca="false">+Historicals!E171</f>
        <v>160</v>
      </c>
      <c r="F38" s="15" t="n">
        <f aca="false">+Historicals!F171</f>
        <v>149</v>
      </c>
      <c r="G38" s="15" t="n">
        <f aca="false">+Historicals!G171</f>
        <v>148</v>
      </c>
      <c r="H38" s="15" t="n">
        <f aca="false">+Historicals!H171</f>
        <v>130</v>
      </c>
      <c r="I38" s="15" t="n">
        <f aca="false">+Historicals!I171</f>
        <v>124</v>
      </c>
      <c r="J38" s="61" t="n">
        <f aca="false">+J41*J48</f>
        <v>124</v>
      </c>
      <c r="K38" s="61" t="n">
        <f aca="false">+K41*K48</f>
        <v>124</v>
      </c>
      <c r="L38" s="61" t="n">
        <f aca="false">+L41*L48</f>
        <v>124</v>
      </c>
      <c r="M38" s="61" t="n">
        <f aca="false">+M41*M48</f>
        <v>124</v>
      </c>
      <c r="N38" s="61" t="n">
        <f aca="false">+N41*N48</f>
        <v>124</v>
      </c>
    </row>
    <row r="39" customFormat="false" ht="14.25" hidden="false" customHeight="false" outlineLevel="0" collapsed="false">
      <c r="A39" s="53" t="s">
        <v>143</v>
      </c>
      <c r="B39" s="54" t="str">
        <f aca="false">+IFERROR(B38/A38-1,"nm")</f>
        <v>nm</v>
      </c>
      <c r="C39" s="54" t="n">
        <f aca="false">+IFERROR(C38/B38-1,"nm")</f>
        <v>0.0991735537190082</v>
      </c>
      <c r="D39" s="54" t="n">
        <f aca="false">+IFERROR(D38/C38-1,"nm")</f>
        <v>0.0526315789473684</v>
      </c>
      <c r="E39" s="54" t="n">
        <f aca="false">+IFERROR(E38/D38-1,"nm")</f>
        <v>0.142857142857143</v>
      </c>
      <c r="F39" s="54" t="n">
        <f aca="false">+IFERROR(F38/E38-1,"nm")</f>
        <v>-0.06875</v>
      </c>
      <c r="G39" s="54" t="n">
        <f aca="false">+IFERROR(G38/F38-1,"nm")</f>
        <v>-0.00671140939597315</v>
      </c>
      <c r="H39" s="54" t="n">
        <f aca="false">+IFERROR(H38/G38-1,"nm")</f>
        <v>-0.121621621621622</v>
      </c>
      <c r="I39" s="54" t="n">
        <f aca="false">+IFERROR(I38/H38-1,"nm")</f>
        <v>-0.0461538461538461</v>
      </c>
      <c r="J39" s="54" t="n">
        <f aca="false">+IFERROR(J38/I38-1,"nm")</f>
        <v>0</v>
      </c>
      <c r="K39" s="54" t="n">
        <f aca="false">+IFERROR(K38/J38-1,"nm")</f>
        <v>0</v>
      </c>
      <c r="L39" s="54" t="n">
        <f aca="false">+IFERROR(L38/K38-1,"nm")</f>
        <v>0</v>
      </c>
      <c r="M39" s="54" t="n">
        <f aca="false">+IFERROR(M38/L38-1,"nm")</f>
        <v>0</v>
      </c>
      <c r="N39" s="54" t="n">
        <f aca="false">+IFERROR(N38/M38-1,"nm")</f>
        <v>0</v>
      </c>
    </row>
    <row r="40" customFormat="false" ht="14.25" hidden="false" customHeight="false" outlineLevel="0" collapsed="false">
      <c r="A40" s="53" t="s">
        <v>147</v>
      </c>
      <c r="B40" s="54" t="n">
        <f aca="false">+IFERROR(B38/B$21,"nm")</f>
        <v>0.00880640465793304</v>
      </c>
      <c r="C40" s="54" t="n">
        <f aca="false">+IFERROR(C38/C$21,"nm")</f>
        <v>0.00900839880791114</v>
      </c>
      <c r="D40" s="54" t="n">
        <f aca="false">+IFERROR(D38/D$21,"nm")</f>
        <v>0.00920084121976867</v>
      </c>
      <c r="E40" s="54" t="n">
        <f aca="false">+IFERROR(E38/E$21,"nm")</f>
        <v>0.010770784247728</v>
      </c>
      <c r="F40" s="54" t="n">
        <f aca="false">+IFERROR(F38/F$21,"nm")</f>
        <v>0.00936989057980128</v>
      </c>
      <c r="G40" s="54" t="n">
        <f aca="false">+IFERROR(G38/G$21,"nm")</f>
        <v>0.0102181717757526</v>
      </c>
      <c r="H40" s="54" t="n">
        <f aca="false">+IFERROR(H38/H$21,"nm")</f>
        <v>0.00756737877641306</v>
      </c>
      <c r="I40" s="54" t="n">
        <f aca="false">+IFERROR(I38/I$21,"nm")</f>
        <v>0.00675638860131859</v>
      </c>
      <c r="J40" s="54" t="n">
        <f aca="false">+IFERROR(J38/J$21,"nm")</f>
        <v>0.00675638860131859</v>
      </c>
      <c r="K40" s="54" t="n">
        <f aca="false">+IFERROR(K38/K$21,"nm")</f>
        <v>0.00675638860131859</v>
      </c>
      <c r="L40" s="54" t="n">
        <f aca="false">+IFERROR(L38/L$21,"nm")</f>
        <v>0.00675638860131859</v>
      </c>
      <c r="M40" s="54" t="n">
        <f aca="false">+IFERROR(M38/M$21,"nm")</f>
        <v>0.00675638860131859</v>
      </c>
      <c r="N40" s="54" t="n">
        <f aca="false">+IFERROR(N38/N$21,"nm")</f>
        <v>0.00675638860131859</v>
      </c>
    </row>
    <row r="41" customFormat="false" ht="14.25" hidden="false" customHeight="false" outlineLevel="0" collapsed="false">
      <c r="A41" s="53" t="s">
        <v>154</v>
      </c>
      <c r="B41" s="54" t="n">
        <f aca="false">+IFERROR(B38/B48,"nm")</f>
        <v>0.191455696202532</v>
      </c>
      <c r="C41" s="54" t="n">
        <f aca="false">+IFERROR(C38/C48,"nm")</f>
        <v>0.179245283018868</v>
      </c>
      <c r="D41" s="54" t="n">
        <f aca="false">+IFERROR(D38/D48,"nm")</f>
        <v>0.170940170940171</v>
      </c>
      <c r="E41" s="54" t="n">
        <f aca="false">+IFERROR(E38/E48,"nm")</f>
        <v>0.188679245283019</v>
      </c>
      <c r="F41" s="54" t="n">
        <f aca="false">+IFERROR(F38/F48,"nm")</f>
        <v>0.183046683046683</v>
      </c>
      <c r="G41" s="54" t="n">
        <f aca="false">+IFERROR(G38/G48,"nm")</f>
        <v>0.229457364341085</v>
      </c>
      <c r="H41" s="54" t="n">
        <f aca="false">+IFERROR(H38/H48,"nm")</f>
        <v>0.210696920583468</v>
      </c>
      <c r="I41" s="54" t="n">
        <f aca="false">+IFERROR(I38/I48,"nm")</f>
        <v>0.194053208137715</v>
      </c>
      <c r="J41" s="60" t="n">
        <f aca="false">+I41</f>
        <v>0.194053208137715</v>
      </c>
      <c r="K41" s="60" t="n">
        <f aca="false">+J41</f>
        <v>0.194053208137715</v>
      </c>
      <c r="L41" s="60" t="n">
        <f aca="false">+K41</f>
        <v>0.194053208137715</v>
      </c>
      <c r="M41" s="60" t="n">
        <f aca="false">+L41</f>
        <v>0.194053208137715</v>
      </c>
      <c r="N41" s="60" t="n">
        <f aca="false">+M41</f>
        <v>0.194053208137715</v>
      </c>
    </row>
    <row r="42" customFormat="false" ht="14.25" hidden="false" customHeight="false" outlineLevel="0" collapsed="false">
      <c r="A42" s="15" t="s">
        <v>148</v>
      </c>
      <c r="B42" s="15" t="n">
        <f aca="false">+Historicals!B137</f>
        <v>3645</v>
      </c>
      <c r="C42" s="15" t="n">
        <f aca="false">+Historicals!C137</f>
        <v>3763</v>
      </c>
      <c r="D42" s="15" t="n">
        <f aca="false">+Historicals!D137</f>
        <v>3875</v>
      </c>
      <c r="E42" s="15" t="n">
        <f aca="false">+Historicals!E137</f>
        <v>3600</v>
      </c>
      <c r="F42" s="15" t="n">
        <f aca="false">+Historicals!F137</f>
        <v>3925</v>
      </c>
      <c r="G42" s="15" t="n">
        <f aca="false">+Historicals!G137</f>
        <v>2899</v>
      </c>
      <c r="H42" s="15" t="n">
        <f aca="false">+Historicals!H137</f>
        <v>5089</v>
      </c>
      <c r="I42" s="15" t="n">
        <f aca="false">+Historicals!I137</f>
        <v>5114</v>
      </c>
      <c r="J42" s="15" t="n">
        <f aca="false">+J35-J38</f>
        <v>5114</v>
      </c>
      <c r="K42" s="15" t="n">
        <f aca="false">+K35-K38</f>
        <v>5114</v>
      </c>
      <c r="L42" s="15" t="n">
        <f aca="false">+L35-L38</f>
        <v>5114</v>
      </c>
      <c r="M42" s="15" t="n">
        <f aca="false">+M35-M38</f>
        <v>5114</v>
      </c>
      <c r="N42" s="15" t="n">
        <f aca="false">+N35-N38</f>
        <v>5114</v>
      </c>
    </row>
    <row r="43" customFormat="false" ht="14.25" hidden="false" customHeight="false" outlineLevel="0" collapsed="false">
      <c r="A43" s="53" t="s">
        <v>143</v>
      </c>
      <c r="B43" s="54" t="str">
        <f aca="false">+IFERROR(B42/A42-1,"nm")</f>
        <v>nm</v>
      </c>
      <c r="C43" s="54" t="n">
        <f aca="false">+IFERROR(C42/B42-1,"nm")</f>
        <v>0.0323731138545953</v>
      </c>
      <c r="D43" s="54" t="n">
        <f aca="false">+IFERROR(D42/C42-1,"nm")</f>
        <v>0.0297634865798564</v>
      </c>
      <c r="E43" s="54" t="n">
        <f aca="false">+IFERROR(E42/D42-1,"nm")</f>
        <v>-0.0709677419354838</v>
      </c>
      <c r="F43" s="54" t="n">
        <f aca="false">+IFERROR(F42/E42-1,"nm")</f>
        <v>0.0902777777777777</v>
      </c>
      <c r="G43" s="54" t="n">
        <f aca="false">+IFERROR(G42/F42-1,"nm")</f>
        <v>-0.26140127388535</v>
      </c>
      <c r="H43" s="54" t="n">
        <f aca="false">+IFERROR(H42/G42-1,"nm")</f>
        <v>0.755432907899276</v>
      </c>
      <c r="I43" s="54" t="n">
        <f aca="false">+IFERROR(I42/H42-1,"nm")</f>
        <v>0.0049125564943997</v>
      </c>
      <c r="J43" s="54" t="n">
        <f aca="false">+IFERROR(J42/I42-1,"nm")</f>
        <v>0</v>
      </c>
      <c r="K43" s="54" t="n">
        <f aca="false">+IFERROR(K42/J42-1,"nm")</f>
        <v>0</v>
      </c>
      <c r="L43" s="54" t="n">
        <f aca="false">+IFERROR(L42/K42-1,"nm")</f>
        <v>0</v>
      </c>
      <c r="M43" s="54" t="n">
        <f aca="false">+IFERROR(M42/L42-1,"nm")</f>
        <v>0</v>
      </c>
      <c r="N43" s="54" t="n">
        <f aca="false">+IFERROR(N42/M42-1,"nm")</f>
        <v>0</v>
      </c>
    </row>
    <row r="44" customFormat="false" ht="14.25" hidden="false" customHeight="false" outlineLevel="0" collapsed="false">
      <c r="A44" s="53" t="s">
        <v>145</v>
      </c>
      <c r="B44" s="54" t="n">
        <f aca="false">+IFERROR(B42/B$21,"nm")</f>
        <v>0.26528384279476</v>
      </c>
      <c r="C44" s="54" t="n">
        <f aca="false">+IFERROR(C42/C$21,"nm")</f>
        <v>0.254876727174208</v>
      </c>
      <c r="D44" s="54" t="n">
        <f aca="false">+IFERROR(D42/D$21,"nm")</f>
        <v>0.254666140904311</v>
      </c>
      <c r="E44" s="54" t="n">
        <f aca="false">+IFERROR(E42/E$21,"nm")</f>
        <v>0.242342645573881</v>
      </c>
      <c r="F44" s="54" t="n">
        <f aca="false">+IFERROR(F42/F$21,"nm")</f>
        <v>0.246824298830336</v>
      </c>
      <c r="G44" s="54" t="n">
        <f aca="false">+IFERROR(G42/G$21,"nm")</f>
        <v>0.200151891742613</v>
      </c>
      <c r="H44" s="54" t="n">
        <f aca="false">+IFERROR(H42/H$21,"nm")</f>
        <v>0.296233773793585</v>
      </c>
      <c r="I44" s="54" t="n">
        <f aca="false">+IFERROR(I42/I$21,"nm")</f>
        <v>0.278646542799542</v>
      </c>
      <c r="J44" s="54" t="n">
        <f aca="false">+IFERROR(J42/J$21,"nm")</f>
        <v>0.278646542799542</v>
      </c>
      <c r="K44" s="54" t="n">
        <f aca="false">+IFERROR(K42/K$21,"nm")</f>
        <v>0.278646542799542</v>
      </c>
      <c r="L44" s="54" t="n">
        <f aca="false">+IFERROR(L42/L$21,"nm")</f>
        <v>0.278646542799542</v>
      </c>
      <c r="M44" s="54" t="n">
        <f aca="false">+IFERROR(M42/M$21,"nm")</f>
        <v>0.278646542799542</v>
      </c>
      <c r="N44" s="54" t="n">
        <f aca="false">+IFERROR(N42/N$21,"nm")</f>
        <v>0.278646542799542</v>
      </c>
    </row>
    <row r="45" customFormat="false" ht="14.25" hidden="false" customHeight="false" outlineLevel="0" collapsed="false">
      <c r="A45" s="15" t="s">
        <v>149</v>
      </c>
      <c r="B45" s="15" t="n">
        <f aca="false">+Historicals!B159</f>
        <v>208</v>
      </c>
      <c r="C45" s="15" t="n">
        <f aca="false">+Historicals!C159</f>
        <v>242</v>
      </c>
      <c r="D45" s="15" t="n">
        <f aca="false">+Historicals!D159</f>
        <v>223</v>
      </c>
      <c r="E45" s="15" t="n">
        <f aca="false">+Historicals!E159</f>
        <v>196</v>
      </c>
      <c r="F45" s="15" t="n">
        <f aca="false">+Historicals!F159</f>
        <v>117</v>
      </c>
      <c r="G45" s="15" t="n">
        <f aca="false">+Historicals!G159</f>
        <v>110</v>
      </c>
      <c r="H45" s="15" t="n">
        <f aca="false">+Historicals!H159</f>
        <v>98</v>
      </c>
      <c r="I45" s="15" t="n">
        <f aca="false">+Historicals!I159</f>
        <v>146</v>
      </c>
      <c r="J45" s="61" t="n">
        <f aca="false">+J21*J47</f>
        <v>146</v>
      </c>
      <c r="K45" s="61" t="n">
        <f aca="false">+K21*K47</f>
        <v>146</v>
      </c>
      <c r="L45" s="61" t="n">
        <f aca="false">+L21*L47</f>
        <v>146</v>
      </c>
      <c r="M45" s="61" t="n">
        <f aca="false">+M21*M47</f>
        <v>146</v>
      </c>
      <c r="N45" s="61" t="n">
        <f aca="false">+N21*N47</f>
        <v>146</v>
      </c>
    </row>
    <row r="46" customFormat="false" ht="14.25" hidden="false" customHeight="false" outlineLevel="0" collapsed="false">
      <c r="A46" s="53" t="s">
        <v>143</v>
      </c>
      <c r="B46" s="54" t="str">
        <f aca="false">+IFERROR(B45/A45-1,"nm")</f>
        <v>nm</v>
      </c>
      <c r="C46" s="54" t="n">
        <f aca="false">+IFERROR(C45/B45-1,"nm")</f>
        <v>0.163461538461539</v>
      </c>
      <c r="D46" s="54" t="n">
        <f aca="false">+IFERROR(D45/C45-1,"nm")</f>
        <v>-0.0785123966942148</v>
      </c>
      <c r="E46" s="54" t="n">
        <f aca="false">+IFERROR(E45/D45-1,"nm")</f>
        <v>-0.121076233183857</v>
      </c>
      <c r="F46" s="54" t="n">
        <f aca="false">+IFERROR(F45/E45-1,"nm")</f>
        <v>-0.403061224489796</v>
      </c>
      <c r="G46" s="54" t="n">
        <f aca="false">+IFERROR(G45/F45-1,"nm")</f>
        <v>-0.0598290598290598</v>
      </c>
      <c r="H46" s="54" t="n">
        <f aca="false">+IFERROR(H45/G45-1,"nm")</f>
        <v>-0.109090909090909</v>
      </c>
      <c r="I46" s="54" t="n">
        <f aca="false">+IFERROR(I45/H45-1,"nm")</f>
        <v>0.489795918367347</v>
      </c>
      <c r="J46" s="54" t="n">
        <f aca="false">+IFERROR(J45/I45-1,"nm")</f>
        <v>0</v>
      </c>
      <c r="K46" s="54" t="n">
        <f aca="false">+IFERROR(K45/J45-1,"nm")</f>
        <v>0</v>
      </c>
      <c r="L46" s="54" t="n">
        <f aca="false">+IFERROR(L45/K45-1,"nm")</f>
        <v>0</v>
      </c>
      <c r="M46" s="54" t="n">
        <f aca="false">+IFERROR(M45/L45-1,"nm")</f>
        <v>0</v>
      </c>
      <c r="N46" s="54" t="n">
        <f aca="false">+IFERROR(N45/M45-1,"nm")</f>
        <v>0</v>
      </c>
    </row>
    <row r="47" customFormat="false" ht="14.25" hidden="false" customHeight="false" outlineLevel="0" collapsed="false">
      <c r="A47" s="53" t="s">
        <v>147</v>
      </c>
      <c r="B47" s="54" t="n">
        <f aca="false">+IFERROR(B45/B$21,"nm")</f>
        <v>0.0151382823871907</v>
      </c>
      <c r="C47" s="54" t="n">
        <f aca="false">+IFERROR(C45/C$21,"nm")</f>
        <v>0.0163912218910864</v>
      </c>
      <c r="D47" s="54" t="n">
        <f aca="false">+IFERROR(D45/D$21,"nm")</f>
        <v>0.0146556256572029</v>
      </c>
      <c r="E47" s="54" t="n">
        <f aca="false">+IFERROR(E45/E$21,"nm")</f>
        <v>0.0131942107034668</v>
      </c>
      <c r="F47" s="54" t="n">
        <f aca="false">+IFERROR(F45/F$21,"nm")</f>
        <v>0.00735756508615269</v>
      </c>
      <c r="G47" s="54" t="n">
        <f aca="false">+IFERROR(G45/G$21,"nm")</f>
        <v>0.0075945871306269</v>
      </c>
      <c r="H47" s="54" t="n">
        <f aca="false">+IFERROR(H45/H$21,"nm")</f>
        <v>0.005704639385296</v>
      </c>
      <c r="I47" s="54" t="n">
        <f aca="false">+IFERROR(I45/I$21,"nm")</f>
        <v>0.00795510270800414</v>
      </c>
      <c r="J47" s="60" t="n">
        <f aca="false">+I47</f>
        <v>0.00795510270800414</v>
      </c>
      <c r="K47" s="60" t="n">
        <f aca="false">+J47</f>
        <v>0.00795510270800414</v>
      </c>
      <c r="L47" s="60" t="n">
        <f aca="false">+K47</f>
        <v>0.00795510270800414</v>
      </c>
      <c r="M47" s="60" t="n">
        <f aca="false">+L47</f>
        <v>0.00795510270800414</v>
      </c>
      <c r="N47" s="60" t="n">
        <f aca="false">+M47</f>
        <v>0.00795510270800414</v>
      </c>
    </row>
    <row r="48" customFormat="false" ht="14.25" hidden="false" customHeight="false" outlineLevel="0" collapsed="false">
      <c r="A48" s="15" t="s">
        <v>150</v>
      </c>
      <c r="B48" s="15" t="n">
        <f aca="false">+Historicals!B148</f>
        <v>632</v>
      </c>
      <c r="C48" s="15" t="n">
        <f aca="false">+Historicals!C148</f>
        <v>742</v>
      </c>
      <c r="D48" s="15" t="n">
        <f aca="false">+Historicals!D148</f>
        <v>819</v>
      </c>
      <c r="E48" s="15" t="n">
        <f aca="false">+Historicals!E148</f>
        <v>848</v>
      </c>
      <c r="F48" s="15" t="n">
        <f aca="false">+Historicals!F148</f>
        <v>814</v>
      </c>
      <c r="G48" s="15" t="n">
        <f aca="false">+Historicals!G148</f>
        <v>645</v>
      </c>
      <c r="H48" s="15" t="n">
        <f aca="false">+Historicals!H148</f>
        <v>617</v>
      </c>
      <c r="I48" s="15" t="n">
        <f aca="false">+Historicals!I148</f>
        <v>639</v>
      </c>
      <c r="J48" s="61" t="n">
        <f aca="false">+J21*J50</f>
        <v>639</v>
      </c>
      <c r="K48" s="61" t="n">
        <f aca="false">+K21*K50</f>
        <v>639</v>
      </c>
      <c r="L48" s="61" t="n">
        <f aca="false">+L21*L50</f>
        <v>639</v>
      </c>
      <c r="M48" s="61" t="n">
        <f aca="false">+M21*M50</f>
        <v>639</v>
      </c>
      <c r="N48" s="61" t="n">
        <f aca="false">+N21*N50</f>
        <v>639</v>
      </c>
    </row>
    <row r="49" customFormat="false" ht="14.25" hidden="false" customHeight="false" outlineLevel="0" collapsed="false">
      <c r="A49" s="53" t="s">
        <v>143</v>
      </c>
      <c r="B49" s="54" t="str">
        <f aca="false">+IFERROR(B48/A48-1,"nm")</f>
        <v>nm</v>
      </c>
      <c r="C49" s="54" t="n">
        <f aca="false">+IFERROR(C48/B48-1,"nm")</f>
        <v>0.174050632911392</v>
      </c>
      <c r="D49" s="54" t="n">
        <f aca="false">+IFERROR(D48/C48-1,"nm")</f>
        <v>0.10377358490566</v>
      </c>
      <c r="E49" s="54" t="n">
        <f aca="false">+IFERROR(E48/D48-1,"nm")</f>
        <v>0.0354090354090355</v>
      </c>
      <c r="F49" s="54" t="n">
        <f aca="false">+IFERROR(F48/E48-1,"nm")</f>
        <v>-0.0400943396226415</v>
      </c>
      <c r="G49" s="54" t="n">
        <f aca="false">+IFERROR(G48/F48-1,"nm")</f>
        <v>-0.207616707616708</v>
      </c>
      <c r="H49" s="54" t="n">
        <f aca="false">+IFERROR(H48/G48-1,"nm")</f>
        <v>-0.0434108527131784</v>
      </c>
      <c r="I49" s="54" t="n">
        <f aca="false">+IFERROR(I48/H48-1,"nm")</f>
        <v>0.0356564019448946</v>
      </c>
      <c r="J49" s="54" t="n">
        <f aca="false">+J50+J51</f>
        <v>0.0348171960987305</v>
      </c>
      <c r="K49" s="54" t="n">
        <f aca="false">+K50+K51</f>
        <v>0.0348171960987305</v>
      </c>
      <c r="L49" s="54" t="n">
        <f aca="false">+L50+L51</f>
        <v>0.0348171960987305</v>
      </c>
      <c r="M49" s="54" t="n">
        <f aca="false">+M50+M51</f>
        <v>0.0348171960987305</v>
      </c>
      <c r="N49" s="54" t="n">
        <f aca="false">+N50+N51</f>
        <v>0.0348171960987305</v>
      </c>
    </row>
    <row r="50" customFormat="false" ht="14.25" hidden="false" customHeight="false" outlineLevel="0" collapsed="false">
      <c r="A50" s="53" t="s">
        <v>147</v>
      </c>
      <c r="B50" s="54" t="n">
        <f aca="false">+IFERROR(B48/B$21,"nm")</f>
        <v>0.0459970887918486</v>
      </c>
      <c r="C50" s="54" t="n">
        <f aca="false">+IFERROR(C48/C$21,"nm")</f>
        <v>0.0502573828230832</v>
      </c>
      <c r="D50" s="54" t="n">
        <f aca="false">+IFERROR(D48/D$21,"nm")</f>
        <v>0.0538249211356467</v>
      </c>
      <c r="E50" s="54" t="n">
        <f aca="false">+IFERROR(E48/E$21,"nm")</f>
        <v>0.0570851565129586</v>
      </c>
      <c r="F50" s="54" t="n">
        <f aca="false">+IFERROR(F48/F$21,"nm")</f>
        <v>0.0511885297446862</v>
      </c>
      <c r="G50" s="54" t="n">
        <f aca="false">+IFERROR(G48/G$21,"nm")</f>
        <v>0.0445318972659486</v>
      </c>
      <c r="H50" s="54" t="n">
        <f aca="false">+IFERROR(H48/H$21,"nm")</f>
        <v>0.0359159438849758</v>
      </c>
      <c r="I50" s="54" t="n">
        <f aca="false">+IFERROR(I48/I$21,"nm")</f>
        <v>0.0348171960987305</v>
      </c>
      <c r="J50" s="60" t="n">
        <f aca="false">+I50</f>
        <v>0.0348171960987305</v>
      </c>
      <c r="K50" s="60" t="n">
        <f aca="false">+J50</f>
        <v>0.0348171960987305</v>
      </c>
      <c r="L50" s="60" t="n">
        <f aca="false">+K50</f>
        <v>0.0348171960987305</v>
      </c>
      <c r="M50" s="60" t="n">
        <f aca="false">+L50</f>
        <v>0.0348171960987305</v>
      </c>
      <c r="N50" s="60" t="n">
        <f aca="false">+M50</f>
        <v>0.0348171960987305</v>
      </c>
    </row>
    <row r="51" customFormat="false" ht="14.25" hidden="false" customHeight="false" outlineLevel="0" collapsed="false">
      <c r="A51" s="56" t="str">
        <f aca="false">+Historicals!A187</f>
        <v>Europe, Middle East &amp; Africa</v>
      </c>
      <c r="B51" s="57"/>
      <c r="C51" s="57"/>
      <c r="D51" s="57"/>
      <c r="E51" s="57"/>
      <c r="F51" s="57"/>
      <c r="G51" s="57"/>
      <c r="H51" s="57"/>
      <c r="I51" s="57"/>
      <c r="J51" s="51"/>
      <c r="K51" s="51"/>
      <c r="L51" s="51"/>
      <c r="M51" s="51"/>
      <c r="N51" s="51"/>
    </row>
    <row r="52" customFormat="false" ht="14.25" hidden="false" customHeight="false" outlineLevel="0" collapsed="false">
      <c r="A52" s="15" t="s">
        <v>151</v>
      </c>
      <c r="B52" s="15" t="n">
        <f aca="false">B54+B58+B62</f>
        <v>7126</v>
      </c>
      <c r="C52" s="15" t="n">
        <f aca="false">C54+C58+C62</f>
        <v>7568</v>
      </c>
      <c r="D52" s="15" t="n">
        <f aca="false">D54+D58+D62</f>
        <v>7970</v>
      </c>
      <c r="E52" s="15" t="n">
        <f aca="false">E54+E58+E62</f>
        <v>9242</v>
      </c>
      <c r="F52" s="15" t="n">
        <f aca="false">F54+F58+F62</f>
        <v>9812</v>
      </c>
      <c r="G52" s="15" t="n">
        <f aca="false">G54+G58+G62</f>
        <v>9347</v>
      </c>
      <c r="H52" s="15" t="n">
        <f aca="false">H54+H58+H62</f>
        <v>11456</v>
      </c>
      <c r="I52" s="15" t="n">
        <f aca="false">I54+I58+I62</f>
        <v>12479</v>
      </c>
      <c r="J52" s="15" t="n">
        <f aca="false">+SUM(J54+J58+J62)</f>
        <v>12479</v>
      </c>
      <c r="K52" s="15" t="n">
        <f aca="false">+SUM(K54+K58+K62)</f>
        <v>12479</v>
      </c>
      <c r="L52" s="15" t="n">
        <f aca="false">+SUM(L54+L58+L62)</f>
        <v>12479</v>
      </c>
      <c r="M52" s="15" t="n">
        <f aca="false">+SUM(M54+M58+M62)</f>
        <v>12479</v>
      </c>
      <c r="N52" s="15" t="n">
        <f aca="false">+SUM(N54+N58+N62)</f>
        <v>12479</v>
      </c>
    </row>
    <row r="53" customFormat="false" ht="14.25" hidden="false" customHeight="false" outlineLevel="0" collapsed="false">
      <c r="A53" s="58" t="s">
        <v>143</v>
      </c>
      <c r="C53" s="54" t="n">
        <f aca="false">+IFERROR(C52/B52-1,"nm")</f>
        <v>0.0620263822621387</v>
      </c>
      <c r="D53" s="54" t="n">
        <f aca="false">+IFERROR(D52/C52-1,"nm")</f>
        <v>0.0531183932346724</v>
      </c>
      <c r="E53" s="54" t="n">
        <f aca="false">+IFERROR(E52/D52-1,"nm")</f>
        <v>0.159598494353827</v>
      </c>
      <c r="F53" s="54" t="n">
        <f aca="false">+IFERROR(F52/E52-1,"nm")</f>
        <v>0.0616749621294093</v>
      </c>
      <c r="G53" s="54" t="n">
        <f aca="false">+IFERROR(G52/F52-1,"nm")</f>
        <v>-0.0473909498573176</v>
      </c>
      <c r="H53" s="54" t="n">
        <f aca="false">+IFERROR(H52/G52-1,"nm")</f>
        <v>0.225633893227774</v>
      </c>
      <c r="I53" s="54" t="n">
        <f aca="false">+IFERROR(I52/H52-1,"nm")</f>
        <v>0.089298184357542</v>
      </c>
      <c r="J53" s="54" t="n">
        <f aca="false">+IFERROR(J52/I52-1,"nm")</f>
        <v>0</v>
      </c>
      <c r="K53" s="54" t="n">
        <f aca="false">+IFERROR(K52/J52-1,"nm")</f>
        <v>0</v>
      </c>
      <c r="L53" s="54" t="n">
        <f aca="false">+IFERROR(L52/K52-1,"nm")</f>
        <v>0</v>
      </c>
      <c r="M53" s="54" t="n">
        <f aca="false">+IFERROR(M52/L52-1,"nm")</f>
        <v>0</v>
      </c>
      <c r="N53" s="54" t="n">
        <f aca="false">+IFERROR(N52/M52-1,"nm")</f>
        <v>0</v>
      </c>
    </row>
    <row r="54" customFormat="false" ht="14.25" hidden="false" customHeight="false" outlineLevel="0" collapsed="false">
      <c r="A54" s="59" t="s">
        <v>115</v>
      </c>
      <c r="B54" s="15" t="n">
        <f aca="false">+Historicals!B115</f>
        <v>4703</v>
      </c>
      <c r="C54" s="15" t="n">
        <f aca="false">+Historicals!C115</f>
        <v>5043</v>
      </c>
      <c r="D54" s="15" t="n">
        <f aca="false">+Historicals!D115</f>
        <v>5192</v>
      </c>
      <c r="E54" s="15" t="n">
        <f aca="false">+Historicals!E115</f>
        <v>5875</v>
      </c>
      <c r="F54" s="15" t="n">
        <f aca="false">+Historicals!F115</f>
        <v>6293</v>
      </c>
      <c r="G54" s="15" t="n">
        <f aca="false">+Historicals!G115</f>
        <v>5892</v>
      </c>
      <c r="H54" s="15" t="n">
        <f aca="false">+Historicals!H115</f>
        <v>6970</v>
      </c>
      <c r="I54" s="15" t="n">
        <f aca="false">+Historicals!I115</f>
        <v>7388</v>
      </c>
      <c r="J54" s="15" t="n">
        <f aca="false">+I54*(1+J55)</f>
        <v>7388</v>
      </c>
      <c r="K54" s="15" t="n">
        <f aca="false">+J54*(1+K55)</f>
        <v>7388</v>
      </c>
      <c r="L54" s="15" t="n">
        <f aca="false">+K54*(1+L55)</f>
        <v>7388</v>
      </c>
      <c r="M54" s="15" t="n">
        <f aca="false">+L54*(1+M55)</f>
        <v>7388</v>
      </c>
      <c r="N54" s="15" t="n">
        <f aca="false">+M54*(1+N55)</f>
        <v>7388</v>
      </c>
    </row>
    <row r="55" customFormat="false" ht="14.25" hidden="false" customHeight="false" outlineLevel="0" collapsed="false">
      <c r="A55" s="58" t="s">
        <v>143</v>
      </c>
      <c r="C55" s="54" t="n">
        <f aca="false">+IFERROR(C54/B54-1,"nm")</f>
        <v>0.0722942802466511</v>
      </c>
      <c r="D55" s="54" t="n">
        <f aca="false">+IFERROR(D54/C54-1,"nm")</f>
        <v>0.0295459052151497</v>
      </c>
      <c r="E55" s="54" t="n">
        <f aca="false">+IFERROR(E54/D54-1,"nm")</f>
        <v>0.131548536209553</v>
      </c>
      <c r="F55" s="54" t="n">
        <f aca="false">+IFERROR(F54/E54-1,"nm")</f>
        <v>0.0711489361702127</v>
      </c>
      <c r="G55" s="54" t="n">
        <f aca="false">+IFERROR(G54/F54-1,"nm")</f>
        <v>-0.0637215954234864</v>
      </c>
      <c r="H55" s="54" t="n">
        <f aca="false">+IFERROR(H54/G54-1,"nm")</f>
        <v>0.18295994568907</v>
      </c>
      <c r="I55" s="54" t="n">
        <f aca="false">+IFERROR(I54/H54-1,"nm")</f>
        <v>0.059971305595409</v>
      </c>
      <c r="J55" s="54" t="n">
        <f aca="false">+J56+J57</f>
        <v>0</v>
      </c>
      <c r="K55" s="54" t="n">
        <f aca="false">+K56+K57</f>
        <v>0</v>
      </c>
      <c r="L55" s="54" t="n">
        <f aca="false">+L56+L57</f>
        <v>0</v>
      </c>
      <c r="M55" s="54" t="n">
        <f aca="false">+M56+M57</f>
        <v>0</v>
      </c>
      <c r="N55" s="54" t="n">
        <f aca="false">+N56+N57</f>
        <v>0</v>
      </c>
    </row>
    <row r="56" customFormat="false" ht="14.25" hidden="false" customHeight="false" outlineLevel="0" collapsed="false">
      <c r="A56" s="58" t="s">
        <v>152</v>
      </c>
      <c r="B56" s="54" t="n">
        <f aca="false">+Historicals!B188</f>
        <v>0.24</v>
      </c>
      <c r="C56" s="54" t="n">
        <f aca="false">+Historicals!C188</f>
        <v>0.16</v>
      </c>
      <c r="D56" s="54" t="n">
        <f aca="false">+Historicals!D188</f>
        <v>0.08</v>
      </c>
      <c r="E56" s="54" t="n">
        <f aca="false">+Historicals!E188</f>
        <v>0.06</v>
      </c>
      <c r="F56" s="54" t="n">
        <f aca="false">+Historicals!F188</f>
        <v>0.12</v>
      </c>
      <c r="G56" s="54" t="n">
        <f aca="false">+Historicals!G188</f>
        <v>-0.03</v>
      </c>
      <c r="H56" s="54" t="n">
        <f aca="false">+Historicals!H188</f>
        <v>0.19</v>
      </c>
      <c r="I56" s="54" t="n">
        <f aca="false">+Historicals!I188</f>
        <v>0.09</v>
      </c>
      <c r="J56" s="60" t="n">
        <v>0</v>
      </c>
      <c r="K56" s="60" t="n">
        <f aca="false">+J56</f>
        <v>0</v>
      </c>
      <c r="L56" s="60" t="n">
        <f aca="false">+K56</f>
        <v>0</v>
      </c>
      <c r="M56" s="60" t="n">
        <f aca="false">+L56</f>
        <v>0</v>
      </c>
      <c r="N56" s="60" t="n">
        <f aca="false">+M56</f>
        <v>0</v>
      </c>
    </row>
    <row r="57" customFormat="false" ht="14.25" hidden="false" customHeight="false" outlineLevel="0" collapsed="false">
      <c r="A57" s="58" t="s">
        <v>153</v>
      </c>
      <c r="B57" s="54"/>
      <c r="C57" s="54" t="n">
        <f aca="false">+IFERROR(C55-C56,"nm")</f>
        <v>-0.0877057197533489</v>
      </c>
      <c r="D57" s="54" t="n">
        <f aca="false">+IFERROR(D55-D56,"nm")</f>
        <v>-0.0504540947848503</v>
      </c>
      <c r="E57" s="54" t="n">
        <f aca="false">+IFERROR(E55-E56,"nm")</f>
        <v>0.0715485362095532</v>
      </c>
      <c r="F57" s="54" t="n">
        <f aca="false">+IFERROR(F55-F56,"nm")</f>
        <v>-0.0488510638297873</v>
      </c>
      <c r="G57" s="54" t="n">
        <f aca="false">+IFERROR(G55-G56,"nm")</f>
        <v>-0.0337215954234864</v>
      </c>
      <c r="H57" s="54" t="n">
        <f aca="false">+IFERROR(H55-H56,"nm")</f>
        <v>-0.00704005431092997</v>
      </c>
      <c r="I57" s="54" t="n">
        <f aca="false">+IFERROR(I55-I56,"nm")</f>
        <v>-0.030028694404591</v>
      </c>
      <c r="J57" s="60" t="n">
        <v>0</v>
      </c>
      <c r="K57" s="60" t="n">
        <f aca="false">+J57</f>
        <v>0</v>
      </c>
      <c r="L57" s="60" t="n">
        <f aca="false">+K57</f>
        <v>0</v>
      </c>
      <c r="M57" s="60" t="n">
        <f aca="false">+L57</f>
        <v>0</v>
      </c>
      <c r="N57" s="60" t="n">
        <f aca="false">+M57</f>
        <v>0</v>
      </c>
    </row>
    <row r="58" customFormat="false" ht="14.25" hidden="false" customHeight="false" outlineLevel="0" collapsed="false">
      <c r="A58" s="59" t="s">
        <v>116</v>
      </c>
      <c r="B58" s="15" t="n">
        <f aca="false">+Historicals!B116</f>
        <v>2050</v>
      </c>
      <c r="C58" s="15" t="n">
        <f aca="false">+Historicals!C116</f>
        <v>2149</v>
      </c>
      <c r="D58" s="15" t="n">
        <f aca="false">+Historicals!D116</f>
        <v>2395</v>
      </c>
      <c r="E58" s="15" t="n">
        <f aca="false">+Historicals!E116</f>
        <v>2940</v>
      </c>
      <c r="F58" s="15" t="n">
        <f aca="false">+Historicals!F116</f>
        <v>3087</v>
      </c>
      <c r="G58" s="15" t="n">
        <f aca="false">+Historicals!G116</f>
        <v>3053</v>
      </c>
      <c r="H58" s="15" t="n">
        <f aca="false">+Historicals!H116</f>
        <v>3996</v>
      </c>
      <c r="I58" s="15" t="n">
        <f aca="false">+Historicals!I116</f>
        <v>4527</v>
      </c>
      <c r="J58" s="15" t="n">
        <f aca="false">+I58*(1+J59)</f>
        <v>4527</v>
      </c>
      <c r="K58" s="15" t="n">
        <f aca="false">+J58*(1+K59)</f>
        <v>4527</v>
      </c>
      <c r="L58" s="15" t="n">
        <f aca="false">+K58*(1+L59)</f>
        <v>4527</v>
      </c>
      <c r="M58" s="15" t="n">
        <f aca="false">+L58*(1+M59)</f>
        <v>4527</v>
      </c>
      <c r="N58" s="15" t="n">
        <f aca="false">+M58*(1+N59)</f>
        <v>4527</v>
      </c>
    </row>
    <row r="59" customFormat="false" ht="14.25" hidden="false" customHeight="false" outlineLevel="0" collapsed="false">
      <c r="A59" s="58" t="s">
        <v>143</v>
      </c>
      <c r="C59" s="54" t="n">
        <f aca="false">+IFERROR(C58/B58-1,"nm")</f>
        <v>0.0482926829268293</v>
      </c>
      <c r="D59" s="54" t="n">
        <f aca="false">+IFERROR(D58/C58-1,"nm")</f>
        <v>0.11447184737087</v>
      </c>
      <c r="E59" s="54" t="n">
        <f aca="false">+IFERROR(E58/D58-1,"nm")</f>
        <v>0.227557411273486</v>
      </c>
      <c r="F59" s="54" t="n">
        <f aca="false">+IFERROR(F58/E58-1,"nm")</f>
        <v>0.05</v>
      </c>
      <c r="G59" s="54" t="n">
        <f aca="false">+IFERROR(G58/F58-1,"nm")</f>
        <v>-0.0110139293812763</v>
      </c>
      <c r="H59" s="54" t="n">
        <f aca="false">+IFERROR(H58/G58-1,"nm")</f>
        <v>0.308876514903374</v>
      </c>
      <c r="I59" s="54" t="n">
        <f aca="false">+IFERROR(I58/H58-1,"nm")</f>
        <v>0.132882882882883</v>
      </c>
      <c r="J59" s="54" t="n">
        <f aca="false">+J60+J61</f>
        <v>0</v>
      </c>
      <c r="K59" s="54" t="n">
        <f aca="false">+K60+K61</f>
        <v>0</v>
      </c>
      <c r="L59" s="54" t="n">
        <f aca="false">+L60+L61</f>
        <v>0</v>
      </c>
      <c r="M59" s="54" t="n">
        <f aca="false">+M60+M61</f>
        <v>0</v>
      </c>
      <c r="N59" s="54" t="n">
        <f aca="false">+N60+N61</f>
        <v>0</v>
      </c>
    </row>
    <row r="60" customFormat="false" ht="14.25" hidden="false" customHeight="false" outlineLevel="0" collapsed="false">
      <c r="A60" s="58" t="s">
        <v>152</v>
      </c>
      <c r="B60" s="54" t="n">
        <f aca="false">+Historicals!B189</f>
        <v>0.12</v>
      </c>
      <c r="C60" s="54" t="n">
        <f aca="false">+Historicals!C189</f>
        <v>0.14</v>
      </c>
      <c r="D60" s="54" t="n">
        <f aca="false">+Historicals!D189</f>
        <v>0.17</v>
      </c>
      <c r="E60" s="54" t="n">
        <f aca="false">+Historicals!E189</f>
        <v>0.16</v>
      </c>
      <c r="F60" s="54" t="n">
        <f aca="false">+Historicals!F189</f>
        <v>0.09</v>
      </c>
      <c r="G60" s="54" t="n">
        <f aca="false">+Historicals!G189</f>
        <v>0.02</v>
      </c>
      <c r="H60" s="54" t="n">
        <f aca="false">+Historicals!H189</f>
        <v>0.25</v>
      </c>
      <c r="I60" s="54" t="n">
        <f aca="false">+Historicals!I189</f>
        <v>0.16</v>
      </c>
      <c r="J60" s="60" t="n">
        <v>0</v>
      </c>
      <c r="K60" s="60" t="n">
        <f aca="false">+J60</f>
        <v>0</v>
      </c>
      <c r="L60" s="60" t="n">
        <f aca="false">+K60</f>
        <v>0</v>
      </c>
      <c r="M60" s="60" t="n">
        <f aca="false">+L60</f>
        <v>0</v>
      </c>
      <c r="N60" s="60" t="n">
        <f aca="false">+M60</f>
        <v>0</v>
      </c>
    </row>
    <row r="61" customFormat="false" ht="14.25" hidden="false" customHeight="false" outlineLevel="0" collapsed="false">
      <c r="A61" s="58" t="s">
        <v>153</v>
      </c>
      <c r="C61" s="54" t="n">
        <f aca="false">+IFERROR(C59-C60,"nm")</f>
        <v>-0.0917073170731707</v>
      </c>
      <c r="D61" s="54" t="n">
        <f aca="false">+IFERROR(D59-D60,"nm")</f>
        <v>-0.0555281526291299</v>
      </c>
      <c r="E61" s="54" t="n">
        <f aca="false">+IFERROR(E59-E60,"nm")</f>
        <v>0.0675574112734864</v>
      </c>
      <c r="F61" s="54" t="n">
        <f aca="false">+IFERROR(F59-F60,"nm")</f>
        <v>-0.04</v>
      </c>
      <c r="G61" s="54" t="n">
        <f aca="false">+IFERROR(G59-G60,"nm")</f>
        <v>-0.0310139293812763</v>
      </c>
      <c r="H61" s="54" t="n">
        <f aca="false">+IFERROR(H59-H60,"nm")</f>
        <v>0.0588765149033736</v>
      </c>
      <c r="I61" s="54" t="n">
        <f aca="false">+IFERROR(I59-I60,"nm")</f>
        <v>-0.027117117117117</v>
      </c>
      <c r="J61" s="60" t="n">
        <v>0</v>
      </c>
      <c r="K61" s="60" t="n">
        <f aca="false">+J61</f>
        <v>0</v>
      </c>
      <c r="L61" s="60" t="n">
        <f aca="false">+K61</f>
        <v>0</v>
      </c>
      <c r="M61" s="60" t="n">
        <f aca="false">+L61</f>
        <v>0</v>
      </c>
      <c r="N61" s="60" t="n">
        <f aca="false">+M61</f>
        <v>0</v>
      </c>
    </row>
    <row r="62" customFormat="false" ht="14.25" hidden="false" customHeight="false" outlineLevel="0" collapsed="false">
      <c r="A62" s="59" t="s">
        <v>117</v>
      </c>
      <c r="B62" s="15" t="n">
        <f aca="false">+Historicals!B117</f>
        <v>373</v>
      </c>
      <c r="C62" s="15" t="n">
        <f aca="false">+Historicals!C117</f>
        <v>376</v>
      </c>
      <c r="D62" s="15" t="n">
        <f aca="false">+Historicals!D117</f>
        <v>383</v>
      </c>
      <c r="E62" s="15" t="n">
        <f aca="false">+Historicals!E117</f>
        <v>427</v>
      </c>
      <c r="F62" s="15" t="n">
        <f aca="false">+Historicals!F117</f>
        <v>432</v>
      </c>
      <c r="G62" s="15" t="n">
        <f aca="false">+Historicals!G117</f>
        <v>402</v>
      </c>
      <c r="H62" s="15" t="n">
        <f aca="false">+Historicals!H117</f>
        <v>490</v>
      </c>
      <c r="I62" s="15" t="n">
        <f aca="false">+Historicals!I117</f>
        <v>564</v>
      </c>
      <c r="J62" s="15" t="n">
        <f aca="false">+I62*(1+J63)</f>
        <v>564</v>
      </c>
      <c r="K62" s="15" t="n">
        <f aca="false">+J62*(1+K63)</f>
        <v>564</v>
      </c>
      <c r="L62" s="15" t="n">
        <f aca="false">+K62*(1+L63)</f>
        <v>564</v>
      </c>
      <c r="M62" s="15" t="n">
        <f aca="false">+L62*(1+M63)</f>
        <v>564</v>
      </c>
      <c r="N62" s="15" t="n">
        <f aca="false">+M62*(1+N63)</f>
        <v>564</v>
      </c>
    </row>
    <row r="63" customFormat="false" ht="14.25" hidden="false" customHeight="false" outlineLevel="0" collapsed="false">
      <c r="A63" s="58" t="s">
        <v>143</v>
      </c>
      <c r="C63" s="54" t="n">
        <f aca="false">+IFERROR(C62/B62-1,"nm")</f>
        <v>0.00804289544235926</v>
      </c>
      <c r="D63" s="54" t="n">
        <f aca="false">+IFERROR(D62/C62-1,"nm")</f>
        <v>0.0186170212765957</v>
      </c>
      <c r="E63" s="54" t="n">
        <f aca="false">+IFERROR(E62/D62-1,"nm")</f>
        <v>0.114882506527415</v>
      </c>
      <c r="F63" s="54" t="n">
        <f aca="false">+IFERROR(F62/E62-1,"nm")</f>
        <v>0.0117096018735363</v>
      </c>
      <c r="G63" s="54" t="n">
        <f aca="false">+IFERROR(G62/F62-1,"nm")</f>
        <v>-0.0694444444444444</v>
      </c>
      <c r="H63" s="54" t="n">
        <f aca="false">+IFERROR(H62/G62-1,"nm")</f>
        <v>0.218905472636816</v>
      </c>
      <c r="I63" s="54" t="n">
        <f aca="false">+IFERROR(I62/H62-1,"nm")</f>
        <v>0.151020408163265</v>
      </c>
      <c r="J63" s="54" t="n">
        <f aca="false">+J64+J65</f>
        <v>0</v>
      </c>
      <c r="K63" s="54" t="n">
        <f aca="false">+K64+K65</f>
        <v>0</v>
      </c>
      <c r="L63" s="54" t="n">
        <f aca="false">+L64+L65</f>
        <v>0</v>
      </c>
      <c r="M63" s="54" t="n">
        <f aca="false">+M64+M65</f>
        <v>0</v>
      </c>
      <c r="N63" s="54" t="n">
        <f aca="false">+N64+N65</f>
        <v>0</v>
      </c>
    </row>
    <row r="64" customFormat="false" ht="14.25" hidden="false" customHeight="false" outlineLevel="0" collapsed="false">
      <c r="A64" s="58" t="s">
        <v>152</v>
      </c>
      <c r="B64" s="54" t="n">
        <f aca="false">+Historicals!B190</f>
        <v>0.15</v>
      </c>
      <c r="C64" s="54" t="n">
        <f aca="false">+Historicals!C190</f>
        <v>0.08</v>
      </c>
      <c r="D64" s="54" t="n">
        <f aca="false">+Historicals!D190</f>
        <v>0.07</v>
      </c>
      <c r="E64" s="54" t="n">
        <f aca="false">+Historicals!E190</f>
        <v>0.06</v>
      </c>
      <c r="F64" s="54" t="n">
        <f aca="false">+Historicals!F190</f>
        <v>0.05</v>
      </c>
      <c r="G64" s="54" t="n">
        <f aca="false">+Historicals!G190</f>
        <v>-0.03</v>
      </c>
      <c r="H64" s="54" t="n">
        <f aca="false">+Historicals!H190</f>
        <v>0.19</v>
      </c>
      <c r="I64" s="54" t="n">
        <f aca="false">+Historicals!I190</f>
        <v>0.17</v>
      </c>
      <c r="J64" s="60" t="n">
        <v>0</v>
      </c>
      <c r="K64" s="60" t="n">
        <f aca="false">+J64</f>
        <v>0</v>
      </c>
      <c r="L64" s="60" t="n">
        <f aca="false">+K64</f>
        <v>0</v>
      </c>
      <c r="M64" s="60" t="n">
        <f aca="false">+L64</f>
        <v>0</v>
      </c>
      <c r="N64" s="60" t="n">
        <f aca="false">+M64</f>
        <v>0</v>
      </c>
    </row>
    <row r="65" customFormat="false" ht="14.25" hidden="false" customHeight="false" outlineLevel="0" collapsed="false">
      <c r="A65" s="58" t="s">
        <v>153</v>
      </c>
      <c r="C65" s="54" t="n">
        <f aca="false">+IFERROR(C63-C64,"nm")</f>
        <v>-0.0719571045576408</v>
      </c>
      <c r="D65" s="54" t="n">
        <f aca="false">+IFERROR(D63-D64,"nm")</f>
        <v>-0.0513829787234043</v>
      </c>
      <c r="E65" s="54" t="n">
        <f aca="false">+IFERROR(E63-E64,"nm")</f>
        <v>0.0548825065274151</v>
      </c>
      <c r="F65" s="54" t="n">
        <f aca="false">+IFERROR(F63-F64,"nm")</f>
        <v>-0.0382903981264637</v>
      </c>
      <c r="G65" s="54" t="n">
        <f aca="false">+IFERROR(G63-G64,"nm")</f>
        <v>-0.0394444444444444</v>
      </c>
      <c r="H65" s="54" t="n">
        <f aca="false">+IFERROR(H63-H64,"nm")</f>
        <v>0.0289054726368158</v>
      </c>
      <c r="I65" s="54" t="n">
        <f aca="false">+IFERROR(I63-I64,"nm")</f>
        <v>-0.0189795918367347</v>
      </c>
      <c r="J65" s="60" t="n">
        <v>0</v>
      </c>
      <c r="K65" s="60" t="n">
        <f aca="false">+J65</f>
        <v>0</v>
      </c>
      <c r="L65" s="60" t="n">
        <f aca="false">+K65</f>
        <v>0</v>
      </c>
      <c r="M65" s="60" t="n">
        <f aca="false">+L65</f>
        <v>0</v>
      </c>
      <c r="N65" s="60" t="n">
        <f aca="false">+M65</f>
        <v>0</v>
      </c>
    </row>
    <row r="66" customFormat="false" ht="14.25" hidden="false" customHeight="false" outlineLevel="0" collapsed="false">
      <c r="A66" s="15" t="s">
        <v>144</v>
      </c>
      <c r="B66" s="61" t="n">
        <f aca="false">+B73+B69</f>
        <v>1611</v>
      </c>
      <c r="C66" s="61" t="n">
        <f aca="false">+C73+C69</f>
        <v>1871</v>
      </c>
      <c r="D66" s="61" t="n">
        <f aca="false">+D73+D69</f>
        <v>1611</v>
      </c>
      <c r="E66" s="61" t="n">
        <f aca="false">+E73+E69</f>
        <v>1703</v>
      </c>
      <c r="F66" s="61" t="n">
        <f aca="false">+F73+F69</f>
        <v>2106</v>
      </c>
      <c r="G66" s="61" t="n">
        <f aca="false">+G73+G69</f>
        <v>1673</v>
      </c>
      <c r="H66" s="61" t="n">
        <f aca="false">+H73+H69</f>
        <v>2571</v>
      </c>
      <c r="I66" s="61" t="n">
        <f aca="false">+I73+I69</f>
        <v>3427</v>
      </c>
      <c r="J66" s="61" t="n">
        <f aca="false">+J52*J68</f>
        <v>3427</v>
      </c>
      <c r="K66" s="61" t="n">
        <f aca="false">+K52*K68</f>
        <v>3427</v>
      </c>
      <c r="L66" s="61" t="n">
        <f aca="false">+L52*L68</f>
        <v>3427</v>
      </c>
      <c r="M66" s="61" t="n">
        <f aca="false">+M52*M68</f>
        <v>3427</v>
      </c>
      <c r="N66" s="61" t="n">
        <f aca="false">+N52*N68</f>
        <v>3427</v>
      </c>
    </row>
    <row r="67" customFormat="false" ht="14.25" hidden="false" customHeight="false" outlineLevel="0" collapsed="false">
      <c r="A67" s="53" t="s">
        <v>143</v>
      </c>
      <c r="C67" s="54" t="n">
        <f aca="false">+IFERROR(C66/B66-1,"nm")</f>
        <v>0.16139044072005</v>
      </c>
      <c r="D67" s="54" t="n">
        <f aca="false">+IFERROR(D66/C66-1,"nm")</f>
        <v>-0.138963121325494</v>
      </c>
      <c r="E67" s="54" t="n">
        <f aca="false">+IFERROR(E66/D66-1,"nm")</f>
        <v>0.0571073867163252</v>
      </c>
      <c r="F67" s="54" t="n">
        <f aca="false">+IFERROR(F66/E66-1,"nm")</f>
        <v>0.236641221374046</v>
      </c>
      <c r="G67" s="54" t="n">
        <f aca="false">+IFERROR(G66/F66-1,"nm")</f>
        <v>-0.205603038936372</v>
      </c>
      <c r="H67" s="54" t="n">
        <f aca="false">+IFERROR(H66/G66-1,"nm")</f>
        <v>0.536760310818888</v>
      </c>
      <c r="I67" s="54" t="n">
        <f aca="false">+IFERROR(I66/H66-1,"nm")</f>
        <v>0.332944379618825</v>
      </c>
      <c r="J67" s="54" t="n">
        <f aca="false">+IFERROR(J66/I66-1,"nm")</f>
        <v>0</v>
      </c>
      <c r="K67" s="54" t="n">
        <f aca="false">+IFERROR(K66/J66-1,"nm")</f>
        <v>0</v>
      </c>
      <c r="L67" s="54" t="n">
        <f aca="false">+IFERROR(L66/K66-1,"nm")</f>
        <v>0</v>
      </c>
      <c r="M67" s="54" t="n">
        <f aca="false">+IFERROR(M66/L66-1,"nm")</f>
        <v>0</v>
      </c>
      <c r="N67" s="54" t="n">
        <f aca="false">+IFERROR(N66/M66-1,"nm")</f>
        <v>0</v>
      </c>
    </row>
    <row r="68" customFormat="false" ht="14.25" hidden="false" customHeight="false" outlineLevel="0" collapsed="false">
      <c r="A68" s="53" t="s">
        <v>145</v>
      </c>
      <c r="B68" s="54" t="n">
        <f aca="false">+IFERROR(B66/B$52,"nm")</f>
        <v>0.226073533539152</v>
      </c>
      <c r="C68" s="54" t="n">
        <f aca="false">+IFERROR(C66/C$52,"nm")</f>
        <v>0.247225158562368</v>
      </c>
      <c r="D68" s="54" t="n">
        <f aca="false">+IFERROR(D66/D$52,"nm")</f>
        <v>0.202132998745295</v>
      </c>
      <c r="E68" s="54" t="n">
        <f aca="false">+IFERROR(E66/E$52,"nm")</f>
        <v>0.184267474572603</v>
      </c>
      <c r="F68" s="54" t="n">
        <f aca="false">+IFERROR(F66/F$52,"nm")</f>
        <v>0.214635140644109</v>
      </c>
      <c r="G68" s="54" t="n">
        <f aca="false">+IFERROR(G66/G$52,"nm")</f>
        <v>0.178987910559538</v>
      </c>
      <c r="H68" s="54" t="n">
        <f aca="false">+IFERROR(H66/H$52,"nm")</f>
        <v>0.224423882681564</v>
      </c>
      <c r="I68" s="54" t="n">
        <f aca="false">+IFERROR(I66/I$52,"nm")</f>
        <v>0.274621363891337</v>
      </c>
      <c r="J68" s="60" t="n">
        <f aca="false">+I68</f>
        <v>0.274621363891337</v>
      </c>
      <c r="K68" s="60" t="n">
        <f aca="false">+J68</f>
        <v>0.274621363891337</v>
      </c>
      <c r="L68" s="60" t="n">
        <f aca="false">+K68</f>
        <v>0.274621363891337</v>
      </c>
      <c r="M68" s="60" t="n">
        <f aca="false">+L68</f>
        <v>0.274621363891337</v>
      </c>
      <c r="N68" s="60" t="n">
        <f aca="false">+M68</f>
        <v>0.274621363891337</v>
      </c>
    </row>
    <row r="69" customFormat="false" ht="14.25" hidden="false" customHeight="false" outlineLevel="0" collapsed="false">
      <c r="A69" s="15" t="s">
        <v>146</v>
      </c>
      <c r="B69" s="15" t="n">
        <f aca="false">+Historicals!B172</f>
        <v>87</v>
      </c>
      <c r="C69" s="15" t="n">
        <f aca="false">+Historicals!C172</f>
        <v>84</v>
      </c>
      <c r="D69" s="15" t="n">
        <f aca="false">+Historicals!D172</f>
        <v>104</v>
      </c>
      <c r="E69" s="15" t="n">
        <f aca="false">+Historicals!E172</f>
        <v>116</v>
      </c>
      <c r="F69" s="15" t="n">
        <f aca="false">+Historicals!F172</f>
        <v>111</v>
      </c>
      <c r="G69" s="15" t="n">
        <f aca="false">+Historicals!G172</f>
        <v>132</v>
      </c>
      <c r="H69" s="15" t="n">
        <f aca="false">+Historicals!H172</f>
        <v>136</v>
      </c>
      <c r="I69" s="15" t="n">
        <f aca="false">+Historicals!I172</f>
        <v>134</v>
      </c>
      <c r="J69" s="61" t="n">
        <f aca="false">+J72*J79</f>
        <v>134</v>
      </c>
      <c r="K69" s="61" t="n">
        <f aca="false">+K72*K79</f>
        <v>134</v>
      </c>
      <c r="L69" s="61" t="n">
        <f aca="false">+L72*L79</f>
        <v>134</v>
      </c>
      <c r="M69" s="61" t="n">
        <f aca="false">+M72*M79</f>
        <v>134</v>
      </c>
      <c r="N69" s="61" t="n">
        <f aca="false">+N72*N79</f>
        <v>134</v>
      </c>
    </row>
    <row r="70" customFormat="false" ht="14.25" hidden="false" customHeight="false" outlineLevel="0" collapsed="false">
      <c r="A70" s="53" t="s">
        <v>143</v>
      </c>
      <c r="C70" s="54" t="n">
        <f aca="false">+IFERROR(C69/B69-1,"nm")</f>
        <v>-0.0344827586206896</v>
      </c>
      <c r="D70" s="54" t="n">
        <f aca="false">+IFERROR(D69/C69-1,"nm")</f>
        <v>0.238095238095238</v>
      </c>
      <c r="E70" s="54" t="n">
        <f aca="false">+IFERROR(E69/D69-1,"nm")</f>
        <v>0.115384615384615</v>
      </c>
      <c r="F70" s="54" t="n">
        <f aca="false">+IFERROR(F69/E69-1,"nm")</f>
        <v>-0.0431034482758621</v>
      </c>
      <c r="G70" s="54" t="n">
        <f aca="false">+IFERROR(G69/F69-1,"nm")</f>
        <v>0.189189189189189</v>
      </c>
      <c r="H70" s="54" t="n">
        <f aca="false">+IFERROR(H69/G69-1,"nm")</f>
        <v>0.0303030303030303</v>
      </c>
      <c r="I70" s="54" t="n">
        <f aca="false">+IFERROR(I69/H69-1,"nm")</f>
        <v>-0.0147058823529411</v>
      </c>
      <c r="J70" s="54" t="n">
        <f aca="false">+IFERROR(J69/I69-1,"nm")</f>
        <v>0</v>
      </c>
      <c r="K70" s="54" t="n">
        <f aca="false">+IFERROR(K69/J69-1,"nm")</f>
        <v>0</v>
      </c>
      <c r="L70" s="54" t="n">
        <f aca="false">+IFERROR(L69/K69-1,"nm")</f>
        <v>0</v>
      </c>
      <c r="M70" s="54" t="n">
        <f aca="false">+IFERROR(M69/L69-1,"nm")</f>
        <v>0</v>
      </c>
      <c r="N70" s="54" t="n">
        <f aca="false">+IFERROR(N69/M69-1,"nm")</f>
        <v>0</v>
      </c>
    </row>
    <row r="71" customFormat="false" ht="14.25" hidden="false" customHeight="false" outlineLevel="0" collapsed="false">
      <c r="A71" s="53" t="s">
        <v>147</v>
      </c>
      <c r="B71" s="54" t="n">
        <f aca="false">+IFERROR(B69/B$52,"nm")</f>
        <v>0.0122088127982038</v>
      </c>
      <c r="C71" s="54" t="n">
        <f aca="false">+IFERROR(C69/C$52,"nm")</f>
        <v>0.0110993657505285</v>
      </c>
      <c r="D71" s="54" t="n">
        <f aca="false">+IFERROR(D69/D$52,"nm")</f>
        <v>0.0130489335006274</v>
      </c>
      <c r="E71" s="54" t="n">
        <f aca="false">+IFERROR(E69/E$52,"nm")</f>
        <v>0.0125513958017745</v>
      </c>
      <c r="F71" s="54" t="n">
        <f aca="false">+IFERROR(F69/F$52,"nm")</f>
        <v>0.0113126783530371</v>
      </c>
      <c r="G71" s="54" t="n">
        <f aca="false">+IFERROR(G69/G$52,"nm")</f>
        <v>0.0141221782390072</v>
      </c>
      <c r="H71" s="54" t="n">
        <f aca="false">+IFERROR(H69/H$52,"nm")</f>
        <v>0.0118715083798883</v>
      </c>
      <c r="I71" s="54" t="n">
        <f aca="false">+IFERROR(I69/I$52,"nm")</f>
        <v>0.0107380399070438</v>
      </c>
      <c r="J71" s="62" t="n">
        <f aca="false">+IFERROR(J69/J$52,"nm")</f>
        <v>0.0107380399070438</v>
      </c>
      <c r="K71" s="62" t="n">
        <f aca="false">+IFERROR(K69/K$52,"nm")</f>
        <v>0.0107380399070438</v>
      </c>
      <c r="L71" s="62" t="n">
        <f aca="false">+IFERROR(L69/L$52,"nm")</f>
        <v>0.0107380399070438</v>
      </c>
      <c r="M71" s="62" t="n">
        <f aca="false">+IFERROR(M69/M$52,"nm")</f>
        <v>0.0107380399070438</v>
      </c>
      <c r="N71" s="62" t="n">
        <f aca="false">+IFERROR(N69/N$52,"nm")</f>
        <v>0.0107380399070438</v>
      </c>
    </row>
    <row r="72" customFormat="false" ht="14.25" hidden="false" customHeight="false" outlineLevel="0" collapsed="false">
      <c r="A72" s="53" t="s">
        <v>154</v>
      </c>
      <c r="B72" s="54" t="n">
        <f aca="false">+IFERROR(B69/B79,"nm")</f>
        <v>0.174698795180723</v>
      </c>
      <c r="C72" s="54" t="n">
        <f aca="false">+IFERROR(C69/C79,"nm")</f>
        <v>0.131455399061033</v>
      </c>
      <c r="D72" s="54" t="n">
        <f aca="false">+IFERROR(D69/D79,"nm")</f>
        <v>0.146685472496474</v>
      </c>
      <c r="E72" s="54" t="n">
        <f aca="false">+IFERROR(E69/E79,"nm")</f>
        <v>0.136631330977621</v>
      </c>
      <c r="F72" s="54" t="n">
        <f aca="false">+IFERROR(F69/F79,"nm")</f>
        <v>0.119483315392896</v>
      </c>
      <c r="G72" s="54" t="n">
        <f aca="false">+IFERROR(G69/G79,"nm")</f>
        <v>0.149152542372881</v>
      </c>
      <c r="H72" s="54" t="n">
        <f aca="false">+IFERROR(H69/H79,"nm")</f>
        <v>0.138492871690428</v>
      </c>
      <c r="I72" s="54" t="n">
        <f aca="false">+IFERROR(I69/I79,"nm")</f>
        <v>0.145652173913043</v>
      </c>
      <c r="J72" s="60" t="n">
        <f aca="false">+I72</f>
        <v>0.145652173913043</v>
      </c>
      <c r="K72" s="60" t="n">
        <f aca="false">+J72</f>
        <v>0.145652173913043</v>
      </c>
      <c r="L72" s="60" t="n">
        <f aca="false">+K72</f>
        <v>0.145652173913043</v>
      </c>
      <c r="M72" s="60" t="n">
        <f aca="false">+L72</f>
        <v>0.145652173913043</v>
      </c>
      <c r="N72" s="60" t="n">
        <f aca="false">+M72</f>
        <v>0.145652173913043</v>
      </c>
    </row>
    <row r="73" customFormat="false" ht="14.25" hidden="false" customHeight="false" outlineLevel="0" collapsed="false">
      <c r="A73" s="15" t="s">
        <v>148</v>
      </c>
      <c r="B73" s="15" t="n">
        <f aca="false">+Historicals!B138</f>
        <v>1524</v>
      </c>
      <c r="C73" s="15" t="n">
        <f aca="false">+Historicals!C138</f>
        <v>1787</v>
      </c>
      <c r="D73" s="15" t="n">
        <f aca="false">+Historicals!D138</f>
        <v>1507</v>
      </c>
      <c r="E73" s="15" t="n">
        <f aca="false">+Historicals!E138</f>
        <v>1587</v>
      </c>
      <c r="F73" s="15" t="n">
        <f aca="false">+Historicals!F138</f>
        <v>1995</v>
      </c>
      <c r="G73" s="15" t="n">
        <f aca="false">+Historicals!G138</f>
        <v>1541</v>
      </c>
      <c r="H73" s="15" t="n">
        <f aca="false">+Historicals!H138</f>
        <v>2435</v>
      </c>
      <c r="I73" s="15" t="n">
        <f aca="false">+Historicals!I138</f>
        <v>3293</v>
      </c>
      <c r="J73" s="15" t="n">
        <f aca="false">+J66-J69</f>
        <v>3293</v>
      </c>
      <c r="K73" s="15" t="n">
        <f aca="false">+K66-K69</f>
        <v>3293</v>
      </c>
      <c r="L73" s="15" t="n">
        <f aca="false">+L66-L69</f>
        <v>3293</v>
      </c>
      <c r="M73" s="15" t="n">
        <f aca="false">+M66-M69</f>
        <v>3293</v>
      </c>
      <c r="N73" s="15" t="n">
        <f aca="false">+N66-N69</f>
        <v>3293</v>
      </c>
    </row>
    <row r="74" customFormat="false" ht="14.25" hidden="false" customHeight="false" outlineLevel="0" collapsed="false">
      <c r="A74" s="53" t="s">
        <v>143</v>
      </c>
      <c r="C74" s="54" t="n">
        <f aca="false">+IFERROR(C73/B73-1,"nm")</f>
        <v>0.17257217847769</v>
      </c>
      <c r="D74" s="54" t="n">
        <f aca="false">+IFERROR(D73/C73-1,"nm")</f>
        <v>-0.156687185226637</v>
      </c>
      <c r="E74" s="54" t="n">
        <f aca="false">+IFERROR(E73/D73-1,"nm")</f>
        <v>0.053085600530856</v>
      </c>
      <c r="F74" s="54" t="n">
        <f aca="false">+IFERROR(F73/E73-1,"nm")</f>
        <v>0.257088846880907</v>
      </c>
      <c r="G74" s="54" t="n">
        <f aca="false">+IFERROR(G73/F73-1,"nm")</f>
        <v>-0.227568922305764</v>
      </c>
      <c r="H74" s="54" t="n">
        <f aca="false">+IFERROR(H73/G73-1,"nm")</f>
        <v>0.580142764438676</v>
      </c>
      <c r="I74" s="54" t="n">
        <f aca="false">+IFERROR(I73/H73-1,"nm")</f>
        <v>0.352361396303901</v>
      </c>
      <c r="J74" s="54" t="n">
        <f aca="false">+IFERROR(J73/I73-1,"nm")</f>
        <v>0</v>
      </c>
      <c r="K74" s="54" t="n">
        <f aca="false">+IFERROR(K73/J73-1,"nm")</f>
        <v>0</v>
      </c>
      <c r="L74" s="54" t="n">
        <f aca="false">+IFERROR(L73/K73-1,"nm")</f>
        <v>0</v>
      </c>
      <c r="M74" s="54" t="n">
        <f aca="false">+IFERROR(M73/L73-1,"nm")</f>
        <v>0</v>
      </c>
      <c r="N74" s="54" t="n">
        <f aca="false">+IFERROR(N73/M73-1,"nm")</f>
        <v>0</v>
      </c>
    </row>
    <row r="75" customFormat="false" ht="14.25" hidden="false" customHeight="false" outlineLevel="0" collapsed="false">
      <c r="A75" s="53" t="s">
        <v>145</v>
      </c>
      <c r="B75" s="54" t="n">
        <f aca="false">+IFERROR(B73/B$52,"nm")</f>
        <v>0.213864720740949</v>
      </c>
      <c r="C75" s="54" t="n">
        <f aca="false">+IFERROR(C73/C$52,"nm")</f>
        <v>0.236125792811839</v>
      </c>
      <c r="D75" s="54" t="n">
        <f aca="false">+IFERROR(D73/D$52,"nm")</f>
        <v>0.189084065244668</v>
      </c>
      <c r="E75" s="54" t="n">
        <f aca="false">+IFERROR(E73/E$52,"nm")</f>
        <v>0.171716078770829</v>
      </c>
      <c r="F75" s="54" t="n">
        <f aca="false">+IFERROR(F73/F$52,"nm")</f>
        <v>0.203322462291072</v>
      </c>
      <c r="G75" s="54" t="n">
        <f aca="false">+IFERROR(G73/G$52,"nm")</f>
        <v>0.164865732320531</v>
      </c>
      <c r="H75" s="54" t="n">
        <f aca="false">+IFERROR(H73/H$52,"nm")</f>
        <v>0.212552374301676</v>
      </c>
      <c r="I75" s="54" t="n">
        <f aca="false">+IFERROR(I73/I$52,"nm")</f>
        <v>0.263883323984294</v>
      </c>
      <c r="J75" s="62" t="n">
        <f aca="false">+IFERROR(J73/J$52,"nK75m")</f>
        <v>0.263883323984294</v>
      </c>
      <c r="K75" s="62" t="n">
        <f aca="false">+IFERROR(K73/K$52,"nK75m")</f>
        <v>0.263883323984294</v>
      </c>
      <c r="L75" s="62" t="n">
        <f aca="false">+IFERROR(L73/L$52,"nK75m")</f>
        <v>0.263883323984294</v>
      </c>
      <c r="M75" s="62" t="n">
        <f aca="false">+IFERROR(M73/M$52,"nK75m")</f>
        <v>0.263883323984294</v>
      </c>
      <c r="N75" s="62" t="n">
        <f aca="false">+IFERROR(N73/N$52,"nK75m")</f>
        <v>0.263883323984294</v>
      </c>
    </row>
    <row r="76" customFormat="false" ht="14.25" hidden="false" customHeight="false" outlineLevel="0" collapsed="false">
      <c r="A76" s="15" t="s">
        <v>149</v>
      </c>
      <c r="B76" s="15" t="n">
        <f aca="false">+Historicals!B160</f>
        <v>236</v>
      </c>
      <c r="C76" s="15" t="n">
        <f aca="false">+Historicals!C160</f>
        <v>232</v>
      </c>
      <c r="D76" s="15" t="n">
        <f aca="false">+Historicals!D160</f>
        <v>173</v>
      </c>
      <c r="E76" s="15" t="n">
        <f aca="false">+Historicals!E160</f>
        <v>240</v>
      </c>
      <c r="F76" s="15" t="n">
        <f aca="false">+Historicals!F160</f>
        <v>233</v>
      </c>
      <c r="G76" s="15" t="n">
        <f aca="false">+Historicals!G160</f>
        <v>139</v>
      </c>
      <c r="H76" s="15" t="n">
        <f aca="false">+Historicals!H160</f>
        <v>153</v>
      </c>
      <c r="I76" s="15" t="n">
        <f aca="false">+Historicals!I160</f>
        <v>197</v>
      </c>
      <c r="J76" s="61" t="n">
        <f aca="false">+J52*J78</f>
        <v>197</v>
      </c>
      <c r="K76" s="61" t="n">
        <f aca="false">+K52*K78</f>
        <v>197</v>
      </c>
      <c r="L76" s="61" t="n">
        <f aca="false">+L52*L78</f>
        <v>197</v>
      </c>
      <c r="M76" s="61" t="n">
        <f aca="false">+M52*M78</f>
        <v>197</v>
      </c>
      <c r="N76" s="61" t="n">
        <f aca="false">+N52*N78</f>
        <v>197</v>
      </c>
    </row>
    <row r="77" customFormat="false" ht="14.25" hidden="false" customHeight="false" outlineLevel="0" collapsed="false">
      <c r="A77" s="53" t="s">
        <v>143</v>
      </c>
      <c r="C77" s="54" t="n">
        <f aca="false">+IFERROR(C76/B76-1,"nm")</f>
        <v>-0.0169491525423728</v>
      </c>
      <c r="D77" s="54" t="n">
        <f aca="false">+IFERROR(D76/C76-1,"nm")</f>
        <v>-0.254310344827586</v>
      </c>
      <c r="E77" s="54" t="n">
        <f aca="false">+IFERROR(E76/D76-1,"nm")</f>
        <v>0.38728323699422</v>
      </c>
      <c r="F77" s="54" t="n">
        <f aca="false">+IFERROR(F76/E76-1,"nm")</f>
        <v>-0.0291666666666667</v>
      </c>
      <c r="G77" s="54" t="n">
        <f aca="false">+IFERROR(G76/F76-1,"nm")</f>
        <v>-0.40343347639485</v>
      </c>
      <c r="H77" s="54" t="n">
        <f aca="false">+IFERROR(H76/G76-1,"nm")</f>
        <v>0.100719424460432</v>
      </c>
      <c r="I77" s="54" t="n">
        <f aca="false">+IFERROR(I76/H76-1,"nm")</f>
        <v>0.287581699346405</v>
      </c>
      <c r="J77" s="54" t="n">
        <f aca="false">+IFERROR(J76/I76-1,"nm")</f>
        <v>0</v>
      </c>
      <c r="K77" s="54" t="n">
        <f aca="false">+IFERROR(K76/J76-1,"nm")</f>
        <v>0</v>
      </c>
      <c r="L77" s="54" t="n">
        <f aca="false">+IFERROR(L76/K76-1,"nm")</f>
        <v>0</v>
      </c>
      <c r="M77" s="54" t="n">
        <f aca="false">+IFERROR(M76/L76-1,"nm")</f>
        <v>0</v>
      </c>
      <c r="N77" s="54" t="n">
        <f aca="false">+IFERROR(N76/M76-1,"nm")</f>
        <v>0</v>
      </c>
    </row>
    <row r="78" customFormat="false" ht="14.25" hidden="false" customHeight="false" outlineLevel="0" collapsed="false">
      <c r="A78" s="53" t="s">
        <v>147</v>
      </c>
      <c r="B78" s="54" t="n">
        <f aca="false">+IFERROR(B76/B$52,"nm")</f>
        <v>0.0331181588548976</v>
      </c>
      <c r="C78" s="54" t="n">
        <f aca="false">+IFERROR(C76/C$52,"nm")</f>
        <v>0.0306553911205074</v>
      </c>
      <c r="D78" s="54" t="n">
        <f aca="false">+IFERROR(D76/D$52,"nm")</f>
        <v>0.0217063989962359</v>
      </c>
      <c r="E78" s="54" t="n">
        <f aca="false">+IFERROR(E76/E$52,"nm")</f>
        <v>0.0259684051071197</v>
      </c>
      <c r="F78" s="54" t="n">
        <f aca="false">+IFERROR(F76/F$52,"nm")</f>
        <v>0.0237464329392581</v>
      </c>
      <c r="G78" s="54" t="n">
        <f aca="false">+IFERROR(G76/G$52,"nm")</f>
        <v>0.0148710816304697</v>
      </c>
      <c r="H78" s="54" t="n">
        <f aca="false">+IFERROR(H76/H$52,"nm")</f>
        <v>0.0133554469273743</v>
      </c>
      <c r="I78" s="54" t="n">
        <f aca="false">+IFERROR(I76/I$52,"nm")</f>
        <v>0.0157865213558779</v>
      </c>
      <c r="J78" s="60" t="n">
        <f aca="false">+I78</f>
        <v>0.0157865213558779</v>
      </c>
      <c r="K78" s="60" t="n">
        <f aca="false">+J78</f>
        <v>0.0157865213558779</v>
      </c>
      <c r="L78" s="60" t="n">
        <f aca="false">+K78</f>
        <v>0.0157865213558779</v>
      </c>
      <c r="M78" s="60" t="n">
        <f aca="false">+L78</f>
        <v>0.0157865213558779</v>
      </c>
      <c r="N78" s="60" t="n">
        <f aca="false">+M78</f>
        <v>0.0157865213558779</v>
      </c>
    </row>
    <row r="79" customFormat="false" ht="14.25" hidden="false" customHeight="false" outlineLevel="0" collapsed="false">
      <c r="A79" s="15" t="s">
        <v>150</v>
      </c>
      <c r="B79" s="15" t="n">
        <f aca="false">+Historicals!B149</f>
        <v>498</v>
      </c>
      <c r="C79" s="15" t="n">
        <f aca="false">+Historicals!C149</f>
        <v>639</v>
      </c>
      <c r="D79" s="15" t="n">
        <f aca="false">+Historicals!D149</f>
        <v>709</v>
      </c>
      <c r="E79" s="15" t="n">
        <f aca="false">+Historicals!E149</f>
        <v>849</v>
      </c>
      <c r="F79" s="15" t="n">
        <f aca="false">+Historicals!F149</f>
        <v>929</v>
      </c>
      <c r="G79" s="15" t="n">
        <f aca="false">+Historicals!G149</f>
        <v>885</v>
      </c>
      <c r="H79" s="15" t="n">
        <f aca="false">+Historicals!H149</f>
        <v>982</v>
      </c>
      <c r="I79" s="15" t="n">
        <f aca="false">+Historicals!I149</f>
        <v>920</v>
      </c>
      <c r="J79" s="61" t="n">
        <f aca="false">+J52*J81</f>
        <v>920</v>
      </c>
      <c r="K79" s="61" t="n">
        <f aca="false">+K52*K81</f>
        <v>920</v>
      </c>
      <c r="L79" s="61" t="n">
        <f aca="false">+L52*L81</f>
        <v>920</v>
      </c>
      <c r="M79" s="61" t="n">
        <f aca="false">+M52*M81</f>
        <v>920</v>
      </c>
      <c r="N79" s="61" t="n">
        <f aca="false">+N52*N81</f>
        <v>920</v>
      </c>
    </row>
    <row r="80" customFormat="false" ht="14.25" hidden="false" customHeight="false" outlineLevel="0" collapsed="false">
      <c r="A80" s="53" t="s">
        <v>143</v>
      </c>
      <c r="C80" s="54" t="n">
        <f aca="false">+IFERROR(C79/B79-1,"nm")</f>
        <v>0.283132530120482</v>
      </c>
      <c r="D80" s="54" t="n">
        <f aca="false">+IFERROR(D79/C79-1,"nm")</f>
        <v>0.109546165884194</v>
      </c>
      <c r="E80" s="54" t="n">
        <f aca="false">+IFERROR(E79/D79-1,"nm")</f>
        <v>0.197461212976022</v>
      </c>
      <c r="F80" s="54" t="n">
        <f aca="false">+IFERROR(F79/E79-1,"nm")</f>
        <v>0.0942285041224971</v>
      </c>
      <c r="G80" s="54" t="n">
        <f aca="false">+IFERROR(G79/F79-1,"nm")</f>
        <v>-0.0473627556512379</v>
      </c>
      <c r="H80" s="54" t="n">
        <f aca="false">+IFERROR(H79/G79-1,"nm")</f>
        <v>0.109604519774011</v>
      </c>
      <c r="I80" s="54" t="n">
        <f aca="false">+IFERROR(I79/H79-1,"nm")</f>
        <v>-0.0631364562118126</v>
      </c>
      <c r="J80" s="54" t="n">
        <f aca="false">+J81+J82</f>
        <v>0.0737238560782114</v>
      </c>
      <c r="K80" s="54" t="n">
        <f aca="false">+K81+K82</f>
        <v>0.0737238560782114</v>
      </c>
      <c r="L80" s="54" t="n">
        <f aca="false">+L81+L82</f>
        <v>0.0737238560782114</v>
      </c>
      <c r="M80" s="54" t="n">
        <f aca="false">+M81+M82</f>
        <v>0.0737238560782114</v>
      </c>
      <c r="N80" s="54" t="n">
        <f aca="false">+N81+N82</f>
        <v>0.0737238560782114</v>
      </c>
    </row>
    <row r="81" customFormat="false" ht="14.25" hidden="false" customHeight="false" outlineLevel="0" collapsed="false">
      <c r="A81" s="53" t="s">
        <v>147</v>
      </c>
      <c r="B81" s="54" t="n">
        <f aca="false">+IFERROR(B79/B$52,"nm")</f>
        <v>0.0698849284310974</v>
      </c>
      <c r="C81" s="54" t="n">
        <f aca="false">+IFERROR(C79/C$52,"nm")</f>
        <v>0.0844344608879493</v>
      </c>
      <c r="D81" s="54" t="n">
        <f aca="false">+IFERROR(D79/D$52,"nm")</f>
        <v>0.0889585947302384</v>
      </c>
      <c r="E81" s="54" t="n">
        <f aca="false">+IFERROR(E79/E$52,"nm")</f>
        <v>0.0918632330664358</v>
      </c>
      <c r="F81" s="54" t="n">
        <f aca="false">+IFERROR(F79/F$52,"nm")</f>
        <v>0.0946799836934366</v>
      </c>
      <c r="G81" s="54" t="n">
        <f aca="false">+IFERROR(G79/G$52,"nm")</f>
        <v>0.0946827859206162</v>
      </c>
      <c r="H81" s="54" t="n">
        <f aca="false">+IFERROR(H79/H$52,"nm")</f>
        <v>0.0857192737430168</v>
      </c>
      <c r="I81" s="54" t="n">
        <f aca="false">+IFERROR(I79/I$52,"nm")</f>
        <v>0.0737238560782114</v>
      </c>
      <c r="J81" s="60" t="n">
        <f aca="false">+I81</f>
        <v>0.0737238560782114</v>
      </c>
      <c r="K81" s="60" t="n">
        <f aca="false">+J81</f>
        <v>0.0737238560782114</v>
      </c>
      <c r="L81" s="60" t="n">
        <f aca="false">+K81</f>
        <v>0.0737238560782114</v>
      </c>
      <c r="M81" s="60" t="n">
        <f aca="false">+L81</f>
        <v>0.0737238560782114</v>
      </c>
      <c r="N81" s="60" t="n">
        <f aca="false">+M81</f>
        <v>0.0737238560782114</v>
      </c>
    </row>
    <row r="82" customFormat="false" ht="14.25" hidden="false" customHeight="false" outlineLevel="0" collapsed="false">
      <c r="A82" s="56" t="str">
        <f aca="false">+Historicals!A191</f>
        <v>Greater China</v>
      </c>
      <c r="B82" s="57"/>
      <c r="C82" s="57"/>
      <c r="D82" s="57"/>
      <c r="E82" s="57"/>
      <c r="F82" s="57"/>
      <c r="G82" s="57"/>
      <c r="H82" s="57"/>
      <c r="I82" s="57"/>
      <c r="J82" s="51"/>
      <c r="K82" s="51"/>
      <c r="L82" s="51"/>
      <c r="M82" s="51"/>
      <c r="N82" s="51"/>
    </row>
    <row r="83" customFormat="false" ht="14.25" hidden="false" customHeight="false" outlineLevel="0" collapsed="false">
      <c r="A83" s="15" t="s">
        <v>151</v>
      </c>
      <c r="B83" s="15" t="n">
        <f aca="false">B85+B89+B93</f>
        <v>3067</v>
      </c>
      <c r="C83" s="15" t="n">
        <f aca="false">C85+C89+C93</f>
        <v>3785</v>
      </c>
      <c r="D83" s="15" t="n">
        <f aca="false">D85+D89+D93</f>
        <v>4237</v>
      </c>
      <c r="E83" s="15" t="n">
        <f aca="false">E85+E89+E93</f>
        <v>5134</v>
      </c>
      <c r="F83" s="15" t="n">
        <f aca="false">F85+F89+F93</f>
        <v>6208</v>
      </c>
      <c r="G83" s="15" t="n">
        <f aca="false">G85+G89+G93</f>
        <v>6679</v>
      </c>
      <c r="H83" s="15" t="n">
        <f aca="false">H85+H89+H93</f>
        <v>8290</v>
      </c>
      <c r="I83" s="15" t="n">
        <f aca="false">I85+I89+I93</f>
        <v>7547</v>
      </c>
      <c r="J83" s="15" t="n">
        <f aca="false">+SUM(J85+J89+J93)</f>
        <v>7547</v>
      </c>
      <c r="K83" s="15" t="n">
        <f aca="false">+SUM(K85+K89+K93)</f>
        <v>7547</v>
      </c>
      <c r="L83" s="15" t="n">
        <f aca="false">+SUM(L85+L89+L93)</f>
        <v>7547</v>
      </c>
      <c r="M83" s="15" t="n">
        <f aca="false">+SUM(M85+M89+M93)</f>
        <v>7547</v>
      </c>
      <c r="N83" s="15" t="n">
        <f aca="false">+SUM(N85+N89+N93)</f>
        <v>7547</v>
      </c>
    </row>
    <row r="84" customFormat="false" ht="14.25" hidden="false" customHeight="false" outlineLevel="0" collapsed="false">
      <c r="A84" s="58" t="s">
        <v>143</v>
      </c>
      <c r="C84" s="54" t="n">
        <f aca="false">+IFERROR(C83/B83-1,"nm")</f>
        <v>0.234104988588197</v>
      </c>
      <c r="D84" s="54" t="n">
        <f aca="false">+IFERROR(D83/C83-1,"nm")</f>
        <v>0.119418758256275</v>
      </c>
      <c r="E84" s="54" t="n">
        <f aca="false">+IFERROR(E83/D83-1,"nm")</f>
        <v>0.21170639603493</v>
      </c>
      <c r="F84" s="54" t="n">
        <f aca="false">+IFERROR(F83/E83-1,"nm")</f>
        <v>0.209193611219322</v>
      </c>
      <c r="G84" s="54" t="n">
        <f aca="false">+IFERROR(G83/F83-1,"nm")</f>
        <v>0.0758698453608246</v>
      </c>
      <c r="H84" s="54" t="n">
        <f aca="false">+IFERROR(H83/G83-1,"nm")</f>
        <v>0.241203773019913</v>
      </c>
      <c r="I84" s="54" t="n">
        <f aca="false">+IFERROR(I83/H83-1,"nm")</f>
        <v>-0.0896260554885404</v>
      </c>
      <c r="J84" s="54" t="n">
        <f aca="false">+IFERROR(J83/I83-1,"nm")</f>
        <v>0</v>
      </c>
      <c r="K84" s="54" t="n">
        <f aca="false">+IFERROR(K83/J83-1,"nm")</f>
        <v>0</v>
      </c>
      <c r="L84" s="54" t="n">
        <f aca="false">+IFERROR(L83/K83-1,"nm")</f>
        <v>0</v>
      </c>
      <c r="M84" s="54" t="n">
        <f aca="false">+IFERROR(M83/L83-1,"nm")</f>
        <v>0</v>
      </c>
      <c r="N84" s="54" t="n">
        <f aca="false">+IFERROR(N83/M83-1,"nm")</f>
        <v>0</v>
      </c>
    </row>
    <row r="85" customFormat="false" ht="14.25" hidden="false" customHeight="false" outlineLevel="0" collapsed="false">
      <c r="A85" s="59" t="s">
        <v>115</v>
      </c>
      <c r="B85" s="15" t="n">
        <f aca="false">+Historicals!B119</f>
        <v>2016</v>
      </c>
      <c r="C85" s="15" t="n">
        <f aca="false">+Historicals!C119</f>
        <v>2599</v>
      </c>
      <c r="D85" s="15" t="n">
        <f aca="false">+Historicals!D119</f>
        <v>2920</v>
      </c>
      <c r="E85" s="15" t="n">
        <f aca="false">+Historicals!E119</f>
        <v>3496</v>
      </c>
      <c r="F85" s="15" t="n">
        <f aca="false">+Historicals!F119</f>
        <v>4262</v>
      </c>
      <c r="G85" s="15" t="n">
        <f aca="false">+Historicals!G119</f>
        <v>4635</v>
      </c>
      <c r="H85" s="15" t="n">
        <f aca="false">+Historicals!H119</f>
        <v>5748</v>
      </c>
      <c r="I85" s="15" t="n">
        <f aca="false">+Historicals!I119</f>
        <v>5416</v>
      </c>
      <c r="J85" s="15" t="n">
        <f aca="false">+I85*(1+J86)</f>
        <v>5416</v>
      </c>
      <c r="K85" s="15" t="n">
        <f aca="false">+J85*(1+K86)</f>
        <v>5416</v>
      </c>
      <c r="L85" s="15" t="n">
        <f aca="false">+K85*(1+L86)</f>
        <v>5416</v>
      </c>
      <c r="M85" s="15" t="n">
        <f aca="false">+L85*(1+M86)</f>
        <v>5416</v>
      </c>
      <c r="N85" s="15" t="n">
        <f aca="false">+M85*(1+N86)</f>
        <v>5416</v>
      </c>
    </row>
    <row r="86" customFormat="false" ht="14.25" hidden="false" customHeight="false" outlineLevel="0" collapsed="false">
      <c r="A86" s="58" t="s">
        <v>143</v>
      </c>
      <c r="C86" s="54" t="n">
        <f aca="false">+IFERROR(C85/B85-1,"nm")</f>
        <v>0.289186507936508</v>
      </c>
      <c r="D86" s="54" t="n">
        <f aca="false">+IFERROR(D85/C85-1,"nm")</f>
        <v>0.123509041939207</v>
      </c>
      <c r="E86" s="54" t="n">
        <f aca="false">+IFERROR(E85/D85-1,"nm")</f>
        <v>0.197260273972603</v>
      </c>
      <c r="F86" s="54" t="n">
        <f aca="false">+IFERROR(F85/E85-1,"nm")</f>
        <v>0.219107551487414</v>
      </c>
      <c r="G86" s="54" t="n">
        <f aca="false">+IFERROR(G85/F85-1,"nm")</f>
        <v>0.0875175973721258</v>
      </c>
      <c r="H86" s="54" t="n">
        <f aca="false">+IFERROR(H85/G85-1,"nm")</f>
        <v>0.240129449838188</v>
      </c>
      <c r="I86" s="54" t="n">
        <f aca="false">+IFERROR(I85/H85-1,"nm")</f>
        <v>-0.0577592205984691</v>
      </c>
      <c r="J86" s="54" t="n">
        <f aca="false">+J87+J88</f>
        <v>0</v>
      </c>
      <c r="K86" s="54" t="n">
        <f aca="false">+K87+K88</f>
        <v>0</v>
      </c>
      <c r="L86" s="54" t="n">
        <f aca="false">+L87+L88</f>
        <v>0</v>
      </c>
      <c r="M86" s="54" t="n">
        <f aca="false">+M87+M88</f>
        <v>0</v>
      </c>
      <c r="N86" s="54" t="n">
        <f aca="false">+N87+N88</f>
        <v>0</v>
      </c>
    </row>
    <row r="87" customFormat="false" ht="14.25" hidden="false" customHeight="false" outlineLevel="0" collapsed="false">
      <c r="A87" s="58" t="s">
        <v>152</v>
      </c>
      <c r="B87" s="54" t="n">
        <f aca="false">+Historicals!B192</f>
        <v>0.28</v>
      </c>
      <c r="C87" s="54" t="n">
        <f aca="false">+Historicals!C192</f>
        <v>0.33</v>
      </c>
      <c r="D87" s="54" t="n">
        <f aca="false">+Historicals!D192</f>
        <v>0.18</v>
      </c>
      <c r="E87" s="54" t="n">
        <f aca="false">+Historicals!E192</f>
        <v>0.16</v>
      </c>
      <c r="F87" s="54" t="n">
        <f aca="false">+Historicals!F192</f>
        <v>0.25</v>
      </c>
      <c r="G87" s="54" t="n">
        <f aca="false">+Historicals!G192</f>
        <v>0.12</v>
      </c>
      <c r="H87" s="54" t="n">
        <f aca="false">+Historicals!H192</f>
        <v>0.19</v>
      </c>
      <c r="I87" s="54" t="n">
        <f aca="false">+Historicals!I192</f>
        <v>-0.1</v>
      </c>
      <c r="J87" s="60" t="n">
        <v>0</v>
      </c>
      <c r="K87" s="60" t="n">
        <f aca="false">+J87</f>
        <v>0</v>
      </c>
      <c r="L87" s="60" t="n">
        <f aca="false">+K87</f>
        <v>0</v>
      </c>
      <c r="M87" s="60" t="n">
        <f aca="false">+L87</f>
        <v>0</v>
      </c>
      <c r="N87" s="60" t="n">
        <f aca="false">+M87</f>
        <v>0</v>
      </c>
    </row>
    <row r="88" customFormat="false" ht="14.25" hidden="false" customHeight="false" outlineLevel="0" collapsed="false">
      <c r="A88" s="58" t="s">
        <v>153</v>
      </c>
      <c r="C88" s="54" t="n">
        <f aca="false">+IFERROR(C86-C87,"nm")</f>
        <v>-0.0408134920634921</v>
      </c>
      <c r="D88" s="54" t="n">
        <f aca="false">+IFERROR(D86-D87,"nm")</f>
        <v>-0.0564909580607927</v>
      </c>
      <c r="E88" s="54" t="n">
        <f aca="false">+IFERROR(E86-E87,"nm")</f>
        <v>0.0372602739726028</v>
      </c>
      <c r="F88" s="54" t="n">
        <f aca="false">+IFERROR(F86-F87,"nm")</f>
        <v>-0.0308924485125859</v>
      </c>
      <c r="G88" s="54" t="n">
        <f aca="false">+IFERROR(G86-G87,"nm")</f>
        <v>-0.0324824026278742</v>
      </c>
      <c r="H88" s="54" t="n">
        <f aca="false">+IFERROR(H86-H87,"nm")</f>
        <v>0.0501294498381876</v>
      </c>
      <c r="I88" s="54" t="n">
        <f aca="false">+IFERROR(I86-I87,"nm")</f>
        <v>0.042240779401531</v>
      </c>
      <c r="J88" s="60" t="n">
        <v>0</v>
      </c>
      <c r="K88" s="60" t="n">
        <f aca="false">+J88</f>
        <v>0</v>
      </c>
      <c r="L88" s="60" t="n">
        <f aca="false">+K88</f>
        <v>0</v>
      </c>
      <c r="M88" s="60" t="n">
        <f aca="false">+L88</f>
        <v>0</v>
      </c>
      <c r="N88" s="60" t="n">
        <f aca="false">+M88</f>
        <v>0</v>
      </c>
    </row>
    <row r="89" customFormat="false" ht="14.25" hidden="false" customHeight="false" outlineLevel="0" collapsed="false">
      <c r="A89" s="59" t="s">
        <v>116</v>
      </c>
      <c r="B89" s="15" t="n">
        <f aca="false">+Historicals!B120</f>
        <v>925</v>
      </c>
      <c r="C89" s="15" t="n">
        <f aca="false">+Historicals!C120</f>
        <v>1055</v>
      </c>
      <c r="D89" s="15" t="n">
        <f aca="false">+Historicals!D120</f>
        <v>1188</v>
      </c>
      <c r="E89" s="15" t="n">
        <f aca="false">+Historicals!E120</f>
        <v>1508</v>
      </c>
      <c r="F89" s="15" t="n">
        <f aca="false">+Historicals!F120</f>
        <v>1808</v>
      </c>
      <c r="G89" s="15" t="n">
        <f aca="false">+Historicals!G120</f>
        <v>1896</v>
      </c>
      <c r="H89" s="15" t="n">
        <f aca="false">+Historicals!H120</f>
        <v>2347</v>
      </c>
      <c r="I89" s="15" t="n">
        <f aca="false">+Historicals!I120</f>
        <v>1938</v>
      </c>
      <c r="J89" s="15" t="n">
        <f aca="false">+I89*(1+J90)</f>
        <v>1938</v>
      </c>
      <c r="K89" s="15" t="n">
        <f aca="false">+J89*(1+K90)</f>
        <v>1938</v>
      </c>
      <c r="L89" s="15" t="n">
        <f aca="false">+K89*(1+L90)</f>
        <v>1938</v>
      </c>
      <c r="M89" s="15" t="n">
        <f aca="false">+L89*(1+M90)</f>
        <v>1938</v>
      </c>
      <c r="N89" s="15" t="n">
        <f aca="false">+M89*(1+N90)</f>
        <v>1938</v>
      </c>
    </row>
    <row r="90" customFormat="false" ht="14.25" hidden="false" customHeight="false" outlineLevel="0" collapsed="false">
      <c r="A90" s="58" t="s">
        <v>143</v>
      </c>
      <c r="C90" s="54" t="n">
        <f aca="false">+IFERROR(C89/B89-1,"nm")</f>
        <v>0.14054054054054</v>
      </c>
      <c r="D90" s="54" t="n">
        <f aca="false">+IFERROR(D89/C89-1,"nm")</f>
        <v>0.126066350710901</v>
      </c>
      <c r="E90" s="54" t="n">
        <f aca="false">+IFERROR(E89/D89-1,"nm")</f>
        <v>0.269360269360269</v>
      </c>
      <c r="F90" s="54" t="n">
        <f aca="false">+IFERROR(F89/E89-1,"nm")</f>
        <v>0.19893899204244</v>
      </c>
      <c r="G90" s="54" t="n">
        <f aca="false">+IFERROR(G89/F89-1,"nm")</f>
        <v>0.0486725663716814</v>
      </c>
      <c r="H90" s="54" t="n">
        <f aca="false">+IFERROR(H89/G89-1,"nm")</f>
        <v>0.237869198312236</v>
      </c>
      <c r="I90" s="54" t="n">
        <f aca="false">+IFERROR(I89/H89-1,"nm")</f>
        <v>-0.174265019173413</v>
      </c>
      <c r="J90" s="54" t="n">
        <f aca="false">+J91+J92</f>
        <v>0</v>
      </c>
      <c r="K90" s="54" t="n">
        <f aca="false">+K91+K92</f>
        <v>0</v>
      </c>
      <c r="L90" s="54" t="n">
        <f aca="false">+L91+L92</f>
        <v>0</v>
      </c>
      <c r="M90" s="54" t="n">
        <f aca="false">+M91+M92</f>
        <v>0</v>
      </c>
      <c r="N90" s="54" t="n">
        <f aca="false">+N91+N92</f>
        <v>0</v>
      </c>
    </row>
    <row r="91" customFormat="false" ht="14.25" hidden="false" customHeight="false" outlineLevel="0" collapsed="false">
      <c r="A91" s="58" t="s">
        <v>152</v>
      </c>
      <c r="B91" s="54" t="n">
        <f aca="false">+Historicals!B193</f>
        <v>0.07</v>
      </c>
      <c r="C91" s="54" t="n">
        <f aca="false">+Historicals!C193</f>
        <v>0.17</v>
      </c>
      <c r="D91" s="54" t="n">
        <f aca="false">+Historicals!D193</f>
        <v>0.18</v>
      </c>
      <c r="E91" s="54" t="n">
        <f aca="false">+Historicals!E193</f>
        <v>0.23</v>
      </c>
      <c r="F91" s="54" t="n">
        <f aca="false">+Historicals!F193</f>
        <v>0.23</v>
      </c>
      <c r="G91" s="54" t="n">
        <f aca="false">+Historicals!G193</f>
        <v>0.08</v>
      </c>
      <c r="H91" s="54" t="n">
        <f aca="false">+Historicals!H193</f>
        <v>0.19</v>
      </c>
      <c r="I91" s="54" t="n">
        <f aca="false">+Historicals!I193</f>
        <v>-0.21</v>
      </c>
      <c r="J91" s="60" t="n">
        <v>0</v>
      </c>
      <c r="K91" s="60" t="n">
        <f aca="false">+J91</f>
        <v>0</v>
      </c>
      <c r="L91" s="60" t="n">
        <f aca="false">+K91</f>
        <v>0</v>
      </c>
      <c r="M91" s="60" t="n">
        <f aca="false">+L91</f>
        <v>0</v>
      </c>
      <c r="N91" s="60" t="n">
        <f aca="false">+M91</f>
        <v>0</v>
      </c>
    </row>
    <row r="92" customFormat="false" ht="14.25" hidden="false" customHeight="false" outlineLevel="0" collapsed="false">
      <c r="A92" s="58" t="s">
        <v>153</v>
      </c>
      <c r="C92" s="54" t="n">
        <f aca="false">+IFERROR(C90-C91,"nm")</f>
        <v>-0.0294594594594596</v>
      </c>
      <c r="D92" s="54" t="n">
        <f aca="false">+IFERROR(D90-D91,"nm")</f>
        <v>-0.0539336492890994</v>
      </c>
      <c r="E92" s="54" t="n">
        <f aca="false">+IFERROR(E90-E91,"nm")</f>
        <v>0.0393602693602695</v>
      </c>
      <c r="F92" s="54" t="n">
        <f aca="false">+IFERROR(F90-F91,"nm")</f>
        <v>-0.0310610079575598</v>
      </c>
      <c r="G92" s="54" t="n">
        <f aca="false">+IFERROR(G90-G91,"nm")</f>
        <v>-0.0313274336283186</v>
      </c>
      <c r="H92" s="54" t="n">
        <f aca="false">+IFERROR(H90-H91,"nm")</f>
        <v>0.0478691983122363</v>
      </c>
      <c r="I92" s="54" t="n">
        <f aca="false">+IFERROR(I90-I91,"nm")</f>
        <v>0.0357349808265871</v>
      </c>
      <c r="J92" s="60" t="n">
        <v>0</v>
      </c>
      <c r="K92" s="60" t="n">
        <f aca="false">+J92</f>
        <v>0</v>
      </c>
      <c r="L92" s="60" t="n">
        <f aca="false">+K92</f>
        <v>0</v>
      </c>
      <c r="M92" s="60" t="n">
        <f aca="false">+L92</f>
        <v>0</v>
      </c>
      <c r="N92" s="60" t="n">
        <f aca="false">+M92</f>
        <v>0</v>
      </c>
    </row>
    <row r="93" customFormat="false" ht="14.25" hidden="false" customHeight="false" outlineLevel="0" collapsed="false">
      <c r="A93" s="59" t="s">
        <v>117</v>
      </c>
      <c r="B93" s="15" t="n">
        <f aca="false">+Historicals!B121</f>
        <v>126</v>
      </c>
      <c r="C93" s="15" t="n">
        <f aca="false">+Historicals!C121</f>
        <v>131</v>
      </c>
      <c r="D93" s="15" t="n">
        <f aca="false">+Historicals!D121</f>
        <v>129</v>
      </c>
      <c r="E93" s="15" t="n">
        <f aca="false">+Historicals!E121</f>
        <v>130</v>
      </c>
      <c r="F93" s="15" t="n">
        <f aca="false">+Historicals!F121</f>
        <v>138</v>
      </c>
      <c r="G93" s="15" t="n">
        <f aca="false">+Historicals!G121</f>
        <v>148</v>
      </c>
      <c r="H93" s="15" t="n">
        <f aca="false">+Historicals!H121</f>
        <v>195</v>
      </c>
      <c r="I93" s="15" t="n">
        <f aca="false">+Historicals!I121</f>
        <v>193</v>
      </c>
      <c r="J93" s="15" t="n">
        <f aca="false">+I93*(1+J94)</f>
        <v>193</v>
      </c>
      <c r="K93" s="15" t="n">
        <f aca="false">+J93*(1+K94)</f>
        <v>193</v>
      </c>
      <c r="L93" s="15" t="n">
        <f aca="false">+K93*(1+L94)</f>
        <v>193</v>
      </c>
      <c r="M93" s="15" t="n">
        <f aca="false">+L93*(1+M94)</f>
        <v>193</v>
      </c>
      <c r="N93" s="15" t="n">
        <f aca="false">+M93*(1+N94)</f>
        <v>193</v>
      </c>
    </row>
    <row r="94" customFormat="false" ht="14.25" hidden="false" customHeight="false" outlineLevel="0" collapsed="false">
      <c r="A94" s="58" t="s">
        <v>143</v>
      </c>
      <c r="C94" s="54" t="n">
        <f aca="false">+IFERROR(C93/B93-1,"nm")</f>
        <v>0.0396825396825398</v>
      </c>
      <c r="D94" s="54" t="n">
        <f aca="false">+IFERROR(D93/C93-1,"nm")</f>
        <v>-0.0152671755725191</v>
      </c>
      <c r="E94" s="54" t="n">
        <f aca="false">+IFERROR(E93/D93-1,"nm")</f>
        <v>0.00775193798449614</v>
      </c>
      <c r="F94" s="54" t="n">
        <f aca="false">+IFERROR(F93/E93-1,"nm")</f>
        <v>0.0615384615384615</v>
      </c>
      <c r="G94" s="54" t="n">
        <f aca="false">+IFERROR(G93/F93-1,"nm")</f>
        <v>0.0724637681159421</v>
      </c>
      <c r="H94" s="54" t="n">
        <f aca="false">+IFERROR(H93/G93-1,"nm")</f>
        <v>0.317567567567568</v>
      </c>
      <c r="I94" s="54" t="n">
        <f aca="false">+IFERROR(I93/H93-1,"nm")</f>
        <v>-0.0102564102564102</v>
      </c>
      <c r="J94" s="54" t="n">
        <f aca="false">+J95+J96</f>
        <v>0</v>
      </c>
      <c r="K94" s="54" t="n">
        <f aca="false">+K95+K96</f>
        <v>0</v>
      </c>
      <c r="L94" s="54" t="n">
        <f aca="false">+L95+L96</f>
        <v>0</v>
      </c>
      <c r="M94" s="54" t="n">
        <f aca="false">+M95+M96</f>
        <v>0</v>
      </c>
      <c r="N94" s="54" t="n">
        <f aca="false">+N95+N96</f>
        <v>0</v>
      </c>
    </row>
    <row r="95" customFormat="false" ht="14.25" hidden="false" customHeight="false" outlineLevel="0" collapsed="false">
      <c r="A95" s="58" t="s">
        <v>152</v>
      </c>
      <c r="B95" s="54" t="n">
        <f aca="false">+Historicals!B194</f>
        <v>0.01</v>
      </c>
      <c r="C95" s="54" t="n">
        <f aca="false">+Historicals!C194</f>
        <v>0.07</v>
      </c>
      <c r="D95" s="54" t="n">
        <f aca="false">+Historicals!D194</f>
        <v>0.03</v>
      </c>
      <c r="E95" s="54" t="n">
        <f aca="false">+Historicals!E194</f>
        <v>-0.01</v>
      </c>
      <c r="F95" s="54" t="n">
        <f aca="false">+Historicals!F194</f>
        <v>0.08</v>
      </c>
      <c r="G95" s="54" t="n">
        <f aca="false">+Historicals!G194</f>
        <v>0.11</v>
      </c>
      <c r="H95" s="54" t="n">
        <f aca="false">+Historicals!H194</f>
        <v>0.26</v>
      </c>
      <c r="I95" s="54" t="n">
        <f aca="false">+Historicals!I194</f>
        <v>-0.06</v>
      </c>
      <c r="J95" s="60" t="n">
        <v>0</v>
      </c>
      <c r="K95" s="60" t="n">
        <f aca="false">+J95</f>
        <v>0</v>
      </c>
      <c r="L95" s="60" t="n">
        <f aca="false">+K95</f>
        <v>0</v>
      </c>
      <c r="M95" s="60" t="n">
        <f aca="false">+L95</f>
        <v>0</v>
      </c>
      <c r="N95" s="60" t="n">
        <f aca="false">+M95</f>
        <v>0</v>
      </c>
    </row>
    <row r="96" customFormat="false" ht="14.25" hidden="false" customHeight="false" outlineLevel="0" collapsed="false">
      <c r="A96" s="58" t="s">
        <v>153</v>
      </c>
      <c r="C96" s="54" t="n">
        <f aca="false">+IFERROR(C94-C95,"nm")</f>
        <v>-0.0303174603174602</v>
      </c>
      <c r="D96" s="54" t="n">
        <f aca="false">+IFERROR(D94-D95,"nm")</f>
        <v>-0.0452671755725191</v>
      </c>
      <c r="E96" s="54" t="n">
        <f aca="false">+IFERROR(E94-E95,"nm")</f>
        <v>0.0177519379844961</v>
      </c>
      <c r="F96" s="54" t="n">
        <f aca="false">+IFERROR(F94-F95,"nm")</f>
        <v>-0.0184615384615385</v>
      </c>
      <c r="G96" s="54" t="n">
        <f aca="false">+IFERROR(G94-G95,"nm")</f>
        <v>-0.0375362318840579</v>
      </c>
      <c r="H96" s="54" t="n">
        <f aca="false">+IFERROR(H94-H95,"nm")</f>
        <v>0.0575675675675675</v>
      </c>
      <c r="I96" s="54" t="n">
        <f aca="false">+IFERROR(I94-I95,"nm")</f>
        <v>0.0497435897435898</v>
      </c>
      <c r="J96" s="60" t="n">
        <v>0</v>
      </c>
      <c r="K96" s="60" t="n">
        <f aca="false">+J96</f>
        <v>0</v>
      </c>
      <c r="L96" s="60" t="n">
        <f aca="false">+K96</f>
        <v>0</v>
      </c>
      <c r="M96" s="60" t="n">
        <f aca="false">+L96</f>
        <v>0</v>
      </c>
      <c r="N96" s="60" t="n">
        <f aca="false">+M96</f>
        <v>0</v>
      </c>
    </row>
    <row r="97" customFormat="false" ht="14.25" hidden="false" customHeight="false" outlineLevel="0" collapsed="false">
      <c r="A97" s="15" t="s">
        <v>144</v>
      </c>
      <c r="B97" s="61" t="n">
        <f aca="false">+B104+B100</f>
        <v>1039</v>
      </c>
      <c r="C97" s="61" t="n">
        <f aca="false">+C104+C100</f>
        <v>1420</v>
      </c>
      <c r="D97" s="61" t="n">
        <f aca="false">+D104+D100</f>
        <v>1561</v>
      </c>
      <c r="E97" s="61" t="n">
        <f aca="false">+E104+E100</f>
        <v>1863</v>
      </c>
      <c r="F97" s="61" t="n">
        <f aca="false">+F104+F100</f>
        <v>2426</v>
      </c>
      <c r="G97" s="61" t="n">
        <f aca="false">+G104+G100</f>
        <v>2534</v>
      </c>
      <c r="H97" s="61" t="n">
        <f aca="false">+H104+H100</f>
        <v>3289</v>
      </c>
      <c r="I97" s="61" t="n">
        <f aca="false">+I104+I100</f>
        <v>2406</v>
      </c>
      <c r="J97" s="61" t="n">
        <f aca="false">+J83*J99</f>
        <v>2406</v>
      </c>
      <c r="K97" s="61" t="n">
        <f aca="false">+K83*K99</f>
        <v>2406</v>
      </c>
      <c r="L97" s="61" t="n">
        <f aca="false">+L83*L99</f>
        <v>2406</v>
      </c>
      <c r="M97" s="61" t="n">
        <f aca="false">+M83*M99</f>
        <v>2406</v>
      </c>
      <c r="N97" s="61" t="n">
        <f aca="false">+N83*N99</f>
        <v>2406</v>
      </c>
    </row>
    <row r="98" customFormat="false" ht="14.25" hidden="false" customHeight="false" outlineLevel="0" collapsed="false">
      <c r="A98" s="53" t="s">
        <v>143</v>
      </c>
      <c r="C98" s="54" t="n">
        <f aca="false">+IFERROR(C97/B97-1,"nm")</f>
        <v>0.36669874879692</v>
      </c>
      <c r="D98" s="54" t="n">
        <f aca="false">+IFERROR(D97/C97-1,"nm")</f>
        <v>0.0992957746478873</v>
      </c>
      <c r="E98" s="54" t="n">
        <f aca="false">+IFERROR(E97/D97-1,"nm")</f>
        <v>0.193465727098014</v>
      </c>
      <c r="F98" s="54" t="n">
        <f aca="false">+IFERROR(F97/E97-1,"nm")</f>
        <v>0.302200751476114</v>
      </c>
      <c r="G98" s="54" t="n">
        <f aca="false">+IFERROR(G97/F97-1,"nm")</f>
        <v>0.0445177246496291</v>
      </c>
      <c r="H98" s="54" t="n">
        <f aca="false">+IFERROR(H97/G97-1,"nm")</f>
        <v>0.297947908445146</v>
      </c>
      <c r="I98" s="54" t="n">
        <f aca="false">+IFERROR(I97/H97-1,"nm")</f>
        <v>-0.268470659775008</v>
      </c>
      <c r="J98" s="54" t="n">
        <f aca="false">+IFERROR(J97/I97-1,"nm")</f>
        <v>0</v>
      </c>
      <c r="K98" s="54" t="n">
        <f aca="false">+IFERROR(K97/J97-1,"nm")</f>
        <v>0</v>
      </c>
      <c r="L98" s="54" t="n">
        <f aca="false">+IFERROR(L97/K97-1,"nm")</f>
        <v>0</v>
      </c>
      <c r="M98" s="54" t="n">
        <f aca="false">+IFERROR(M97/L97-1,"nm")</f>
        <v>0</v>
      </c>
      <c r="N98" s="54" t="n">
        <f aca="false">+IFERROR(N97/M97-1,"nm")</f>
        <v>0</v>
      </c>
    </row>
    <row r="99" customFormat="false" ht="14.25" hidden="false" customHeight="false" outlineLevel="0" collapsed="false">
      <c r="A99" s="53" t="s">
        <v>145</v>
      </c>
      <c r="B99" s="54" t="n">
        <f aca="false">+IFERROR(B97/B$83,"nm")</f>
        <v>0.338767525268993</v>
      </c>
      <c r="C99" s="54" t="n">
        <f aca="false">+IFERROR(C97/C$83,"nm")</f>
        <v>0.375165125495377</v>
      </c>
      <c r="D99" s="54" t="n">
        <f aca="false">+IFERROR(D97/D$83,"nm")</f>
        <v>0.368421052631579</v>
      </c>
      <c r="E99" s="54" t="n">
        <f aca="false">+IFERROR(E97/E$83,"nm")</f>
        <v>0.362874951305025</v>
      </c>
      <c r="F99" s="54" t="n">
        <f aca="false">+IFERROR(F97/F$83,"nm")</f>
        <v>0.390786082474227</v>
      </c>
      <c r="G99" s="54" t="n">
        <f aca="false">+IFERROR(G97/G$83,"nm")</f>
        <v>0.379398113490043</v>
      </c>
      <c r="H99" s="54" t="n">
        <f aca="false">+IFERROR(H97/H$83,"nm")</f>
        <v>0.396743063932449</v>
      </c>
      <c r="I99" s="54" t="n">
        <f aca="false">+IFERROR(I97/I$83,"nm")</f>
        <v>0.318802173048894</v>
      </c>
      <c r="J99" s="60" t="n">
        <f aca="false">+I99</f>
        <v>0.318802173048894</v>
      </c>
      <c r="K99" s="60" t="n">
        <f aca="false">+J99</f>
        <v>0.318802173048894</v>
      </c>
      <c r="L99" s="60" t="n">
        <f aca="false">+K99</f>
        <v>0.318802173048894</v>
      </c>
      <c r="M99" s="60" t="n">
        <f aca="false">+L99</f>
        <v>0.318802173048894</v>
      </c>
      <c r="N99" s="60" t="n">
        <f aca="false">+M99</f>
        <v>0.318802173048894</v>
      </c>
    </row>
    <row r="100" customFormat="false" ht="14.25" hidden="false" customHeight="false" outlineLevel="0" collapsed="false">
      <c r="A100" s="15" t="s">
        <v>146</v>
      </c>
      <c r="B100" s="15" t="n">
        <f aca="false">+Historicals!B173</f>
        <v>46</v>
      </c>
      <c r="C100" s="15" t="n">
        <f aca="false">+Historicals!C173</f>
        <v>48</v>
      </c>
      <c r="D100" s="15" t="n">
        <f aca="false">+Historicals!D173</f>
        <v>54</v>
      </c>
      <c r="E100" s="15" t="n">
        <f aca="false">+Historicals!E173</f>
        <v>56</v>
      </c>
      <c r="F100" s="15" t="n">
        <f aca="false">+Historicals!F173</f>
        <v>50</v>
      </c>
      <c r="G100" s="15" t="n">
        <f aca="false">+Historicals!G173</f>
        <v>44</v>
      </c>
      <c r="H100" s="15" t="n">
        <f aca="false">+Historicals!H173</f>
        <v>46</v>
      </c>
      <c r="I100" s="15" t="n">
        <f aca="false">+Historicals!I173</f>
        <v>41</v>
      </c>
      <c r="J100" s="61" t="n">
        <f aca="false">+J103*J110</f>
        <v>41</v>
      </c>
      <c r="K100" s="61" t="n">
        <f aca="false">+K103*K110</f>
        <v>41</v>
      </c>
      <c r="L100" s="61" t="n">
        <f aca="false">+L103*L110</f>
        <v>41</v>
      </c>
      <c r="M100" s="61" t="n">
        <f aca="false">+M103*M110</f>
        <v>41</v>
      </c>
      <c r="N100" s="61" t="n">
        <f aca="false">+N103*N110</f>
        <v>41</v>
      </c>
    </row>
    <row r="101" customFormat="false" ht="14.25" hidden="false" customHeight="false" outlineLevel="0" collapsed="false">
      <c r="A101" s="53" t="s">
        <v>143</v>
      </c>
      <c r="C101" s="54" t="n">
        <f aca="false">+IFERROR(C100/B100-1,"nm")</f>
        <v>0.0434782608695652</v>
      </c>
      <c r="D101" s="54" t="n">
        <f aca="false">+IFERROR(D100/C100-1,"nm")</f>
        <v>0.125</v>
      </c>
      <c r="E101" s="54" t="n">
        <f aca="false">+IFERROR(E100/D100-1,"nm")</f>
        <v>0.037037037037037</v>
      </c>
      <c r="F101" s="54" t="n">
        <f aca="false">+IFERROR(F100/E100-1,"nm")</f>
        <v>-0.107142857142857</v>
      </c>
      <c r="G101" s="54" t="n">
        <f aca="false">+IFERROR(G100/F100-1,"nm")</f>
        <v>-0.12</v>
      </c>
      <c r="H101" s="54" t="n">
        <f aca="false">+IFERROR(H100/G100-1,"nm")</f>
        <v>0.0454545454545454</v>
      </c>
      <c r="I101" s="54" t="n">
        <f aca="false">+IFERROR(I100/H100-1,"nm")</f>
        <v>-0.108695652173913</v>
      </c>
      <c r="J101" s="54" t="n">
        <f aca="false">+IFERROR(J100/I100-1,"nm")</f>
        <v>0</v>
      </c>
      <c r="K101" s="54" t="n">
        <f aca="false">+IFERROR(K100/J100-1,"nm")</f>
        <v>0</v>
      </c>
      <c r="L101" s="54" t="n">
        <f aca="false">+IFERROR(L100/K100-1,"nm")</f>
        <v>0</v>
      </c>
      <c r="M101" s="54" t="n">
        <f aca="false">+IFERROR(M100/L100-1,"nm")</f>
        <v>0</v>
      </c>
      <c r="N101" s="54" t="n">
        <f aca="false">+IFERROR(N100/M100-1,"nm")</f>
        <v>0</v>
      </c>
    </row>
    <row r="102" customFormat="false" ht="14.25" hidden="false" customHeight="false" outlineLevel="0" collapsed="false">
      <c r="A102" s="53" t="s">
        <v>147</v>
      </c>
      <c r="B102" s="54" t="n">
        <f aca="false">+IFERROR(B100/B$83,"nm")</f>
        <v>0.0149983697424193</v>
      </c>
      <c r="C102" s="54" t="n">
        <f aca="false">+IFERROR(C100/C$83,"nm")</f>
        <v>0.0126816380449141</v>
      </c>
      <c r="D102" s="54" t="n">
        <f aca="false">+IFERROR(D100/D$83,"nm")</f>
        <v>0.0127448666509323</v>
      </c>
      <c r="E102" s="54" t="n">
        <f aca="false">+IFERROR(E100/E$83,"nm")</f>
        <v>0.0109076743280094</v>
      </c>
      <c r="F102" s="54" t="n">
        <f aca="false">+IFERROR(F100/F$83,"nm")</f>
        <v>0.00805412371134021</v>
      </c>
      <c r="G102" s="54" t="n">
        <f aca="false">+IFERROR(G100/G$83,"nm")</f>
        <v>0.00658781254678844</v>
      </c>
      <c r="H102" s="54" t="n">
        <f aca="false">+IFERROR(H100/H$83,"nm")</f>
        <v>0.00554885404101327</v>
      </c>
      <c r="I102" s="54" t="n">
        <f aca="false">+IFERROR(I100/I$83,"nm")</f>
        <v>0.00543262223400027</v>
      </c>
      <c r="J102" s="54" t="n">
        <f aca="false">+IFERROR(J100/J$21,"nm")</f>
        <v>0.00223396719882308</v>
      </c>
      <c r="K102" s="54" t="n">
        <f aca="false">+IFERROR(K100/K$21,"nm")</f>
        <v>0.00223396719882308</v>
      </c>
      <c r="L102" s="54" t="n">
        <f aca="false">+IFERROR(L100/L$21,"nm")</f>
        <v>0.00223396719882308</v>
      </c>
      <c r="M102" s="54" t="n">
        <f aca="false">+IFERROR(M100/M$21,"nm")</f>
        <v>0.00223396719882308</v>
      </c>
      <c r="N102" s="54" t="n">
        <f aca="false">+IFERROR(N100/N$21,"nm")</f>
        <v>0.00223396719882308</v>
      </c>
    </row>
    <row r="103" customFormat="false" ht="14.25" hidden="false" customHeight="false" outlineLevel="0" collapsed="false">
      <c r="A103" s="53" t="s">
        <v>154</v>
      </c>
      <c r="B103" s="54" t="n">
        <f aca="false">+IFERROR(B100/B110,"nm")</f>
        <v>0.181102362204724</v>
      </c>
      <c r="C103" s="54" t="n">
        <f aca="false">+IFERROR(C100/C110,"nm")</f>
        <v>0.205128205128205</v>
      </c>
      <c r="D103" s="54" t="n">
        <f aca="false">+IFERROR(D100/D110,"nm")</f>
        <v>0.24</v>
      </c>
      <c r="E103" s="54" t="n">
        <f aca="false">+IFERROR(E100/E110,"nm")</f>
        <v>0.21875</v>
      </c>
      <c r="F103" s="54" t="n">
        <f aca="false">+IFERROR(F100/F110,"nm")</f>
        <v>0.210970464135021</v>
      </c>
      <c r="G103" s="54" t="n">
        <f aca="false">+IFERROR(G100/G110,"nm")</f>
        <v>0.205607476635514</v>
      </c>
      <c r="H103" s="54" t="n">
        <f aca="false">+IFERROR(H100/H110,"nm")</f>
        <v>0.159722222222222</v>
      </c>
      <c r="I103" s="54" t="n">
        <f aca="false">+IFERROR(I100/I110,"nm")</f>
        <v>0.135313531353135</v>
      </c>
      <c r="J103" s="60" t="n">
        <f aca="false">+I103</f>
        <v>0.135313531353135</v>
      </c>
      <c r="K103" s="60" t="n">
        <f aca="false">+J103</f>
        <v>0.135313531353135</v>
      </c>
      <c r="L103" s="60" t="n">
        <f aca="false">+K103</f>
        <v>0.135313531353135</v>
      </c>
      <c r="M103" s="60" t="n">
        <f aca="false">+L103</f>
        <v>0.135313531353135</v>
      </c>
      <c r="N103" s="60" t="n">
        <f aca="false">+M103</f>
        <v>0.135313531353135</v>
      </c>
    </row>
    <row r="104" customFormat="false" ht="14.25" hidden="false" customHeight="false" outlineLevel="0" collapsed="false">
      <c r="A104" s="15" t="s">
        <v>148</v>
      </c>
      <c r="B104" s="15" t="n">
        <f aca="false">+Historicals!B139</f>
        <v>993</v>
      </c>
      <c r="C104" s="15" t="n">
        <f aca="false">+Historicals!C139</f>
        <v>1372</v>
      </c>
      <c r="D104" s="15" t="n">
        <f aca="false">+Historicals!D139</f>
        <v>1507</v>
      </c>
      <c r="E104" s="15" t="n">
        <f aca="false">+Historicals!E139</f>
        <v>1807</v>
      </c>
      <c r="F104" s="15" t="n">
        <f aca="false">+Historicals!F139</f>
        <v>2376</v>
      </c>
      <c r="G104" s="15" t="n">
        <f aca="false">+Historicals!G139</f>
        <v>2490</v>
      </c>
      <c r="H104" s="15" t="n">
        <f aca="false">+Historicals!H139</f>
        <v>3243</v>
      </c>
      <c r="I104" s="15" t="n">
        <f aca="false">+Historicals!I139</f>
        <v>2365</v>
      </c>
      <c r="J104" s="15" t="n">
        <f aca="false">+J97-J100</f>
        <v>2365</v>
      </c>
      <c r="K104" s="15" t="n">
        <f aca="false">+K97-K100</f>
        <v>2365</v>
      </c>
      <c r="L104" s="15" t="n">
        <f aca="false">+L97-L100</f>
        <v>2365</v>
      </c>
      <c r="M104" s="15" t="n">
        <f aca="false">+M97-M100</f>
        <v>2365</v>
      </c>
      <c r="N104" s="15" t="n">
        <f aca="false">+N97-N100</f>
        <v>2365</v>
      </c>
    </row>
    <row r="105" customFormat="false" ht="14.25" hidden="false" customHeight="false" outlineLevel="0" collapsed="false">
      <c r="A105" s="53" t="s">
        <v>143</v>
      </c>
      <c r="C105" s="54" t="n">
        <f aca="false">+IFERROR(C104/B104-1,"nm")</f>
        <v>0.381671701913394</v>
      </c>
      <c r="D105" s="54" t="n">
        <f aca="false">+IFERROR(D104/C104-1,"nm")</f>
        <v>0.0983965014577259</v>
      </c>
      <c r="E105" s="54" t="n">
        <f aca="false">+IFERROR(E104/D104-1,"nm")</f>
        <v>0.19907100199071</v>
      </c>
      <c r="F105" s="54" t="n">
        <f aca="false">+IFERROR(F104/E104-1,"nm")</f>
        <v>0.314886552296624</v>
      </c>
      <c r="G105" s="54" t="n">
        <f aca="false">+IFERROR(G104/F104-1,"nm")</f>
        <v>0.047979797979798</v>
      </c>
      <c r="H105" s="54" t="n">
        <f aca="false">+IFERROR(H104/G104-1,"nm")</f>
        <v>0.302409638554217</v>
      </c>
      <c r="I105" s="54" t="n">
        <f aca="false">+IFERROR(I104/H104-1,"nm")</f>
        <v>-0.270736971939562</v>
      </c>
      <c r="J105" s="54" t="n">
        <f aca="false">+IFERROR(J104/I104-1,"nm")</f>
        <v>0</v>
      </c>
      <c r="K105" s="54" t="n">
        <f aca="false">+IFERROR(K104/J104-1,"nm")</f>
        <v>0</v>
      </c>
      <c r="L105" s="54" t="n">
        <f aca="false">+IFERROR(L104/K104-1,"nm")</f>
        <v>0</v>
      </c>
      <c r="M105" s="54" t="n">
        <f aca="false">+IFERROR(M104/L104-1,"nm")</f>
        <v>0</v>
      </c>
      <c r="N105" s="54" t="n">
        <f aca="false">+IFERROR(N104/M104-1,"nm")</f>
        <v>0</v>
      </c>
    </row>
    <row r="106" customFormat="false" ht="14.25" hidden="false" customHeight="false" outlineLevel="0" collapsed="false">
      <c r="A106" s="53" t="s">
        <v>145</v>
      </c>
      <c r="B106" s="54" t="n">
        <f aca="false">+IFERROR(B104/B$83,"nm")</f>
        <v>0.323769155526573</v>
      </c>
      <c r="C106" s="54" t="n">
        <f aca="false">+IFERROR(C104/C$83,"nm")</f>
        <v>0.362483487450462</v>
      </c>
      <c r="D106" s="54" t="n">
        <f aca="false">+IFERROR(D104/D$83,"nm")</f>
        <v>0.355676185980647</v>
      </c>
      <c r="E106" s="54" t="n">
        <f aca="false">+IFERROR(E104/E$83,"nm")</f>
        <v>0.351967276977016</v>
      </c>
      <c r="F106" s="54" t="n">
        <f aca="false">+IFERROR(F104/F$83,"nm")</f>
        <v>0.382731958762887</v>
      </c>
      <c r="G106" s="54" t="n">
        <f aca="false">+IFERROR(G104/G$83,"nm")</f>
        <v>0.372810300943255</v>
      </c>
      <c r="H106" s="54" t="n">
        <f aca="false">+IFERROR(H104/H$83,"nm")</f>
        <v>0.391194209891435</v>
      </c>
      <c r="I106" s="54" t="n">
        <f aca="false">+IFERROR(I104/I$83,"nm")</f>
        <v>0.313369550814893</v>
      </c>
      <c r="J106" s="62" t="n">
        <f aca="false">+IFERROR(J104/J$21,"nm")</f>
        <v>0.128861766468697</v>
      </c>
      <c r="K106" s="62" t="n">
        <f aca="false">+IFERROR(K104/K$21,"nm")</f>
        <v>0.128861766468697</v>
      </c>
      <c r="L106" s="62" t="n">
        <f aca="false">+IFERROR(L104/L$21,"nm")</f>
        <v>0.128861766468697</v>
      </c>
      <c r="M106" s="62" t="n">
        <f aca="false">+IFERROR(M104/M$21,"nm")</f>
        <v>0.128861766468697</v>
      </c>
      <c r="N106" s="62" t="n">
        <f aca="false">+IFERROR(N104/N$21,"nm")</f>
        <v>0.128861766468697</v>
      </c>
    </row>
    <row r="107" customFormat="false" ht="14.25" hidden="false" customHeight="false" outlineLevel="0" collapsed="false">
      <c r="A107" s="15" t="s">
        <v>149</v>
      </c>
      <c r="B107" s="15" t="n">
        <f aca="false">+Historicals!B161</f>
        <v>69</v>
      </c>
      <c r="C107" s="15" t="n">
        <f aca="false">+Historicals!C161</f>
        <v>44</v>
      </c>
      <c r="D107" s="15" t="n">
        <f aca="false">+Historicals!D161</f>
        <v>51</v>
      </c>
      <c r="E107" s="15" t="n">
        <f aca="false">+Historicals!E161</f>
        <v>76</v>
      </c>
      <c r="F107" s="15" t="n">
        <f aca="false">+Historicals!F161</f>
        <v>49</v>
      </c>
      <c r="G107" s="15" t="n">
        <f aca="false">+Historicals!G161</f>
        <v>28</v>
      </c>
      <c r="H107" s="15" t="n">
        <f aca="false">+Historicals!H161</f>
        <v>94</v>
      </c>
      <c r="I107" s="15" t="n">
        <f aca="false">+Historicals!I161</f>
        <v>78</v>
      </c>
      <c r="J107" s="61" t="n">
        <f aca="false">+J83*J109</f>
        <v>78</v>
      </c>
      <c r="K107" s="61" t="n">
        <f aca="false">+K83*K109</f>
        <v>78</v>
      </c>
      <c r="L107" s="61" t="n">
        <f aca="false">+L83*L109</f>
        <v>78</v>
      </c>
      <c r="M107" s="61" t="n">
        <f aca="false">+M83*M109</f>
        <v>78</v>
      </c>
      <c r="N107" s="61" t="n">
        <f aca="false">+N83*N109</f>
        <v>78</v>
      </c>
    </row>
    <row r="108" customFormat="false" ht="14.25" hidden="false" customHeight="false" outlineLevel="0" collapsed="false">
      <c r="A108" s="53" t="s">
        <v>143</v>
      </c>
      <c r="C108" s="54" t="n">
        <f aca="false">+IFERROR(C107/B107-1,"nm")</f>
        <v>-0.36231884057971</v>
      </c>
      <c r="D108" s="54" t="n">
        <f aca="false">+IFERROR(D107/C107-1,"nm")</f>
        <v>0.159090909090909</v>
      </c>
      <c r="E108" s="54" t="n">
        <f aca="false">+IFERROR(E107/D107-1,"nm")</f>
        <v>0.490196078431373</v>
      </c>
      <c r="F108" s="54" t="n">
        <f aca="false">+IFERROR(F107/E107-1,"nm")</f>
        <v>-0.355263157894737</v>
      </c>
      <c r="G108" s="54" t="n">
        <f aca="false">+IFERROR(G107/F107-1,"nm")</f>
        <v>-0.428571428571429</v>
      </c>
      <c r="H108" s="54" t="n">
        <f aca="false">+IFERROR(H107/G107-1,"nm")</f>
        <v>2.35714285714286</v>
      </c>
      <c r="I108" s="54" t="n">
        <f aca="false">+IFERROR(I107/H107-1,"nm")</f>
        <v>-0.170212765957447</v>
      </c>
      <c r="J108" s="54" t="n">
        <f aca="false">+IFERROR(J107/I107-1,"nm")</f>
        <v>0</v>
      </c>
      <c r="K108" s="54" t="n">
        <f aca="false">+IFERROR(K107/J107-1,"nm")</f>
        <v>0</v>
      </c>
      <c r="L108" s="54" t="n">
        <f aca="false">+IFERROR(L107/K107-1,"nm")</f>
        <v>0</v>
      </c>
      <c r="M108" s="54" t="n">
        <f aca="false">+IFERROR(M107/L107-1,"nm")</f>
        <v>0</v>
      </c>
      <c r="N108" s="54" t="n">
        <f aca="false">+IFERROR(N107/M107-1,"nm")</f>
        <v>0</v>
      </c>
    </row>
    <row r="109" customFormat="false" ht="14.25" hidden="false" customHeight="false" outlineLevel="0" collapsed="false">
      <c r="A109" s="53" t="s">
        <v>147</v>
      </c>
      <c r="B109" s="54" t="n">
        <f aca="false">+IFERROR(B107/B$83,"nm")</f>
        <v>0.022497554613629</v>
      </c>
      <c r="C109" s="54" t="n">
        <f aca="false">+IFERROR(C107/C$83,"nm")</f>
        <v>0.0116248348745046</v>
      </c>
      <c r="D109" s="54" t="n">
        <f aca="false">+IFERROR(D107/D$83,"nm")</f>
        <v>0.0120368185036582</v>
      </c>
      <c r="E109" s="54" t="n">
        <f aca="false">+IFERROR(E107/E$83,"nm")</f>
        <v>0.0148032723022984</v>
      </c>
      <c r="F109" s="54" t="n">
        <f aca="false">+IFERROR(F107/F$83,"nm")</f>
        <v>0.0078930412371134</v>
      </c>
      <c r="G109" s="54" t="n">
        <f aca="false">+IFERROR(G107/G$83,"nm")</f>
        <v>0.00419224434795628</v>
      </c>
      <c r="H109" s="54" t="n">
        <f aca="false">+IFERROR(H107/H$83,"nm")</f>
        <v>0.0113389626055489</v>
      </c>
      <c r="I109" s="54" t="n">
        <f aca="false">+IFERROR(I107/I$83,"nm")</f>
        <v>0.0103352325427322</v>
      </c>
      <c r="J109" s="60" t="n">
        <f aca="false">+I109</f>
        <v>0.0103352325427322</v>
      </c>
      <c r="K109" s="60" t="n">
        <f aca="false">+J109</f>
        <v>0.0103352325427322</v>
      </c>
      <c r="L109" s="60" t="n">
        <f aca="false">+K109</f>
        <v>0.0103352325427322</v>
      </c>
      <c r="M109" s="60" t="n">
        <f aca="false">+L109</f>
        <v>0.0103352325427322</v>
      </c>
      <c r="N109" s="60" t="n">
        <f aca="false">+M109</f>
        <v>0.0103352325427322</v>
      </c>
    </row>
    <row r="110" customFormat="false" ht="14.25" hidden="false" customHeight="false" outlineLevel="0" collapsed="false">
      <c r="A110" s="15" t="s">
        <v>150</v>
      </c>
      <c r="B110" s="15" t="n">
        <f aca="false">+Historicals!B150</f>
        <v>254</v>
      </c>
      <c r="C110" s="15" t="n">
        <f aca="false">+Historicals!C150</f>
        <v>234</v>
      </c>
      <c r="D110" s="15" t="n">
        <f aca="false">+Historicals!D150</f>
        <v>225</v>
      </c>
      <c r="E110" s="15" t="n">
        <f aca="false">+Historicals!E150</f>
        <v>256</v>
      </c>
      <c r="F110" s="15" t="n">
        <f aca="false">+Historicals!F150</f>
        <v>237</v>
      </c>
      <c r="G110" s="15" t="n">
        <f aca="false">+Historicals!G150</f>
        <v>214</v>
      </c>
      <c r="H110" s="15" t="n">
        <f aca="false">+Historicals!H150</f>
        <v>288</v>
      </c>
      <c r="I110" s="15" t="n">
        <f aca="false">+Historicals!I150</f>
        <v>303</v>
      </c>
      <c r="J110" s="61" t="n">
        <f aca="false">+J83*J112</f>
        <v>303</v>
      </c>
      <c r="K110" s="61" t="n">
        <f aca="false">+K83*K112</f>
        <v>303</v>
      </c>
      <c r="L110" s="61" t="n">
        <f aca="false">+L83*L112</f>
        <v>303</v>
      </c>
      <c r="M110" s="61" t="n">
        <f aca="false">+M83*M112</f>
        <v>303</v>
      </c>
      <c r="N110" s="61" t="n">
        <f aca="false">+N83*N112</f>
        <v>303</v>
      </c>
    </row>
    <row r="111" customFormat="false" ht="14.25" hidden="false" customHeight="false" outlineLevel="0" collapsed="false">
      <c r="A111" s="53" t="s">
        <v>143</v>
      </c>
      <c r="C111" s="54" t="n">
        <f aca="false">+IFERROR(C110/B110-1,"nm")</f>
        <v>-0.0787401574803149</v>
      </c>
      <c r="D111" s="54" t="n">
        <f aca="false">+IFERROR(D110/C110-1,"nm")</f>
        <v>-0.0384615384615384</v>
      </c>
      <c r="E111" s="54" t="n">
        <f aca="false">+IFERROR(E110/D110-1,"nm")</f>
        <v>0.137777777777778</v>
      </c>
      <c r="F111" s="54" t="n">
        <f aca="false">+IFERROR(F110/E110-1,"nm")</f>
        <v>-0.07421875</v>
      </c>
      <c r="G111" s="54" t="n">
        <f aca="false">+IFERROR(G110/F110-1,"nm")</f>
        <v>-0.0970464135021097</v>
      </c>
      <c r="H111" s="54" t="n">
        <f aca="false">+IFERROR(H110/G110-1,"nm")</f>
        <v>0.345794392523364</v>
      </c>
      <c r="I111" s="54" t="n">
        <f aca="false">+IFERROR(I110/H110-1,"nm")</f>
        <v>0.0520833333333333</v>
      </c>
      <c r="J111" s="54" t="n">
        <f aca="false">+J112+J113</f>
        <v>0.0401484033390751</v>
      </c>
      <c r="K111" s="54" t="n">
        <f aca="false">+K112+K113</f>
        <v>0.0401484033390751</v>
      </c>
      <c r="L111" s="54" t="n">
        <f aca="false">+L112+L113</f>
        <v>0.0401484033390751</v>
      </c>
      <c r="M111" s="54" t="n">
        <f aca="false">+M112+M113</f>
        <v>0.0401484033390751</v>
      </c>
      <c r="N111" s="54" t="n">
        <f aca="false">+N112+N113</f>
        <v>0.0401484033390751</v>
      </c>
    </row>
    <row r="112" customFormat="false" ht="14.25" hidden="false" customHeight="false" outlineLevel="0" collapsed="false">
      <c r="A112" s="53" t="s">
        <v>147</v>
      </c>
      <c r="B112" s="54" t="n">
        <f aca="false">+IFERROR(B110/B$83,"nm")</f>
        <v>0.0828170850994457</v>
      </c>
      <c r="C112" s="54" t="n">
        <f aca="false">+IFERROR(C110/C$83,"nm")</f>
        <v>0.0618229854689564</v>
      </c>
      <c r="D112" s="54" t="n">
        <f aca="false">+IFERROR(D110/D$83,"nm")</f>
        <v>0.0531036110455511</v>
      </c>
      <c r="E112" s="54" t="n">
        <f aca="false">+IFERROR(E110/E$83,"nm")</f>
        <v>0.0498636540708999</v>
      </c>
      <c r="F112" s="54" t="n">
        <f aca="false">+IFERROR(F110/F$83,"nm")</f>
        <v>0.0381765463917526</v>
      </c>
      <c r="G112" s="54" t="n">
        <f aca="false">+IFERROR(G110/G$83,"nm")</f>
        <v>0.0320407246593802</v>
      </c>
      <c r="H112" s="54" t="n">
        <f aca="false">+IFERROR(H110/H$83,"nm")</f>
        <v>0.0347406513872135</v>
      </c>
      <c r="I112" s="54" t="n">
        <f aca="false">+IFERROR(I110/I$83,"nm")</f>
        <v>0.0401484033390751</v>
      </c>
      <c r="J112" s="60" t="n">
        <f aca="false">+I112</f>
        <v>0.0401484033390751</v>
      </c>
      <c r="K112" s="60" t="n">
        <f aca="false">+J112</f>
        <v>0.0401484033390751</v>
      </c>
      <c r="L112" s="60" t="n">
        <f aca="false">+K112</f>
        <v>0.0401484033390751</v>
      </c>
      <c r="M112" s="60" t="n">
        <f aca="false">+L112</f>
        <v>0.0401484033390751</v>
      </c>
      <c r="N112" s="60" t="n">
        <f aca="false">+M112</f>
        <v>0.0401484033390751</v>
      </c>
    </row>
    <row r="113" customFormat="false" ht="14.25" hidden="false" customHeight="false" outlineLevel="0" collapsed="false">
      <c r="A113" s="56" t="str">
        <f aca="false">+Historicals!A195</f>
        <v>Asia Pacific &amp; Latin America</v>
      </c>
      <c r="B113" s="57"/>
      <c r="C113" s="57"/>
      <c r="D113" s="57"/>
      <c r="E113" s="57"/>
      <c r="F113" s="57"/>
      <c r="G113" s="57"/>
      <c r="H113" s="57"/>
      <c r="I113" s="57"/>
      <c r="J113" s="51"/>
      <c r="K113" s="51"/>
      <c r="L113" s="51"/>
      <c r="M113" s="51"/>
      <c r="N113" s="51"/>
    </row>
    <row r="114" customFormat="false" ht="14.25" hidden="false" customHeight="false" outlineLevel="0" collapsed="false">
      <c r="A114" s="15" t="s">
        <v>151</v>
      </c>
      <c r="B114" s="15" t="n">
        <f aca="false">B116+B120+B124</f>
        <v>4653</v>
      </c>
      <c r="C114" s="15" t="n">
        <f aca="false">C116+C120+C124</f>
        <v>4317</v>
      </c>
      <c r="D114" s="15" t="n">
        <f aca="false">D116+D120+D124</f>
        <v>4737</v>
      </c>
      <c r="E114" s="15" t="n">
        <f aca="false">E116+E120+E124</f>
        <v>5166</v>
      </c>
      <c r="F114" s="15" t="n">
        <f aca="false">F116+F120+F124</f>
        <v>5254</v>
      </c>
      <c r="G114" s="15" t="n">
        <f aca="false">G116+G120+G124</f>
        <v>5028</v>
      </c>
      <c r="H114" s="15" t="n">
        <f aca="false">H116+H120+H124</f>
        <v>5343</v>
      </c>
      <c r="I114" s="15" t="n">
        <f aca="false">I116+I120+I124</f>
        <v>5955</v>
      </c>
      <c r="J114" s="15" t="n">
        <f aca="false">+SUM(J116+J120+J124)</f>
        <v>5955</v>
      </c>
      <c r="K114" s="15" t="n">
        <f aca="false">+SUM(K116+K120+K124)</f>
        <v>5955</v>
      </c>
      <c r="L114" s="15" t="n">
        <f aca="false">+SUM(L116+L120+L124)</f>
        <v>5955</v>
      </c>
      <c r="M114" s="15" t="n">
        <f aca="false">+SUM(M116+M120+M124)</f>
        <v>5955</v>
      </c>
      <c r="N114" s="15" t="n">
        <f aca="false">+SUM(N116+N120+N124)</f>
        <v>5955</v>
      </c>
    </row>
    <row r="115" customFormat="false" ht="14.25" hidden="false" customHeight="false" outlineLevel="0" collapsed="false">
      <c r="A115" s="58" t="s">
        <v>143</v>
      </c>
      <c r="C115" s="54" t="n">
        <f aca="false">+IFERROR(C114/B114-1,"nm")</f>
        <v>-0.0722114764667956</v>
      </c>
      <c r="D115" s="54" t="n">
        <f aca="false">+IFERROR(D114/C114-1,"nm")</f>
        <v>0.0972897845726199</v>
      </c>
      <c r="E115" s="54" t="n">
        <f aca="false">+IFERROR(E114/D114-1,"nm")</f>
        <v>0.090563647878404</v>
      </c>
      <c r="F115" s="54" t="n">
        <f aca="false">+IFERROR(F114/E114-1,"nm")</f>
        <v>0.0170344560588462</v>
      </c>
      <c r="G115" s="54" t="n">
        <f aca="false">+IFERROR(G114/F114-1,"nm")</f>
        <v>-0.0430148458317472</v>
      </c>
      <c r="H115" s="54" t="n">
        <f aca="false">+IFERROR(H114/G114-1,"nm")</f>
        <v>0.0626491646778042</v>
      </c>
      <c r="I115" s="54" t="n">
        <f aca="false">+IFERROR(I114/H114-1,"nm")</f>
        <v>0.114542391914655</v>
      </c>
      <c r="J115" s="54" t="n">
        <f aca="false">+IFERROR(J114/I114-1,"nm")</f>
        <v>0</v>
      </c>
      <c r="K115" s="54" t="n">
        <f aca="false">+IFERROR(K114/J114-1,"nm")</f>
        <v>0</v>
      </c>
      <c r="L115" s="54" t="n">
        <f aca="false">+IFERROR(L114/K114-1,"nm")</f>
        <v>0</v>
      </c>
      <c r="M115" s="54" t="n">
        <f aca="false">+IFERROR(M114/L114-1,"nm")</f>
        <v>0</v>
      </c>
      <c r="N115" s="54" t="n">
        <f aca="false">+IFERROR(N114/M114-1,"nm")</f>
        <v>0</v>
      </c>
    </row>
    <row r="116" customFormat="false" ht="14.25" hidden="false" customHeight="false" outlineLevel="0" collapsed="false">
      <c r="A116" s="59" t="s">
        <v>115</v>
      </c>
      <c r="B116" s="15" t="n">
        <f aca="false">+Historicals!B123</f>
        <v>3093</v>
      </c>
      <c r="C116" s="15" t="n">
        <f aca="false">+Historicals!C123</f>
        <v>2930</v>
      </c>
      <c r="D116" s="15" t="n">
        <f aca="false">+Historicals!D123</f>
        <v>3285</v>
      </c>
      <c r="E116" s="15" t="n">
        <f aca="false">+Historicals!E123</f>
        <v>3575</v>
      </c>
      <c r="F116" s="15" t="n">
        <f aca="false">+Historicals!F123</f>
        <v>3622</v>
      </c>
      <c r="G116" s="15" t="n">
        <f aca="false">+Historicals!G123</f>
        <v>3449</v>
      </c>
      <c r="H116" s="15" t="n">
        <f aca="false">+Historicals!H123</f>
        <v>3659</v>
      </c>
      <c r="I116" s="15" t="n">
        <f aca="false">+Historicals!I123</f>
        <v>4111</v>
      </c>
      <c r="J116" s="15" t="n">
        <f aca="false">+I116*(1+J117)</f>
        <v>4111</v>
      </c>
      <c r="K116" s="15" t="n">
        <f aca="false">+J116*(1+K117)</f>
        <v>4111</v>
      </c>
      <c r="L116" s="15" t="n">
        <f aca="false">+K116*(1+L117)</f>
        <v>4111</v>
      </c>
      <c r="M116" s="15" t="n">
        <f aca="false">+L116*(1+M117)</f>
        <v>4111</v>
      </c>
      <c r="N116" s="15" t="n">
        <f aca="false">+M116*(1+N117)</f>
        <v>4111</v>
      </c>
    </row>
    <row r="117" customFormat="false" ht="14.25" hidden="false" customHeight="false" outlineLevel="0" collapsed="false">
      <c r="A117" s="58" t="s">
        <v>143</v>
      </c>
      <c r="C117" s="54" t="n">
        <f aca="false">+IFERROR(C116/B116-1,"nm")</f>
        <v>-0.0526996443582283</v>
      </c>
      <c r="D117" s="54" t="n">
        <f aca="false">+IFERROR(D116/C116-1,"nm")</f>
        <v>0.121160409556314</v>
      </c>
      <c r="E117" s="54" t="n">
        <f aca="false">+IFERROR(E116/D116-1,"nm")</f>
        <v>0.0882800608828007</v>
      </c>
      <c r="F117" s="54" t="n">
        <f aca="false">+IFERROR(F116/E116-1,"nm")</f>
        <v>0.013146853146853</v>
      </c>
      <c r="G117" s="54" t="n">
        <f aca="false">+IFERROR(G116/F116-1,"nm")</f>
        <v>-0.0477636664826063</v>
      </c>
      <c r="H117" s="54" t="n">
        <f aca="false">+IFERROR(H116/G116-1,"nm")</f>
        <v>0.0608872136851262</v>
      </c>
      <c r="I117" s="54" t="n">
        <f aca="false">+IFERROR(I116/H116-1,"nm")</f>
        <v>0.123531019404209</v>
      </c>
      <c r="J117" s="54" t="n">
        <f aca="false">+J118+J119</f>
        <v>0</v>
      </c>
      <c r="K117" s="54" t="n">
        <f aca="false">+K118+K119</f>
        <v>0</v>
      </c>
      <c r="L117" s="54" t="n">
        <f aca="false">+L118+L119</f>
        <v>0</v>
      </c>
      <c r="M117" s="54" t="n">
        <f aca="false">+M118+M119</f>
        <v>0</v>
      </c>
      <c r="N117" s="54" t="n">
        <f aca="false">+N118+N119</f>
        <v>0</v>
      </c>
    </row>
    <row r="118" customFormat="false" ht="14.25" hidden="false" customHeight="false" outlineLevel="0" collapsed="false">
      <c r="A118" s="58" t="s">
        <v>152</v>
      </c>
      <c r="B118" s="54" t="n">
        <f aca="false">+Historicals!B196</f>
        <v>0.12</v>
      </c>
      <c r="C118" s="54" t="n">
        <f aca="false">+Historicals!C196</f>
        <v>0.19</v>
      </c>
      <c r="D118" s="54" t="n">
        <f aca="false">+Historicals!D196</f>
        <v>0.16</v>
      </c>
      <c r="E118" s="54" t="n">
        <f aca="false">+Historicals!E196</f>
        <v>0.09</v>
      </c>
      <c r="F118" s="54" t="n">
        <f aca="false">+Historicals!F196</f>
        <v>0.12</v>
      </c>
      <c r="G118" s="54" t="n">
        <f aca="false">+Historicals!G196</f>
        <v>0</v>
      </c>
      <c r="H118" s="54" t="n">
        <f aca="false">+Historicals!H196</f>
        <v>0.08</v>
      </c>
      <c r="I118" s="54" t="n">
        <f aca="false">+Historicals!I196</f>
        <v>0.17</v>
      </c>
      <c r="J118" s="60" t="n">
        <v>0</v>
      </c>
      <c r="K118" s="60" t="n">
        <f aca="false">+J118</f>
        <v>0</v>
      </c>
      <c r="L118" s="60" t="n">
        <f aca="false">+K118</f>
        <v>0</v>
      </c>
      <c r="M118" s="60" t="n">
        <f aca="false">+L118</f>
        <v>0</v>
      </c>
      <c r="N118" s="60" t="n">
        <f aca="false">+M118</f>
        <v>0</v>
      </c>
    </row>
    <row r="119" customFormat="false" ht="14.25" hidden="false" customHeight="false" outlineLevel="0" collapsed="false">
      <c r="A119" s="58" t="s">
        <v>153</v>
      </c>
      <c r="C119" s="54" t="n">
        <f aca="false">+IFERROR(C117-C118,"nm")</f>
        <v>-0.242699644358228</v>
      </c>
      <c r="D119" s="54" t="n">
        <f aca="false">+IFERROR(D117-D118,"nm")</f>
        <v>-0.0388395904436861</v>
      </c>
      <c r="E119" s="54" t="n">
        <f aca="false">+IFERROR(E117-E118,"nm")</f>
        <v>-0.00171993911719928</v>
      </c>
      <c r="F119" s="54" t="n">
        <f aca="false">+IFERROR(F117-F118,"nm")</f>
        <v>-0.106853146853147</v>
      </c>
      <c r="G119" s="54" t="n">
        <f aca="false">+IFERROR(G117-G118,"nm")</f>
        <v>-0.0477636664826063</v>
      </c>
      <c r="H119" s="54" t="n">
        <f aca="false">+IFERROR(H117-H118,"nm")</f>
        <v>-0.0191127863148738</v>
      </c>
      <c r="I119" s="54" t="n">
        <f aca="false">+IFERROR(I117-I118,"nm")</f>
        <v>-0.0464689805957913</v>
      </c>
      <c r="J119" s="60" t="n">
        <v>0</v>
      </c>
      <c r="K119" s="60" t="n">
        <f aca="false">+J119</f>
        <v>0</v>
      </c>
      <c r="L119" s="60" t="n">
        <f aca="false">+K119</f>
        <v>0</v>
      </c>
      <c r="M119" s="60" t="n">
        <f aca="false">+L119</f>
        <v>0</v>
      </c>
      <c r="N119" s="60" t="n">
        <f aca="false">+M119</f>
        <v>0</v>
      </c>
    </row>
    <row r="120" customFormat="false" ht="14.25" hidden="false" customHeight="false" outlineLevel="0" collapsed="false">
      <c r="A120" s="59" t="s">
        <v>116</v>
      </c>
      <c r="B120" s="15" t="n">
        <f aca="false">+Historicals!B124</f>
        <v>1251</v>
      </c>
      <c r="C120" s="15" t="n">
        <f aca="false">+Historicals!C124</f>
        <v>1117</v>
      </c>
      <c r="D120" s="15" t="n">
        <f aca="false">+Historicals!D124</f>
        <v>1185</v>
      </c>
      <c r="E120" s="15" t="n">
        <f aca="false">+Historicals!E124</f>
        <v>1347</v>
      </c>
      <c r="F120" s="15" t="n">
        <f aca="false">+Historicals!F124</f>
        <v>1395</v>
      </c>
      <c r="G120" s="15" t="n">
        <f aca="false">+Historicals!G124</f>
        <v>1365</v>
      </c>
      <c r="H120" s="15" t="n">
        <f aca="false">+Historicals!H124</f>
        <v>1494</v>
      </c>
      <c r="I120" s="15" t="n">
        <f aca="false">+Historicals!I124</f>
        <v>1610</v>
      </c>
      <c r="J120" s="15" t="n">
        <f aca="false">+I120*(1+J121)</f>
        <v>1610</v>
      </c>
      <c r="K120" s="15" t="n">
        <f aca="false">+J120*(1+K121)</f>
        <v>1610</v>
      </c>
      <c r="L120" s="15" t="n">
        <f aca="false">+K120*(1+L121)</f>
        <v>1610</v>
      </c>
      <c r="M120" s="15" t="n">
        <f aca="false">+L120*(1+M121)</f>
        <v>1610</v>
      </c>
      <c r="N120" s="15" t="n">
        <f aca="false">+M120*(1+N121)</f>
        <v>1610</v>
      </c>
    </row>
    <row r="121" customFormat="false" ht="14.25" hidden="false" customHeight="false" outlineLevel="0" collapsed="false">
      <c r="A121" s="58" t="s">
        <v>143</v>
      </c>
      <c r="C121" s="54" t="n">
        <f aca="false">+IFERROR(C120/B120-1,"nm")</f>
        <v>-0.107114308553158</v>
      </c>
      <c r="D121" s="54" t="n">
        <f aca="false">+IFERROR(D120/C120-1,"nm")</f>
        <v>0.0608773500447628</v>
      </c>
      <c r="E121" s="54" t="n">
        <f aca="false">+IFERROR(E120/D120-1,"nm")</f>
        <v>0.136708860759494</v>
      </c>
      <c r="F121" s="54" t="n">
        <f aca="false">+IFERROR(F120/E120-1,"nm")</f>
        <v>0.0356347438752784</v>
      </c>
      <c r="G121" s="54" t="n">
        <f aca="false">+IFERROR(G120/F120-1,"nm")</f>
        <v>-0.021505376344086</v>
      </c>
      <c r="H121" s="54" t="n">
        <f aca="false">+IFERROR(H120/G120-1,"nm")</f>
        <v>0.0945054945054946</v>
      </c>
      <c r="I121" s="54" t="n">
        <f aca="false">+IFERROR(I120/H120-1,"nm")</f>
        <v>0.0776439089692103</v>
      </c>
      <c r="J121" s="54" t="n">
        <f aca="false">+J122+J123</f>
        <v>0</v>
      </c>
      <c r="K121" s="54" t="n">
        <f aca="false">+K122+K123</f>
        <v>0</v>
      </c>
      <c r="L121" s="54" t="n">
        <f aca="false">+L122+L123</f>
        <v>0</v>
      </c>
      <c r="M121" s="54" t="n">
        <f aca="false">+M122+M123</f>
        <v>0</v>
      </c>
      <c r="N121" s="54" t="n">
        <f aca="false">+N122+N123</f>
        <v>0</v>
      </c>
    </row>
    <row r="122" customFormat="false" ht="14.25" hidden="false" customHeight="false" outlineLevel="0" collapsed="false">
      <c r="A122" s="58" t="s">
        <v>152</v>
      </c>
      <c r="B122" s="54" t="n">
        <f aca="false">+Historicals!B197</f>
        <v>0.08</v>
      </c>
      <c r="C122" s="54" t="n">
        <f aca="false">+Historicals!C197</f>
        <v>0.1</v>
      </c>
      <c r="D122" s="54" t="n">
        <f aca="false">+Historicals!D197</f>
        <v>0.09</v>
      </c>
      <c r="E122" s="54" t="n">
        <f aca="false">+Historicals!E197</f>
        <v>0.15</v>
      </c>
      <c r="F122" s="54" t="n">
        <f aca="false">+Historicals!F197</f>
        <v>0.15</v>
      </c>
      <c r="G122" s="54" t="n">
        <f aca="false">+Historicals!G197</f>
        <v>0.03</v>
      </c>
      <c r="H122" s="54" t="n">
        <f aca="false">+Historicals!H197</f>
        <v>0.1</v>
      </c>
      <c r="I122" s="54" t="n">
        <f aca="false">+Historicals!I197</f>
        <v>0.12</v>
      </c>
      <c r="J122" s="60" t="n">
        <v>0</v>
      </c>
      <c r="K122" s="60" t="n">
        <f aca="false">+J122</f>
        <v>0</v>
      </c>
      <c r="L122" s="60" t="n">
        <f aca="false">+K122</f>
        <v>0</v>
      </c>
      <c r="M122" s="60" t="n">
        <f aca="false">+L122</f>
        <v>0</v>
      </c>
      <c r="N122" s="60" t="n">
        <f aca="false">+M122</f>
        <v>0</v>
      </c>
    </row>
    <row r="123" customFormat="false" ht="14.25" hidden="false" customHeight="false" outlineLevel="0" collapsed="false">
      <c r="A123" s="58" t="s">
        <v>153</v>
      </c>
      <c r="C123" s="54" t="n">
        <f aca="false">+IFERROR(C121-C122,"nm")</f>
        <v>-0.207114308553158</v>
      </c>
      <c r="D123" s="54" t="n">
        <f aca="false">+IFERROR(D121-D122,"nm")</f>
        <v>-0.0291226499552372</v>
      </c>
      <c r="E123" s="54" t="n">
        <f aca="false">+IFERROR(E121-E122,"nm")</f>
        <v>-0.0132911392405063</v>
      </c>
      <c r="F123" s="54" t="n">
        <f aca="false">+IFERROR(F121-F122,"nm")</f>
        <v>-0.114365256124722</v>
      </c>
      <c r="G123" s="54" t="n">
        <f aca="false">+IFERROR(G121-G122,"nm")</f>
        <v>-0.051505376344086</v>
      </c>
      <c r="H123" s="54" t="n">
        <f aca="false">+IFERROR(H121-H122,"nm")</f>
        <v>-0.00549450549450539</v>
      </c>
      <c r="I123" s="54" t="n">
        <f aca="false">+IFERROR(I121-I122,"nm")</f>
        <v>-0.0423560910307897</v>
      </c>
      <c r="J123" s="60" t="n">
        <v>0</v>
      </c>
      <c r="K123" s="60" t="n">
        <f aca="false">+J123</f>
        <v>0</v>
      </c>
      <c r="L123" s="60" t="n">
        <f aca="false">+K123</f>
        <v>0</v>
      </c>
      <c r="M123" s="60" t="n">
        <f aca="false">+L123</f>
        <v>0</v>
      </c>
      <c r="N123" s="60" t="n">
        <f aca="false">+M123</f>
        <v>0</v>
      </c>
    </row>
    <row r="124" customFormat="false" ht="14.25" hidden="false" customHeight="false" outlineLevel="0" collapsed="false">
      <c r="A124" s="59" t="s">
        <v>117</v>
      </c>
      <c r="B124" s="15" t="n">
        <f aca="false">+Historicals!B125</f>
        <v>309</v>
      </c>
      <c r="C124" s="15" t="n">
        <f aca="false">+Historicals!C125</f>
        <v>270</v>
      </c>
      <c r="D124" s="15" t="n">
        <f aca="false">+Historicals!D125</f>
        <v>267</v>
      </c>
      <c r="E124" s="15" t="n">
        <f aca="false">+Historicals!E125</f>
        <v>244</v>
      </c>
      <c r="F124" s="15" t="n">
        <f aca="false">+Historicals!F125</f>
        <v>237</v>
      </c>
      <c r="G124" s="15" t="n">
        <f aca="false">+Historicals!G125</f>
        <v>214</v>
      </c>
      <c r="H124" s="15" t="n">
        <f aca="false">+Historicals!H125</f>
        <v>190</v>
      </c>
      <c r="I124" s="15" t="n">
        <f aca="false">+Historicals!I125</f>
        <v>234</v>
      </c>
      <c r="J124" s="15" t="n">
        <f aca="false">+I124*(1+J125)</f>
        <v>234</v>
      </c>
      <c r="K124" s="15" t="n">
        <f aca="false">+J124*(1+K125)</f>
        <v>234</v>
      </c>
      <c r="L124" s="15" t="n">
        <f aca="false">+K124*(1+L125)</f>
        <v>234</v>
      </c>
      <c r="M124" s="15" t="n">
        <f aca="false">+L124*(1+M125)</f>
        <v>234</v>
      </c>
      <c r="N124" s="15" t="n">
        <f aca="false">+M124*(1+N125)</f>
        <v>234</v>
      </c>
    </row>
    <row r="125" customFormat="false" ht="14.25" hidden="false" customHeight="false" outlineLevel="0" collapsed="false">
      <c r="A125" s="58" t="s">
        <v>143</v>
      </c>
      <c r="C125" s="54" t="n">
        <f aca="false">+IFERROR(C124/B124-1,"nm")</f>
        <v>-0.12621359223301</v>
      </c>
      <c r="D125" s="54" t="n">
        <f aca="false">+IFERROR(D124/C124-1,"nm")</f>
        <v>-0.0111111111111111</v>
      </c>
      <c r="E125" s="54" t="n">
        <f aca="false">+IFERROR(E124/D124-1,"nm")</f>
        <v>-0.0861423220973783</v>
      </c>
      <c r="F125" s="54" t="n">
        <f aca="false">+IFERROR(F124/E124-1,"nm")</f>
        <v>-0.0286885245901639</v>
      </c>
      <c r="G125" s="54" t="n">
        <f aca="false">+IFERROR(G124/F124-1,"nm")</f>
        <v>-0.0970464135021097</v>
      </c>
      <c r="H125" s="54" t="n">
        <f aca="false">+IFERROR(H124/G124-1,"nm")</f>
        <v>-0.11214953271028</v>
      </c>
      <c r="I125" s="54" t="n">
        <f aca="false">+IFERROR(I124/H124-1,"nm")</f>
        <v>0.231578947368421</v>
      </c>
      <c r="J125" s="54" t="n">
        <f aca="false">+J126+J127</f>
        <v>0</v>
      </c>
      <c r="K125" s="54" t="n">
        <f aca="false">+K126+K127</f>
        <v>0</v>
      </c>
      <c r="L125" s="54" t="n">
        <f aca="false">+L126+L127</f>
        <v>0</v>
      </c>
      <c r="M125" s="54" t="n">
        <f aca="false">+M126+M127</f>
        <v>0</v>
      </c>
      <c r="N125" s="54" t="n">
        <f aca="false">+N126+N127</f>
        <v>0</v>
      </c>
    </row>
    <row r="126" customFormat="false" ht="14.25" hidden="false" customHeight="false" outlineLevel="0" collapsed="false">
      <c r="A126" s="58" t="s">
        <v>152</v>
      </c>
      <c r="B126" s="54" t="n">
        <f aca="false">+Historicals!B198</f>
        <v>0.03</v>
      </c>
      <c r="C126" s="54" t="n">
        <f aca="false">+Historicals!C198</f>
        <v>0.09</v>
      </c>
      <c r="D126" s="54" t="n">
        <f aca="false">+Historicals!D198</f>
        <v>-0.01</v>
      </c>
      <c r="E126" s="54" t="n">
        <f aca="false">+Historicals!E198</f>
        <v>-0.08</v>
      </c>
      <c r="F126" s="54" t="n">
        <f aca="false">+Historicals!F198</f>
        <v>0.08</v>
      </c>
      <c r="G126" s="54" t="n">
        <f aca="false">+Historicals!G198</f>
        <v>-0.04</v>
      </c>
      <c r="H126" s="54" t="n">
        <f aca="false">+Historicals!H198</f>
        <v>-0.09</v>
      </c>
      <c r="I126" s="54" t="n">
        <f aca="false">+Historicals!I198</f>
        <v>0.28</v>
      </c>
      <c r="J126" s="60" t="n">
        <v>0</v>
      </c>
      <c r="K126" s="60" t="n">
        <f aca="false">+J126</f>
        <v>0</v>
      </c>
      <c r="L126" s="60" t="n">
        <f aca="false">+K126</f>
        <v>0</v>
      </c>
      <c r="M126" s="60" t="n">
        <f aca="false">+L126</f>
        <v>0</v>
      </c>
      <c r="N126" s="60" t="n">
        <f aca="false">+M126</f>
        <v>0</v>
      </c>
    </row>
    <row r="127" customFormat="false" ht="14.25" hidden="false" customHeight="false" outlineLevel="0" collapsed="false">
      <c r="A127" s="58" t="s">
        <v>153</v>
      </c>
      <c r="C127" s="54" t="n">
        <f aca="false">+IFERROR(C125-C126,"nm")</f>
        <v>-0.21621359223301</v>
      </c>
      <c r="D127" s="54" t="n">
        <f aca="false">+IFERROR(D125-D126,"nm")</f>
        <v>-0.00111111111111107</v>
      </c>
      <c r="E127" s="54" t="n">
        <f aca="false">+IFERROR(E125-E126,"nm")</f>
        <v>-0.00614232209737826</v>
      </c>
      <c r="F127" s="54" t="n">
        <f aca="false">+IFERROR(F125-F126,"nm")</f>
        <v>-0.108688524590164</v>
      </c>
      <c r="G127" s="54" t="n">
        <f aca="false">+IFERROR(G125-G126,"nm")</f>
        <v>-0.0570464135021097</v>
      </c>
      <c r="H127" s="54" t="n">
        <f aca="false">+IFERROR(H125-H126,"nm")</f>
        <v>-0.0221495327102804</v>
      </c>
      <c r="I127" s="54" t="n">
        <f aca="false">+IFERROR(I125-I126,"nm")</f>
        <v>-0.0484210526315789</v>
      </c>
      <c r="J127" s="60" t="n">
        <v>0</v>
      </c>
      <c r="K127" s="60" t="n">
        <f aca="false">+J127</f>
        <v>0</v>
      </c>
      <c r="L127" s="60" t="n">
        <f aca="false">+K127</f>
        <v>0</v>
      </c>
      <c r="M127" s="60" t="n">
        <f aca="false">+L127</f>
        <v>0</v>
      </c>
      <c r="N127" s="60" t="n">
        <f aca="false">+M127</f>
        <v>0</v>
      </c>
    </row>
    <row r="128" customFormat="false" ht="14.25" hidden="false" customHeight="false" outlineLevel="0" collapsed="false">
      <c r="A128" s="15" t="s">
        <v>144</v>
      </c>
      <c r="B128" s="61" t="n">
        <f aca="false">+B135+B131</f>
        <v>967</v>
      </c>
      <c r="C128" s="61" t="n">
        <f aca="false">+C135+C131</f>
        <v>1045</v>
      </c>
      <c r="D128" s="61" t="n">
        <f aca="false">+D135+D131</f>
        <v>1036</v>
      </c>
      <c r="E128" s="61" t="n">
        <f aca="false">+E135+E131</f>
        <v>1244</v>
      </c>
      <c r="F128" s="61" t="n">
        <f aca="false">+F135+F131</f>
        <v>1376</v>
      </c>
      <c r="G128" s="61" t="n">
        <f aca="false">+G135+G131</f>
        <v>1230</v>
      </c>
      <c r="H128" s="61" t="n">
        <f aca="false">+H135+H131</f>
        <v>1573</v>
      </c>
      <c r="I128" s="61" t="n">
        <f aca="false">+I135+I131</f>
        <v>1938</v>
      </c>
      <c r="J128" s="61" t="n">
        <f aca="false">+J114*J130</f>
        <v>1938</v>
      </c>
      <c r="K128" s="61" t="n">
        <f aca="false">+K114*K130</f>
        <v>1938</v>
      </c>
      <c r="L128" s="61" t="n">
        <f aca="false">+L114*L130</f>
        <v>1938</v>
      </c>
      <c r="M128" s="61" t="n">
        <f aca="false">+M114*M130</f>
        <v>1938</v>
      </c>
      <c r="N128" s="61" t="n">
        <f aca="false">+N114*N130</f>
        <v>1938</v>
      </c>
    </row>
    <row r="129" customFormat="false" ht="14.25" hidden="false" customHeight="false" outlineLevel="0" collapsed="false">
      <c r="A129" s="53" t="s">
        <v>143</v>
      </c>
      <c r="C129" s="54" t="n">
        <f aca="false">+IFERROR(C128/B128-1,"nm")</f>
        <v>0.080661840744571</v>
      </c>
      <c r="D129" s="54" t="n">
        <f aca="false">+IFERROR(D128/C128-1,"nm")</f>
        <v>-0.00861244019138752</v>
      </c>
      <c r="E129" s="54" t="n">
        <f aca="false">+IFERROR(E128/D128-1,"nm")</f>
        <v>0.200772200772201</v>
      </c>
      <c r="F129" s="54" t="n">
        <f aca="false">+IFERROR(F128/E128-1,"nm")</f>
        <v>0.106109324758843</v>
      </c>
      <c r="G129" s="54" t="n">
        <f aca="false">+IFERROR(G128/F128-1,"nm")</f>
        <v>-0.106104651162791</v>
      </c>
      <c r="H129" s="54" t="n">
        <f aca="false">+IFERROR(H128/G128-1,"nm")</f>
        <v>0.278861788617886</v>
      </c>
      <c r="I129" s="54" t="n">
        <f aca="false">+IFERROR(I128/H128-1,"nm")</f>
        <v>0.232040686586141</v>
      </c>
      <c r="J129" s="54" t="n">
        <f aca="false">+IFERROR(J128/I128-1,"nm")</f>
        <v>0</v>
      </c>
      <c r="K129" s="54" t="n">
        <f aca="false">+IFERROR(K128/J128-1,"nm")</f>
        <v>0</v>
      </c>
      <c r="L129" s="54" t="n">
        <f aca="false">+IFERROR(L128/K128-1,"nm")</f>
        <v>0</v>
      </c>
      <c r="M129" s="54" t="n">
        <f aca="false">+IFERROR(M128/L128-1,"nm")</f>
        <v>0</v>
      </c>
      <c r="N129" s="54" t="n">
        <f aca="false">+IFERROR(N128/M128-1,"nm")</f>
        <v>0</v>
      </c>
    </row>
    <row r="130" customFormat="false" ht="14.25" hidden="false" customHeight="false" outlineLevel="0" collapsed="false">
      <c r="A130" s="53" t="s">
        <v>145</v>
      </c>
      <c r="B130" s="54" t="n">
        <f aca="false">+IFERROR(B128/B$114,"nm")</f>
        <v>0.20782290995057</v>
      </c>
      <c r="C130" s="54" t="n">
        <f aca="false">+IFERROR(C128/C$114,"nm")</f>
        <v>0.242066249710447</v>
      </c>
      <c r="D130" s="54" t="n">
        <f aca="false">+IFERROR(D128/D$114,"nm")</f>
        <v>0.218703820983745</v>
      </c>
      <c r="E130" s="54" t="n">
        <f aca="false">+IFERROR(E128/E$114,"nm")</f>
        <v>0.240805265195509</v>
      </c>
      <c r="F130" s="54" t="n">
        <f aca="false">+IFERROR(F128/F$114,"nm")</f>
        <v>0.261895698515417</v>
      </c>
      <c r="G130" s="54" t="n">
        <f aca="false">+IFERROR(G128/G$114,"nm")</f>
        <v>0.244630071599045</v>
      </c>
      <c r="H130" s="54" t="n">
        <f aca="false">+IFERROR(H128/H$114,"nm")</f>
        <v>0.294403892944039</v>
      </c>
      <c r="I130" s="54" t="n">
        <f aca="false">+IFERROR(I128/I$114,"nm")</f>
        <v>0.32544080604534</v>
      </c>
      <c r="J130" s="60" t="n">
        <f aca="false">+I130</f>
        <v>0.32544080604534</v>
      </c>
      <c r="K130" s="60" t="n">
        <f aca="false">+J130</f>
        <v>0.32544080604534</v>
      </c>
      <c r="L130" s="60" t="n">
        <f aca="false">+K130</f>
        <v>0.32544080604534</v>
      </c>
      <c r="M130" s="60" t="n">
        <f aca="false">+L130</f>
        <v>0.32544080604534</v>
      </c>
      <c r="N130" s="60" t="n">
        <f aca="false">+M130</f>
        <v>0.32544080604534</v>
      </c>
    </row>
    <row r="131" customFormat="false" ht="14.25" hidden="false" customHeight="false" outlineLevel="0" collapsed="false">
      <c r="A131" s="15" t="s">
        <v>146</v>
      </c>
      <c r="B131" s="15" t="n">
        <f aca="false">+Historicals!B174</f>
        <v>49</v>
      </c>
      <c r="C131" s="15" t="n">
        <f aca="false">+Historicals!C174</f>
        <v>43</v>
      </c>
      <c r="D131" s="15" t="n">
        <f aca="false">+Historicals!D174</f>
        <v>56</v>
      </c>
      <c r="E131" s="15" t="n">
        <f aca="false">+Historicals!E174</f>
        <v>55</v>
      </c>
      <c r="F131" s="15" t="n">
        <f aca="false">+Historicals!F174</f>
        <v>53</v>
      </c>
      <c r="G131" s="15" t="n">
        <f aca="false">+Historicals!G174</f>
        <v>46</v>
      </c>
      <c r="H131" s="15" t="n">
        <f aca="false">+Historicals!H174</f>
        <v>43</v>
      </c>
      <c r="I131" s="15" t="n">
        <f aca="false">+Historicals!I174</f>
        <v>42</v>
      </c>
      <c r="J131" s="61" t="n">
        <f aca="false">+J134*J141</f>
        <v>42</v>
      </c>
      <c r="K131" s="61" t="n">
        <f aca="false">+K134*K141</f>
        <v>42</v>
      </c>
      <c r="L131" s="61" t="n">
        <f aca="false">+L134*L141</f>
        <v>42</v>
      </c>
      <c r="M131" s="61" t="n">
        <f aca="false">+M134*M141</f>
        <v>42</v>
      </c>
      <c r="N131" s="61" t="n">
        <f aca="false">+N134*N141</f>
        <v>42</v>
      </c>
    </row>
    <row r="132" customFormat="false" ht="14.25" hidden="false" customHeight="false" outlineLevel="0" collapsed="false">
      <c r="A132" s="53" t="s">
        <v>143</v>
      </c>
      <c r="C132" s="54" t="n">
        <f aca="false">+IFERROR(C131/B131-1,"nm")</f>
        <v>-0.122448979591837</v>
      </c>
      <c r="D132" s="54" t="n">
        <f aca="false">+IFERROR(D131/C131-1,"nm")</f>
        <v>0.302325581395349</v>
      </c>
      <c r="E132" s="54" t="n">
        <f aca="false">+IFERROR(E131/D131-1,"nm")</f>
        <v>-0.0178571428571429</v>
      </c>
      <c r="F132" s="54" t="n">
        <f aca="false">+IFERROR(F131/E131-1,"nm")</f>
        <v>-0.0363636363636364</v>
      </c>
      <c r="G132" s="54" t="n">
        <f aca="false">+IFERROR(G131/F131-1,"nm")</f>
        <v>-0.132075471698113</v>
      </c>
      <c r="H132" s="54" t="n">
        <f aca="false">+IFERROR(H131/G131-1,"nm")</f>
        <v>-0.0652173913043478</v>
      </c>
      <c r="I132" s="54" t="n">
        <f aca="false">+IFERROR(I131/H131-1,"nm")</f>
        <v>-0.0232558139534884</v>
      </c>
      <c r="J132" s="54" t="n">
        <f aca="false">+IFERROR(J131/I131-1,"nm")</f>
        <v>0</v>
      </c>
      <c r="K132" s="54" t="n">
        <f aca="false">+IFERROR(K131/J131-1,"nm")</f>
        <v>0</v>
      </c>
      <c r="L132" s="54" t="n">
        <f aca="false">+IFERROR(L131/K131-1,"nm")</f>
        <v>0</v>
      </c>
      <c r="M132" s="54" t="n">
        <f aca="false">+IFERROR(M131/L131-1,"nm")</f>
        <v>0</v>
      </c>
      <c r="N132" s="54" t="n">
        <f aca="false">+IFERROR(N131/M131-1,"nm")</f>
        <v>0</v>
      </c>
    </row>
    <row r="133" customFormat="false" ht="14.25" hidden="false" customHeight="false" outlineLevel="0" collapsed="false">
      <c r="A133" s="53" t="s">
        <v>147</v>
      </c>
      <c r="B133" s="54" t="n">
        <f aca="false">+IFERROR(B131/B$114,"nm")</f>
        <v>0.0105308403180744</v>
      </c>
      <c r="C133" s="54" t="n">
        <f aca="false">+IFERROR(C131/C$114,"nm")</f>
        <v>0.00996062080148251</v>
      </c>
      <c r="D133" s="54" t="n">
        <f aca="false">+IFERROR(D131/D$114,"nm")</f>
        <v>0.0118218281612835</v>
      </c>
      <c r="E133" s="54" t="n">
        <f aca="false">+IFERROR(E131/E$114,"nm")</f>
        <v>0.0106465350367789</v>
      </c>
      <c r="F133" s="54" t="n">
        <f aca="false">+IFERROR(F131/F$114,"nm")</f>
        <v>0.0100875523410735</v>
      </c>
      <c r="G133" s="54" t="n">
        <f aca="false">+IFERROR(G131/G$114,"nm")</f>
        <v>0.00914876690533015</v>
      </c>
      <c r="H133" s="54" t="n">
        <f aca="false">+IFERROR(H131/H$114,"nm")</f>
        <v>0.00804791315740221</v>
      </c>
      <c r="I133" s="54" t="n">
        <f aca="false">+IFERROR(I131/I$114,"nm")</f>
        <v>0.00705289672544081</v>
      </c>
      <c r="J133" s="54" t="n">
        <f aca="false">+IFERROR(J131/J$21,"nm")</f>
        <v>0.00228845420367242</v>
      </c>
      <c r="K133" s="54" t="n">
        <f aca="false">+IFERROR(K131/K$21,"nm")</f>
        <v>0.00228845420367242</v>
      </c>
      <c r="L133" s="54" t="n">
        <f aca="false">+IFERROR(L131/L$21,"nm")</f>
        <v>0.00228845420367242</v>
      </c>
      <c r="M133" s="54" t="n">
        <f aca="false">+IFERROR(M131/M$21,"nm")</f>
        <v>0.00228845420367242</v>
      </c>
      <c r="N133" s="54" t="n">
        <f aca="false">+IFERROR(N131/N$21,"nm")</f>
        <v>0.00228845420367242</v>
      </c>
    </row>
    <row r="134" customFormat="false" ht="14.25" hidden="false" customHeight="false" outlineLevel="0" collapsed="false">
      <c r="A134" s="53" t="s">
        <v>154</v>
      </c>
      <c r="B134" s="54" t="n">
        <f aca="false">+IFERROR(B131/B141,"nm")</f>
        <v>0.101239669421488</v>
      </c>
      <c r="C134" s="54" t="n">
        <f aca="false">+IFERROR(C131/C141,"nm")</f>
        <v>0.0841487279843444</v>
      </c>
      <c r="D134" s="54" t="n">
        <f aca="false">+IFERROR(D131/D141,"nm")</f>
        <v>0.105065666041276</v>
      </c>
      <c r="E134" s="54" t="n">
        <f aca="false">+IFERROR(E131/E141,"nm")</f>
        <v>0.0921273031825796</v>
      </c>
      <c r="F134" s="54" t="n">
        <f aca="false">+IFERROR(F131/F141,"nm")</f>
        <v>0.0796992481203008</v>
      </c>
      <c r="G134" s="54" t="n">
        <f aca="false">+IFERROR(G131/G141,"nm")</f>
        <v>0.055421686746988</v>
      </c>
      <c r="H134" s="54" t="n">
        <f aca="false">+IFERROR(H131/H141,"nm")</f>
        <v>0.0551282051282051</v>
      </c>
      <c r="I134" s="54" t="n">
        <f aca="false">+IFERROR(I131/I141,"nm")</f>
        <v>0.0532319391634981</v>
      </c>
      <c r="J134" s="60" t="n">
        <f aca="false">+I134</f>
        <v>0.0532319391634981</v>
      </c>
      <c r="K134" s="60" t="n">
        <f aca="false">+J134</f>
        <v>0.0532319391634981</v>
      </c>
      <c r="L134" s="60" t="n">
        <f aca="false">+K134</f>
        <v>0.0532319391634981</v>
      </c>
      <c r="M134" s="60" t="n">
        <f aca="false">+L134</f>
        <v>0.0532319391634981</v>
      </c>
      <c r="N134" s="60" t="n">
        <f aca="false">+M134</f>
        <v>0.0532319391634981</v>
      </c>
    </row>
    <row r="135" customFormat="false" ht="14.25" hidden="false" customHeight="false" outlineLevel="0" collapsed="false">
      <c r="A135" s="15" t="s">
        <v>148</v>
      </c>
      <c r="B135" s="15" t="n">
        <f aca="false">+Historicals!B140</f>
        <v>918</v>
      </c>
      <c r="C135" s="15" t="n">
        <f aca="false">+Historicals!C140</f>
        <v>1002</v>
      </c>
      <c r="D135" s="15" t="n">
        <f aca="false">+Historicals!D140</f>
        <v>980</v>
      </c>
      <c r="E135" s="15" t="n">
        <f aca="false">+Historicals!E140</f>
        <v>1189</v>
      </c>
      <c r="F135" s="15" t="n">
        <f aca="false">+Historicals!F140</f>
        <v>1323</v>
      </c>
      <c r="G135" s="15" t="n">
        <f aca="false">+Historicals!G140</f>
        <v>1184</v>
      </c>
      <c r="H135" s="15" t="n">
        <f aca="false">+Historicals!H140</f>
        <v>1530</v>
      </c>
      <c r="I135" s="15" t="n">
        <f aca="false">+Historicals!I140</f>
        <v>1896</v>
      </c>
      <c r="J135" s="15" t="n">
        <f aca="false">+J128-J131</f>
        <v>1896</v>
      </c>
      <c r="K135" s="15" t="n">
        <f aca="false">+K128-K131</f>
        <v>1896</v>
      </c>
      <c r="L135" s="15" t="n">
        <f aca="false">+L128-L131</f>
        <v>1896</v>
      </c>
      <c r="M135" s="15" t="n">
        <f aca="false">+M128-M131</f>
        <v>1896</v>
      </c>
      <c r="N135" s="15" t="n">
        <f aca="false">+N128-N131</f>
        <v>1896</v>
      </c>
    </row>
    <row r="136" customFormat="false" ht="14.25" hidden="false" customHeight="false" outlineLevel="0" collapsed="false">
      <c r="A136" s="53" t="s">
        <v>143</v>
      </c>
      <c r="C136" s="54" t="n">
        <f aca="false">+IFERROR(C135/B135-1,"nm")</f>
        <v>0.0915032679738561</v>
      </c>
      <c r="D136" s="54" t="n">
        <f aca="false">+IFERROR(D135/C135-1,"nm")</f>
        <v>-0.0219560878243513</v>
      </c>
      <c r="E136" s="54" t="n">
        <f aca="false">+IFERROR(E135/D135-1,"nm")</f>
        <v>0.213265306122449</v>
      </c>
      <c r="F136" s="54" t="n">
        <f aca="false">+IFERROR(F135/E135-1,"nm")</f>
        <v>0.112699747687132</v>
      </c>
      <c r="G136" s="54" t="n">
        <f aca="false">+IFERROR(G135/F135-1,"nm")</f>
        <v>-0.105064247921391</v>
      </c>
      <c r="H136" s="54" t="n">
        <f aca="false">+IFERROR(H135/G135-1,"nm")</f>
        <v>0.29222972972973</v>
      </c>
      <c r="I136" s="54" t="n">
        <f aca="false">+IFERROR(I135/H135-1,"nm")</f>
        <v>0.23921568627451</v>
      </c>
      <c r="J136" s="54" t="n">
        <f aca="false">+IFERROR(J135/I135-1,"nm")</f>
        <v>0</v>
      </c>
      <c r="K136" s="54" t="n">
        <f aca="false">+IFERROR(K135/J135-1,"nm")</f>
        <v>0</v>
      </c>
      <c r="L136" s="54" t="n">
        <f aca="false">+IFERROR(L135/K135-1,"nm")</f>
        <v>0</v>
      </c>
      <c r="M136" s="54" t="n">
        <f aca="false">+IFERROR(M135/L135-1,"nm")</f>
        <v>0</v>
      </c>
      <c r="N136" s="54" t="n">
        <f aca="false">+IFERROR(N135/M135-1,"nm")</f>
        <v>0</v>
      </c>
    </row>
    <row r="137" customFormat="false" ht="14.25" hidden="false" customHeight="false" outlineLevel="0" collapsed="false">
      <c r="A137" s="53" t="s">
        <v>145</v>
      </c>
      <c r="B137" s="54" t="n">
        <f aca="false">+IFERROR(B135/B$114,"nm")</f>
        <v>0.197292069632495</v>
      </c>
      <c r="C137" s="54" t="n">
        <f aca="false">+IFERROR(C135/C$114,"nm")</f>
        <v>0.232105628908965</v>
      </c>
      <c r="D137" s="54" t="n">
        <f aca="false">+IFERROR(D135/D$114,"nm")</f>
        <v>0.206881992822461</v>
      </c>
      <c r="E137" s="54" t="n">
        <f aca="false">+IFERROR(E135/E$114,"nm")</f>
        <v>0.23015873015873</v>
      </c>
      <c r="F137" s="54" t="n">
        <f aca="false">+IFERROR(F135/F$114,"nm")</f>
        <v>0.251808146174343</v>
      </c>
      <c r="G137" s="54" t="n">
        <f aca="false">+IFERROR(G135/G$114,"nm")</f>
        <v>0.235481304693715</v>
      </c>
      <c r="H137" s="54" t="n">
        <f aca="false">+IFERROR(H135/H$114,"nm")</f>
        <v>0.286355979786637</v>
      </c>
      <c r="I137" s="54" t="n">
        <f aca="false">+IFERROR(I135/I$114,"nm")</f>
        <v>0.318387909319899</v>
      </c>
      <c r="J137" s="62" t="n">
        <f aca="false">+IFERROR(J135/J$114,"nm")</f>
        <v>0.318387909319899</v>
      </c>
      <c r="K137" s="62" t="n">
        <f aca="false">+IFERROR(K135/K$114,"nm")</f>
        <v>0.318387909319899</v>
      </c>
      <c r="L137" s="62" t="n">
        <f aca="false">+IFERROR(L135/L$114,"nm")</f>
        <v>0.318387909319899</v>
      </c>
      <c r="M137" s="62" t="n">
        <f aca="false">+IFERROR(M135/M$114,"nm")</f>
        <v>0.318387909319899</v>
      </c>
      <c r="N137" s="62" t="n">
        <f aca="false">+IFERROR(N135/N$114,"nm")</f>
        <v>0.318387909319899</v>
      </c>
    </row>
    <row r="138" customFormat="false" ht="14.25" hidden="false" customHeight="false" outlineLevel="0" collapsed="false">
      <c r="A138" s="15" t="s">
        <v>149</v>
      </c>
      <c r="B138" s="15" t="n">
        <f aca="false">+Historicals!B162</f>
        <v>52</v>
      </c>
      <c r="C138" s="15" t="n">
        <f aca="false">+Historicals!C162</f>
        <v>64</v>
      </c>
      <c r="D138" s="15" t="n">
        <f aca="false">+Historicals!D162</f>
        <v>59</v>
      </c>
      <c r="E138" s="15" t="n">
        <f aca="false">+Historicals!E162</f>
        <v>49</v>
      </c>
      <c r="F138" s="15" t="n">
        <f aca="false">+Historicals!F162</f>
        <v>47</v>
      </c>
      <c r="G138" s="15" t="n">
        <f aca="false">+Historicals!G162</f>
        <v>41</v>
      </c>
      <c r="H138" s="15" t="n">
        <f aca="false">+Historicals!H162</f>
        <v>54</v>
      </c>
      <c r="I138" s="15" t="n">
        <f aca="false">+Historicals!I162</f>
        <v>56</v>
      </c>
      <c r="J138" s="61" t="n">
        <f aca="false">+J114*J140</f>
        <v>56</v>
      </c>
      <c r="K138" s="61" t="n">
        <f aca="false">+K114*K140</f>
        <v>56</v>
      </c>
      <c r="L138" s="61" t="n">
        <f aca="false">+L114*L140</f>
        <v>56</v>
      </c>
      <c r="M138" s="61" t="n">
        <f aca="false">+M114*M140</f>
        <v>56</v>
      </c>
      <c r="N138" s="61" t="n">
        <f aca="false">+N114*N140</f>
        <v>56</v>
      </c>
    </row>
    <row r="139" customFormat="false" ht="14.25" hidden="false" customHeight="false" outlineLevel="0" collapsed="false">
      <c r="A139" s="53" t="s">
        <v>143</v>
      </c>
      <c r="C139" s="54" t="n">
        <f aca="false">+IFERROR(C138/B138-1,"nm")</f>
        <v>0.230769230769231</v>
      </c>
      <c r="D139" s="54" t="n">
        <f aca="false">+IFERROR(D138/C138-1,"nm")</f>
        <v>-0.078125</v>
      </c>
      <c r="E139" s="54" t="n">
        <f aca="false">+IFERROR(E138/D138-1,"nm")</f>
        <v>-0.169491525423729</v>
      </c>
      <c r="F139" s="54" t="n">
        <f aca="false">+IFERROR(F138/E138-1,"nm")</f>
        <v>-0.0408163265306123</v>
      </c>
      <c r="G139" s="54" t="n">
        <f aca="false">+IFERROR(G138/F138-1,"nm")</f>
        <v>-0.127659574468085</v>
      </c>
      <c r="H139" s="54" t="n">
        <f aca="false">+IFERROR(H138/G138-1,"nm")</f>
        <v>0.317073170731707</v>
      </c>
      <c r="I139" s="54" t="n">
        <f aca="false">+IFERROR(I138/H138-1,"nm")</f>
        <v>0.037037037037037</v>
      </c>
      <c r="J139" s="54" t="n">
        <f aca="false">+IFERROR(J138/I138-1,"nm")</f>
        <v>0</v>
      </c>
      <c r="K139" s="54" t="n">
        <f aca="false">+IFERROR(K138/J138-1,"nm")</f>
        <v>0</v>
      </c>
      <c r="L139" s="54" t="n">
        <f aca="false">+IFERROR(L138/K138-1,"nm")</f>
        <v>0</v>
      </c>
      <c r="M139" s="54" t="n">
        <f aca="false">+IFERROR(M138/L138-1,"nm")</f>
        <v>0</v>
      </c>
      <c r="N139" s="54" t="n">
        <f aca="false">+IFERROR(N138/M138-1,"nm")</f>
        <v>0</v>
      </c>
    </row>
    <row r="140" customFormat="false" ht="14.25" hidden="false" customHeight="false" outlineLevel="0" collapsed="false">
      <c r="A140" s="53" t="s">
        <v>147</v>
      </c>
      <c r="B140" s="54" t="n">
        <f aca="false">+IFERROR(B138/B$114,"nm")</f>
        <v>0.0111755856436708</v>
      </c>
      <c r="C140" s="54" t="n">
        <f aca="false">+IFERROR(C138/C$114,"nm")</f>
        <v>0.0148251100301135</v>
      </c>
      <c r="D140" s="54" t="n">
        <f aca="false">+IFERROR(D138/D$114,"nm")</f>
        <v>0.0124551403842094</v>
      </c>
      <c r="E140" s="54" t="n">
        <f aca="false">+IFERROR(E138/E$114,"nm")</f>
        <v>0.00948509485094851</v>
      </c>
      <c r="F140" s="54" t="n">
        <f aca="false">+IFERROR(F138/F$114,"nm")</f>
        <v>0.00894556528359345</v>
      </c>
      <c r="G140" s="54" t="n">
        <f aca="false">+IFERROR(G138/G$114,"nm")</f>
        <v>0.00815433571996818</v>
      </c>
      <c r="H140" s="54" t="n">
        <f aca="false">+IFERROR(H138/H$114,"nm")</f>
        <v>0.0101066816395284</v>
      </c>
      <c r="I140" s="54" t="n">
        <f aca="false">+IFERROR(I138/I$114,"nm")</f>
        <v>0.00940386230058774</v>
      </c>
      <c r="J140" s="60" t="n">
        <f aca="false">+I140</f>
        <v>0.00940386230058774</v>
      </c>
      <c r="K140" s="60" t="n">
        <f aca="false">+J140</f>
        <v>0.00940386230058774</v>
      </c>
      <c r="L140" s="60" t="n">
        <f aca="false">+K140</f>
        <v>0.00940386230058774</v>
      </c>
      <c r="M140" s="60" t="n">
        <f aca="false">+L140</f>
        <v>0.00940386230058774</v>
      </c>
      <c r="N140" s="60" t="n">
        <f aca="false">+M140</f>
        <v>0.00940386230058774</v>
      </c>
    </row>
    <row r="141" customFormat="false" ht="14.25" hidden="false" customHeight="false" outlineLevel="0" collapsed="false">
      <c r="A141" s="15" t="s">
        <v>150</v>
      </c>
      <c r="B141" s="15" t="n">
        <f aca="false">+Historicals!B152</f>
        <v>484</v>
      </c>
      <c r="C141" s="15" t="n">
        <f aca="false">+Historicals!C152</f>
        <v>511</v>
      </c>
      <c r="D141" s="15" t="n">
        <f aca="false">+Historicals!D152</f>
        <v>533</v>
      </c>
      <c r="E141" s="15" t="n">
        <f aca="false">+Historicals!E152</f>
        <v>597</v>
      </c>
      <c r="F141" s="15" t="n">
        <f aca="false">+Historicals!F152</f>
        <v>665</v>
      </c>
      <c r="G141" s="15" t="n">
        <f aca="false">+Historicals!G152</f>
        <v>830</v>
      </c>
      <c r="H141" s="15" t="n">
        <f aca="false">+Historicals!H152</f>
        <v>780</v>
      </c>
      <c r="I141" s="15" t="n">
        <f aca="false">+Historicals!I152</f>
        <v>789</v>
      </c>
      <c r="J141" s="61" t="n">
        <f aca="false">+J114*J143</f>
        <v>789</v>
      </c>
      <c r="K141" s="61" t="n">
        <f aca="false">+K114*K143</f>
        <v>789</v>
      </c>
      <c r="L141" s="61" t="n">
        <f aca="false">+L114*L143</f>
        <v>789</v>
      </c>
      <c r="M141" s="61" t="n">
        <f aca="false">+M114*M143</f>
        <v>789</v>
      </c>
      <c r="N141" s="61" t="n">
        <f aca="false">+N114*N143</f>
        <v>789</v>
      </c>
    </row>
    <row r="142" customFormat="false" ht="14.25" hidden="false" customHeight="false" outlineLevel="0" collapsed="false">
      <c r="A142" s="53" t="s">
        <v>143</v>
      </c>
      <c r="C142" s="54" t="n">
        <f aca="false">+IFERROR(C141/B141-1,"nm")</f>
        <v>0.0557851239669422</v>
      </c>
      <c r="D142" s="54" t="n">
        <f aca="false">+IFERROR(D141/C141-1,"nm")</f>
        <v>0.0430528375733856</v>
      </c>
      <c r="E142" s="54" t="n">
        <f aca="false">+IFERROR(E141/D141-1,"nm")</f>
        <v>0.120075046904315</v>
      </c>
      <c r="F142" s="54" t="n">
        <f aca="false">+IFERROR(F141/E141-1,"nm")</f>
        <v>0.113902847571189</v>
      </c>
      <c r="G142" s="54" t="n">
        <f aca="false">+IFERROR(G141/F141-1,"nm")</f>
        <v>0.24812030075188</v>
      </c>
      <c r="H142" s="54" t="n">
        <f aca="false">+IFERROR(H141/G141-1,"nm")</f>
        <v>-0.0602409638554217</v>
      </c>
      <c r="I142" s="54" t="n">
        <f aca="false">+IFERROR(I141/H141-1,"nm")</f>
        <v>0.0115384615384615</v>
      </c>
      <c r="J142" s="54" t="n">
        <f aca="false">+J143+J144</f>
        <v>0.132493702770781</v>
      </c>
      <c r="K142" s="54" t="n">
        <f aca="false">+K143+K144</f>
        <v>0.132493702770781</v>
      </c>
      <c r="L142" s="54" t="n">
        <f aca="false">+L143+L144</f>
        <v>0.132493702770781</v>
      </c>
      <c r="M142" s="54" t="n">
        <f aca="false">+M143+M144</f>
        <v>0.132493702770781</v>
      </c>
      <c r="N142" s="54" t="n">
        <f aca="false">+N143+N144</f>
        <v>0.132493702770781</v>
      </c>
    </row>
    <row r="143" customFormat="false" ht="14.25" hidden="false" customHeight="false" outlineLevel="0" collapsed="false">
      <c r="A143" s="53" t="s">
        <v>147</v>
      </c>
      <c r="B143" s="54" t="n">
        <f aca="false">+IFERROR(B141/B$114,"nm")</f>
        <v>0.104018912529551</v>
      </c>
      <c r="C143" s="54" t="n">
        <f aca="false">+IFERROR(C141/C$114,"nm")</f>
        <v>0.118369237896688</v>
      </c>
      <c r="D143" s="54" t="n">
        <f aca="false">+IFERROR(D141/D$114,"nm")</f>
        <v>0.112518471606502</v>
      </c>
      <c r="E143" s="54" t="n">
        <f aca="false">+IFERROR(E141/E$114,"nm")</f>
        <v>0.115563298490128</v>
      </c>
      <c r="F143" s="54" t="n">
        <f aca="false">+IFERROR(F141/F$114,"nm")</f>
        <v>0.126570232204035</v>
      </c>
      <c r="G143" s="54" t="n">
        <f aca="false">+IFERROR(G141/G$114,"nm")</f>
        <v>0.165075576770088</v>
      </c>
      <c r="H143" s="54" t="n">
        <f aca="false">+IFERROR(H141/H$114,"nm")</f>
        <v>0.145985401459854</v>
      </c>
      <c r="I143" s="54" t="n">
        <f aca="false">+IFERROR(I141/I$114,"nm")</f>
        <v>0.132493702770781</v>
      </c>
      <c r="J143" s="60" t="n">
        <f aca="false">+I143</f>
        <v>0.132493702770781</v>
      </c>
      <c r="K143" s="60" t="n">
        <f aca="false">+J143</f>
        <v>0.132493702770781</v>
      </c>
      <c r="L143" s="60" t="n">
        <f aca="false">+K143</f>
        <v>0.132493702770781</v>
      </c>
      <c r="M143" s="60" t="n">
        <f aca="false">+L143</f>
        <v>0.132493702770781</v>
      </c>
      <c r="N143" s="60" t="n">
        <f aca="false">+M143</f>
        <v>0.132493702770781</v>
      </c>
    </row>
    <row r="144" customFormat="false" ht="14.25" hidden="false" customHeight="false" outlineLevel="0" collapsed="false">
      <c r="A144" s="56" t="str">
        <f aca="false">+Historicals!A199</f>
        <v>Global Brand Divisions</v>
      </c>
      <c r="B144" s="57"/>
      <c r="C144" s="57"/>
      <c r="D144" s="57"/>
      <c r="E144" s="57"/>
      <c r="F144" s="57"/>
      <c r="G144" s="57"/>
      <c r="H144" s="57"/>
      <c r="I144" s="57"/>
      <c r="J144" s="51"/>
      <c r="K144" s="51"/>
      <c r="L144" s="51"/>
      <c r="M144" s="51"/>
      <c r="N144" s="51"/>
    </row>
    <row r="145" customFormat="false" ht="14.25" hidden="false" customHeight="false" outlineLevel="0" collapsed="false">
      <c r="A145" s="15" t="s">
        <v>151</v>
      </c>
      <c r="B145" s="15" t="n">
        <f aca="false">+Historicals!B126</f>
        <v>115</v>
      </c>
      <c r="C145" s="15" t="n">
        <f aca="false">+Historicals!C126</f>
        <v>73</v>
      </c>
      <c r="D145" s="15" t="n">
        <f aca="false">+Historicals!D126</f>
        <v>73</v>
      </c>
      <c r="E145" s="15" t="n">
        <f aca="false">+Historicals!E126</f>
        <v>88</v>
      </c>
      <c r="F145" s="15" t="n">
        <f aca="false">+Historicals!F126</f>
        <v>42</v>
      </c>
      <c r="G145" s="15" t="n">
        <f aca="false">+Historicals!G126</f>
        <v>30</v>
      </c>
      <c r="H145" s="15" t="n">
        <f aca="false">+Historicals!H126</f>
        <v>25</v>
      </c>
      <c r="I145" s="15" t="n">
        <f aca="false">+Historicals!I126</f>
        <v>102</v>
      </c>
      <c r="J145" s="15" t="n">
        <f aca="false">+I145*(1+J146)</f>
        <v>102</v>
      </c>
      <c r="K145" s="15" t="n">
        <f aca="false">+J145*(1+K146)</f>
        <v>102</v>
      </c>
      <c r="L145" s="15" t="n">
        <f aca="false">+K145*(1+L146)</f>
        <v>102</v>
      </c>
      <c r="M145" s="15" t="n">
        <f aca="false">+L145*(1+M146)</f>
        <v>102</v>
      </c>
      <c r="N145" s="15" t="n">
        <f aca="false">+M145*(1+N146)</f>
        <v>102</v>
      </c>
    </row>
    <row r="146" customFormat="false" ht="14.25" hidden="false" customHeight="false" outlineLevel="0" collapsed="false">
      <c r="A146" s="58" t="s">
        <v>143</v>
      </c>
      <c r="C146" s="54" t="n">
        <f aca="false">+IFERROR(C145/B145-1,"nm")</f>
        <v>-0.365217391304348</v>
      </c>
      <c r="D146" s="54" t="n">
        <f aca="false">+IFERROR(D145/C145-1,"nm")</f>
        <v>0</v>
      </c>
      <c r="E146" s="54" t="n">
        <f aca="false">+IFERROR(E145/D145-1,"nm")</f>
        <v>0.205479452054794</v>
      </c>
      <c r="F146" s="54" t="n">
        <f aca="false">+IFERROR(F145/E145-1,"nm")</f>
        <v>-0.522727272727273</v>
      </c>
      <c r="G146" s="54" t="n">
        <f aca="false">+IFERROR(G145/F145-1,"nm")</f>
        <v>-0.285714285714286</v>
      </c>
      <c r="H146" s="54" t="n">
        <f aca="false">+IFERROR(H145/G145-1,"nm")</f>
        <v>-0.166666666666667</v>
      </c>
      <c r="I146" s="54" t="n">
        <f aca="false">+IFERROR(I145/H145-1,"nm")</f>
        <v>3.08</v>
      </c>
      <c r="J146" s="54" t="n">
        <f aca="false">+J147+J148</f>
        <v>0</v>
      </c>
      <c r="K146" s="54" t="n">
        <f aca="false">+K147+K148</f>
        <v>0</v>
      </c>
      <c r="L146" s="54" t="n">
        <f aca="false">+L147+L148</f>
        <v>0</v>
      </c>
      <c r="M146" s="54" t="n">
        <f aca="false">+M147+M148</f>
        <v>0</v>
      </c>
      <c r="N146" s="54" t="n">
        <f aca="false">+N147+N148</f>
        <v>0</v>
      </c>
    </row>
    <row r="147" customFormat="false" ht="14.25" hidden="false" customHeight="false" outlineLevel="0" collapsed="false">
      <c r="A147" s="58" t="s">
        <v>152</v>
      </c>
      <c r="B147" s="54" t="n">
        <f aca="false">+Historicals!B199</f>
        <v>-0.02</v>
      </c>
      <c r="C147" s="54" t="n">
        <f aca="false">+Historicals!C199</f>
        <v>-0.37</v>
      </c>
      <c r="D147" s="54" t="n">
        <f aca="false">+Historicals!D199</f>
        <v>0.02</v>
      </c>
      <c r="E147" s="54" t="n">
        <f aca="false">+Historicals!E199</f>
        <v>0.12</v>
      </c>
      <c r="F147" s="54" t="n">
        <f aca="false">+Historicals!F199</f>
        <v>0.53</v>
      </c>
      <c r="G147" s="54" t="n">
        <f aca="false">+Historicals!G199</f>
        <v>-0.26</v>
      </c>
      <c r="H147" s="54" t="n">
        <f aca="false">+Historicals!H199</f>
        <v>-0.17</v>
      </c>
      <c r="I147" s="54" t="n">
        <f aca="false">+Historicals!I199</f>
        <v>3.02</v>
      </c>
      <c r="J147" s="60" t="n">
        <v>0</v>
      </c>
      <c r="K147" s="60" t="n">
        <f aca="false">+J147</f>
        <v>0</v>
      </c>
      <c r="L147" s="60" t="n">
        <f aca="false">+K147</f>
        <v>0</v>
      </c>
      <c r="M147" s="60" t="n">
        <f aca="false">+L147</f>
        <v>0</v>
      </c>
      <c r="N147" s="60" t="n">
        <f aca="false">+M147</f>
        <v>0</v>
      </c>
    </row>
    <row r="148" customFormat="false" ht="14.25" hidden="false" customHeight="false" outlineLevel="0" collapsed="false">
      <c r="A148" s="58" t="s">
        <v>153</v>
      </c>
      <c r="C148" s="54" t="n">
        <f aca="false">+IFERROR(C146-C147,"nm")</f>
        <v>0.00478260869565217</v>
      </c>
      <c r="D148" s="54" t="n">
        <f aca="false">+IFERROR(D146-D147,"nm")</f>
        <v>-0.02</v>
      </c>
      <c r="E148" s="54" t="n">
        <f aca="false">+IFERROR(E146-E147,"nm")</f>
        <v>0.0854794520547945</v>
      </c>
      <c r="F148" s="54" t="n">
        <f aca="false">+IFERROR(F146-F147,"nm")</f>
        <v>-1.05272727272727</v>
      </c>
      <c r="G148" s="54" t="n">
        <f aca="false">+IFERROR(G146-G147,"nm")</f>
        <v>-0.0257142857142857</v>
      </c>
      <c r="H148" s="54" t="n">
        <f aca="false">+IFERROR(H146-H147,"nm")</f>
        <v>0.00333333333333338</v>
      </c>
      <c r="I148" s="54" t="n">
        <f aca="false">+IFERROR(I146-I147,"nm")</f>
        <v>0.0600000000000001</v>
      </c>
      <c r="J148" s="60" t="n">
        <v>0</v>
      </c>
      <c r="K148" s="60" t="n">
        <f aca="false">+J148</f>
        <v>0</v>
      </c>
      <c r="L148" s="60" t="n">
        <f aca="false">+K148</f>
        <v>0</v>
      </c>
      <c r="M148" s="60" t="n">
        <f aca="false">+L148</f>
        <v>0</v>
      </c>
      <c r="N148" s="60" t="n">
        <f aca="false">+M148</f>
        <v>0</v>
      </c>
    </row>
    <row r="149" customFormat="false" ht="14.25" hidden="false" customHeight="false" outlineLevel="0" collapsed="false">
      <c r="A149" s="15" t="s">
        <v>144</v>
      </c>
      <c r="B149" s="61" t="n">
        <f aca="false">+B156+B152</f>
        <v>-2053</v>
      </c>
      <c r="C149" s="61" t="n">
        <f aca="false">+C156+C152</f>
        <v>-2366</v>
      </c>
      <c r="D149" s="61" t="n">
        <f aca="false">+D156+D152</f>
        <v>-2444</v>
      </c>
      <c r="E149" s="61" t="n">
        <f aca="false">+E156+E152</f>
        <v>-2441</v>
      </c>
      <c r="F149" s="61" t="n">
        <f aca="false">+F156+F152</f>
        <v>-3067</v>
      </c>
      <c r="G149" s="61" t="n">
        <f aca="false">+G156+G152</f>
        <v>-3254</v>
      </c>
      <c r="H149" s="61" t="n">
        <f aca="false">+H156+H152</f>
        <v>-3434</v>
      </c>
      <c r="I149" s="61" t="n">
        <f aca="false">+I156+I152</f>
        <v>-4042</v>
      </c>
      <c r="J149" s="61" t="n">
        <f aca="false">+J145*J151</f>
        <v>-4042</v>
      </c>
      <c r="K149" s="61" t="n">
        <f aca="false">+K145*K151</f>
        <v>-4042</v>
      </c>
      <c r="L149" s="61" t="n">
        <f aca="false">+L145*L151</f>
        <v>-4042</v>
      </c>
      <c r="M149" s="61" t="n">
        <f aca="false">+M145*M151</f>
        <v>-4042</v>
      </c>
      <c r="N149" s="61" t="n">
        <f aca="false">+N145*N151</f>
        <v>-4042</v>
      </c>
    </row>
    <row r="150" customFormat="false" ht="14.25" hidden="false" customHeight="false" outlineLevel="0" collapsed="false">
      <c r="A150" s="53" t="s">
        <v>143</v>
      </c>
      <c r="C150" s="54" t="n">
        <f aca="false">+IFERROR(C149/B149-1,"nm")</f>
        <v>0.152459814905017</v>
      </c>
      <c r="D150" s="54" t="n">
        <f aca="false">+IFERROR(D149/C149-1,"nm")</f>
        <v>0.0329670329670331</v>
      </c>
      <c r="E150" s="54" t="n">
        <f aca="false">+IFERROR(E149/D149-1,"nm")</f>
        <v>-0.00122749590834692</v>
      </c>
      <c r="F150" s="54" t="n">
        <f aca="false">+IFERROR(F149/E149-1,"nm")</f>
        <v>0.256452273658337</v>
      </c>
      <c r="G150" s="54" t="n">
        <f aca="false">+IFERROR(G149/F149-1,"nm")</f>
        <v>0.0609716335180959</v>
      </c>
      <c r="H150" s="54" t="n">
        <f aca="false">+IFERROR(H149/G149-1,"nm")</f>
        <v>0.0553165334972341</v>
      </c>
      <c r="I150" s="54" t="n">
        <f aca="false">+IFERROR(I149/H149-1,"nm")</f>
        <v>0.177052999417589</v>
      </c>
      <c r="J150" s="54" t="n">
        <f aca="false">+IFERROR(J149/I149-1,"nm")</f>
        <v>0</v>
      </c>
      <c r="K150" s="54" t="n">
        <f aca="false">+IFERROR(K149/J149-1,"nm")</f>
        <v>0</v>
      </c>
      <c r="L150" s="54" t="n">
        <f aca="false">+IFERROR(L149/K149-1,"nm")</f>
        <v>0</v>
      </c>
      <c r="M150" s="54" t="n">
        <f aca="false">+IFERROR(M149/L149-1,"nm")</f>
        <v>0</v>
      </c>
      <c r="N150" s="54" t="n">
        <f aca="false">+IFERROR(N149/M149-1,"nm")</f>
        <v>0</v>
      </c>
    </row>
    <row r="151" customFormat="false" ht="14.25" hidden="false" customHeight="false" outlineLevel="0" collapsed="false">
      <c r="A151" s="53" t="s">
        <v>145</v>
      </c>
      <c r="B151" s="54" t="n">
        <f aca="false">+IFERROR(B149/B$145,"nm")</f>
        <v>-17.8521739130435</v>
      </c>
      <c r="C151" s="54" t="n">
        <f aca="false">+IFERROR(C149/C$145,"nm")</f>
        <v>-32.4109589041096</v>
      </c>
      <c r="D151" s="54" t="n">
        <f aca="false">+IFERROR(D149/D$145,"nm")</f>
        <v>-33.4794520547945</v>
      </c>
      <c r="E151" s="54" t="n">
        <f aca="false">+IFERROR(E149/E$145,"nm")</f>
        <v>-27.7386363636364</v>
      </c>
      <c r="F151" s="54" t="n">
        <f aca="false">+IFERROR(F149/F$145,"nm")</f>
        <v>-73.0238095238095</v>
      </c>
      <c r="G151" s="54" t="n">
        <f aca="false">+IFERROR(G149/G$145,"nm")</f>
        <v>-108.466666666667</v>
      </c>
      <c r="H151" s="54" t="n">
        <f aca="false">+IFERROR(H149/H$145,"nm")</f>
        <v>-137.36</v>
      </c>
      <c r="I151" s="54" t="n">
        <f aca="false">+IFERROR(I149/I$145,"nm")</f>
        <v>-39.6274509803922</v>
      </c>
      <c r="J151" s="60" t="n">
        <f aca="false">+I151</f>
        <v>-39.6274509803922</v>
      </c>
      <c r="K151" s="60" t="n">
        <f aca="false">+J151</f>
        <v>-39.6274509803922</v>
      </c>
      <c r="L151" s="60" t="n">
        <f aca="false">+K151</f>
        <v>-39.6274509803922</v>
      </c>
      <c r="M151" s="60" t="n">
        <f aca="false">+L151</f>
        <v>-39.6274509803922</v>
      </c>
      <c r="N151" s="60" t="n">
        <f aca="false">+M151</f>
        <v>-39.6274509803922</v>
      </c>
    </row>
    <row r="152" customFormat="false" ht="14.25" hidden="false" customHeight="false" outlineLevel="0" collapsed="false">
      <c r="A152" s="15" t="s">
        <v>146</v>
      </c>
      <c r="B152" s="15" t="n">
        <f aca="false">+Historicals!B175</f>
        <v>210</v>
      </c>
      <c r="C152" s="15" t="n">
        <f aca="false">+Historicals!C175</f>
        <v>230</v>
      </c>
      <c r="D152" s="15" t="n">
        <f aca="false">+Historicals!D175</f>
        <v>233</v>
      </c>
      <c r="E152" s="15" t="n">
        <f aca="false">+Historicals!E175</f>
        <v>217</v>
      </c>
      <c r="F152" s="15" t="n">
        <f aca="false">+Historicals!F175</f>
        <v>195</v>
      </c>
      <c r="G152" s="15" t="n">
        <f aca="false">+Historicals!G175</f>
        <v>214</v>
      </c>
      <c r="H152" s="15" t="n">
        <f aca="false">+Historicals!H175</f>
        <v>222</v>
      </c>
      <c r="I152" s="15" t="n">
        <f aca="false">+Historicals!I175</f>
        <v>220</v>
      </c>
      <c r="J152" s="61" t="n">
        <f aca="false">+J155*J162</f>
        <v>220</v>
      </c>
      <c r="K152" s="61" t="n">
        <f aca="false">+K155*K162</f>
        <v>220</v>
      </c>
      <c r="L152" s="61" t="n">
        <f aca="false">+L155*L162</f>
        <v>220</v>
      </c>
      <c r="M152" s="61" t="n">
        <f aca="false">+M155*M162</f>
        <v>220</v>
      </c>
      <c r="N152" s="61" t="n">
        <f aca="false">+N155*N162</f>
        <v>220</v>
      </c>
    </row>
    <row r="153" customFormat="false" ht="14.25" hidden="false" customHeight="false" outlineLevel="0" collapsed="false">
      <c r="A153" s="53" t="s">
        <v>143</v>
      </c>
      <c r="C153" s="54" t="n">
        <f aca="false">+IFERROR(C152/B152-1,"nm")</f>
        <v>0.0952380952380953</v>
      </c>
      <c r="D153" s="54" t="n">
        <f aca="false">+IFERROR(D152/C152-1,"nm")</f>
        <v>0.0130434782608695</v>
      </c>
      <c r="E153" s="54" t="n">
        <f aca="false">+IFERROR(E152/D152-1,"nm")</f>
        <v>-0.0686695278969958</v>
      </c>
      <c r="F153" s="54" t="n">
        <f aca="false">+IFERROR(F152/E152-1,"nm")</f>
        <v>-0.101382488479263</v>
      </c>
      <c r="G153" s="54" t="n">
        <f aca="false">+IFERROR(G152/F152-1,"nm")</f>
        <v>0.0974358974358975</v>
      </c>
      <c r="H153" s="54" t="n">
        <f aca="false">+IFERROR(H152/G152-1,"nm")</f>
        <v>0.0373831775700935</v>
      </c>
      <c r="I153" s="54" t="n">
        <f aca="false">+IFERROR(I152/H152-1,"nm")</f>
        <v>-0.00900900900900903</v>
      </c>
      <c r="J153" s="54" t="n">
        <f aca="false">+IFERROR(J152/I152-1,"nm")</f>
        <v>0</v>
      </c>
      <c r="K153" s="54" t="n">
        <f aca="false">+IFERROR(K152/J152-1,"nm")</f>
        <v>0</v>
      </c>
      <c r="L153" s="54" t="n">
        <f aca="false">+IFERROR(L152/K152-1,"nm")</f>
        <v>0</v>
      </c>
      <c r="M153" s="54" t="n">
        <f aca="false">+IFERROR(M152/L152-1,"nm")</f>
        <v>0</v>
      </c>
      <c r="N153" s="54" t="n">
        <f aca="false">+IFERROR(N152/M152-1,"nm")</f>
        <v>0</v>
      </c>
    </row>
    <row r="154" customFormat="false" ht="14.25" hidden="false" customHeight="false" outlineLevel="0" collapsed="false">
      <c r="A154" s="53" t="s">
        <v>147</v>
      </c>
      <c r="B154" s="54" t="n">
        <f aca="false">+IFERROR(B152/B$145,"nm")</f>
        <v>1.82608695652174</v>
      </c>
      <c r="C154" s="54" t="n">
        <f aca="false">+IFERROR(C152/C$145,"nm")</f>
        <v>3.15068493150685</v>
      </c>
      <c r="D154" s="54" t="n">
        <f aca="false">+IFERROR(D152/D$145,"nm")</f>
        <v>3.19178082191781</v>
      </c>
      <c r="E154" s="54" t="n">
        <f aca="false">+IFERROR(E152/E$145,"nm")</f>
        <v>2.46590909090909</v>
      </c>
      <c r="F154" s="54" t="n">
        <f aca="false">+IFERROR(F152/F$145,"nm")</f>
        <v>4.64285714285714</v>
      </c>
      <c r="G154" s="54" t="n">
        <f aca="false">+IFERROR(G152/G$145,"nm")</f>
        <v>7.13333333333333</v>
      </c>
      <c r="H154" s="54" t="n">
        <f aca="false">+IFERROR(H152/H$145,"nm")</f>
        <v>8.88</v>
      </c>
      <c r="I154" s="54" t="n">
        <f aca="false">+IFERROR(I152/I$145,"nm")</f>
        <v>2.15686274509804</v>
      </c>
      <c r="J154" s="54" t="n">
        <f aca="false">+IFERROR(J152/J$21,"nm")</f>
        <v>0.0119871410668556</v>
      </c>
      <c r="K154" s="54" t="n">
        <f aca="false">+IFERROR(K152/K$21,"nm")</f>
        <v>0.0119871410668556</v>
      </c>
      <c r="L154" s="54" t="n">
        <f aca="false">+IFERROR(L152/L$21,"nm")</f>
        <v>0.0119871410668556</v>
      </c>
      <c r="M154" s="54" t="n">
        <f aca="false">+IFERROR(M152/M$21,"nm")</f>
        <v>0.0119871410668556</v>
      </c>
      <c r="N154" s="54" t="n">
        <f aca="false">+IFERROR(N152/N$21,"nm")</f>
        <v>0.0119871410668556</v>
      </c>
    </row>
    <row r="155" customFormat="false" ht="14.25" hidden="false" customHeight="false" outlineLevel="0" collapsed="false">
      <c r="A155" s="53" t="s">
        <v>154</v>
      </c>
      <c r="B155" s="54" t="n">
        <f aca="false">+IFERROR(B152/B162,"nm")</f>
        <v>1.72131147540984</v>
      </c>
      <c r="C155" s="54" t="n">
        <f aca="false">+IFERROR(C152/C162,"nm")</f>
        <v>1.84</v>
      </c>
      <c r="D155" s="54" t="n">
        <f aca="false">+IFERROR(D152/D162,"nm")</f>
        <v>1.864</v>
      </c>
      <c r="E155" s="54" t="n">
        <f aca="false">+IFERROR(E152/E162,"nm")</f>
        <v>1.88695652173913</v>
      </c>
      <c r="F155" s="54" t="n">
        <f aca="false">+IFERROR(F152/F162,"nm")</f>
        <v>1.95</v>
      </c>
      <c r="G155" s="54" t="n">
        <f aca="false">+IFERROR(G152/G162,"nm")</f>
        <v>2.675</v>
      </c>
      <c r="H155" s="54" t="n">
        <f aca="false">+IFERROR(H152/H162,"nm")</f>
        <v>3.52380952380952</v>
      </c>
      <c r="I155" s="54" t="n">
        <f aca="false">+IFERROR(I152/I162,"nm")</f>
        <v>4.48979591836735</v>
      </c>
      <c r="J155" s="60" t="n">
        <f aca="false">+I155</f>
        <v>4.48979591836735</v>
      </c>
      <c r="K155" s="60" t="n">
        <f aca="false">+J155</f>
        <v>4.48979591836735</v>
      </c>
      <c r="L155" s="60" t="n">
        <f aca="false">+K155</f>
        <v>4.48979591836735</v>
      </c>
      <c r="M155" s="60" t="n">
        <f aca="false">+L155</f>
        <v>4.48979591836735</v>
      </c>
      <c r="N155" s="60" t="n">
        <f aca="false">+M155</f>
        <v>4.48979591836735</v>
      </c>
    </row>
    <row r="156" customFormat="false" ht="14.25" hidden="false" customHeight="false" outlineLevel="0" collapsed="false">
      <c r="A156" s="15" t="s">
        <v>148</v>
      </c>
      <c r="B156" s="15" t="n">
        <f aca="false">+Historicals!B141</f>
        <v>-2263</v>
      </c>
      <c r="C156" s="15" t="n">
        <f aca="false">+Historicals!C141</f>
        <v>-2596</v>
      </c>
      <c r="D156" s="15" t="n">
        <f aca="false">+Historicals!D141</f>
        <v>-2677</v>
      </c>
      <c r="E156" s="15" t="n">
        <f aca="false">+Historicals!E141</f>
        <v>-2658</v>
      </c>
      <c r="F156" s="15" t="n">
        <f aca="false">+Historicals!F141</f>
        <v>-3262</v>
      </c>
      <c r="G156" s="15" t="n">
        <f aca="false">+Historicals!G141</f>
        <v>-3468</v>
      </c>
      <c r="H156" s="15" t="n">
        <f aca="false">+Historicals!H141</f>
        <v>-3656</v>
      </c>
      <c r="I156" s="15" t="n">
        <f aca="false">+Historicals!I141</f>
        <v>-4262</v>
      </c>
      <c r="J156" s="15" t="n">
        <f aca="false">+J149-J152</f>
        <v>-4262</v>
      </c>
      <c r="K156" s="15" t="n">
        <f aca="false">+K149-K152</f>
        <v>-4262</v>
      </c>
      <c r="L156" s="15" t="n">
        <f aca="false">+L149-L152</f>
        <v>-4262</v>
      </c>
      <c r="M156" s="15" t="n">
        <f aca="false">+M149-M152</f>
        <v>-4262</v>
      </c>
      <c r="N156" s="15" t="n">
        <f aca="false">+N149-N152</f>
        <v>-4262</v>
      </c>
    </row>
    <row r="157" customFormat="false" ht="14.25" hidden="false" customHeight="false" outlineLevel="0" collapsed="false">
      <c r="A157" s="53" t="s">
        <v>143</v>
      </c>
      <c r="C157" s="54" t="n">
        <f aca="false">+IFERROR(C156/B156-1,"nm")</f>
        <v>0.147149801148917</v>
      </c>
      <c r="D157" s="54" t="n">
        <f aca="false">+IFERROR(D156/C156-1,"nm")</f>
        <v>0.0312018489984591</v>
      </c>
      <c r="E157" s="54" t="n">
        <f aca="false">+IFERROR(E156/D156-1,"nm")</f>
        <v>-0.0070974971983564</v>
      </c>
      <c r="F157" s="54" t="n">
        <f aca="false">+IFERROR(F156/E156-1,"nm")</f>
        <v>0.227238525206922</v>
      </c>
      <c r="G157" s="54" t="n">
        <f aca="false">+IFERROR(G156/F156-1,"nm")</f>
        <v>0.0631514408338443</v>
      </c>
      <c r="H157" s="54" t="n">
        <f aca="false">+IFERROR(H156/G156-1,"nm")</f>
        <v>0.0542099192618224</v>
      </c>
      <c r="I157" s="54" t="n">
        <f aca="false">+IFERROR(I156/H156-1,"nm")</f>
        <v>0.165754923413567</v>
      </c>
      <c r="J157" s="54" t="n">
        <f aca="false">+IFERROR(J156/I156-1,"nm")</f>
        <v>0</v>
      </c>
      <c r="K157" s="54" t="n">
        <f aca="false">+IFERROR(K156/J156-1,"nm")</f>
        <v>0</v>
      </c>
      <c r="L157" s="54" t="n">
        <f aca="false">+IFERROR(L156/K156-1,"nm")</f>
        <v>0</v>
      </c>
      <c r="M157" s="54" t="n">
        <f aca="false">+IFERROR(M156/L156-1,"nm")</f>
        <v>0</v>
      </c>
      <c r="N157" s="54" t="n">
        <f aca="false">+IFERROR(N156/M156-1,"nm")</f>
        <v>0</v>
      </c>
    </row>
    <row r="158" customFormat="false" ht="14.25" hidden="false" customHeight="false" outlineLevel="0" collapsed="false">
      <c r="A158" s="53" t="s">
        <v>145</v>
      </c>
      <c r="B158" s="54" t="n">
        <f aca="false">+IFERROR(B156/B$145,"nm")</f>
        <v>-19.6782608695652</v>
      </c>
      <c r="C158" s="54" t="n">
        <f aca="false">+IFERROR(C156/C$145,"nm")</f>
        <v>-35.5616438356164</v>
      </c>
      <c r="D158" s="54" t="n">
        <f aca="false">+IFERROR(D156/D$145,"nm")</f>
        <v>-36.6712328767123</v>
      </c>
      <c r="E158" s="54" t="n">
        <f aca="false">+IFERROR(E156/E$145,"nm")</f>
        <v>-30.2045454545455</v>
      </c>
      <c r="F158" s="54" t="n">
        <f aca="false">+IFERROR(F156/F$145,"nm")</f>
        <v>-77.6666666666667</v>
      </c>
      <c r="G158" s="54" t="n">
        <f aca="false">+IFERROR(G156/G$145,"nm")</f>
        <v>-115.6</v>
      </c>
      <c r="H158" s="54" t="n">
        <f aca="false">+IFERROR(H156/H$145,"nm")</f>
        <v>-146.24</v>
      </c>
      <c r="I158" s="54" t="n">
        <f aca="false">+IFERROR(I156/I$145,"nm")</f>
        <v>-41.7843137254902</v>
      </c>
      <c r="J158" s="54" t="n">
        <f aca="false">+IFERROR(J156/J$21,"nm")</f>
        <v>-0.232223614667902</v>
      </c>
      <c r="K158" s="54" t="n">
        <f aca="false">+IFERROR(K156/K$21,"nm")</f>
        <v>-0.232223614667902</v>
      </c>
      <c r="L158" s="54" t="n">
        <f aca="false">+IFERROR(L156/L$21,"nm")</f>
        <v>-0.232223614667902</v>
      </c>
      <c r="M158" s="54" t="n">
        <f aca="false">+IFERROR(M156/M$21,"nm")</f>
        <v>-0.232223614667902</v>
      </c>
      <c r="N158" s="54" t="n">
        <f aca="false">+IFERROR(N156/N$21,"nm")</f>
        <v>-0.232223614667902</v>
      </c>
    </row>
    <row r="159" customFormat="false" ht="14.25" hidden="false" customHeight="false" outlineLevel="0" collapsed="false">
      <c r="A159" s="15" t="s">
        <v>149</v>
      </c>
      <c r="B159" s="15" t="n">
        <f aca="false">+Historicals!B163</f>
        <v>225</v>
      </c>
      <c r="C159" s="15" t="n">
        <f aca="false">+Historicals!C163</f>
        <v>258</v>
      </c>
      <c r="D159" s="15" t="n">
        <f aca="false">+Historicals!D163</f>
        <v>278</v>
      </c>
      <c r="E159" s="15" t="n">
        <f aca="false">+Historicals!E163</f>
        <v>286</v>
      </c>
      <c r="F159" s="15" t="n">
        <f aca="false">+Historicals!F163</f>
        <v>278</v>
      </c>
      <c r="G159" s="15" t="n">
        <f aca="false">+Historicals!G163</f>
        <v>438</v>
      </c>
      <c r="H159" s="15" t="n">
        <f aca="false">+Historicals!H163</f>
        <v>278</v>
      </c>
      <c r="I159" s="15" t="n">
        <f aca="false">+Historicals!I163</f>
        <v>222</v>
      </c>
      <c r="J159" s="61" t="n">
        <f aca="false">+J145*J161</f>
        <v>222</v>
      </c>
      <c r="K159" s="61" t="n">
        <f aca="false">+K145*K161</f>
        <v>222</v>
      </c>
      <c r="L159" s="61" t="n">
        <f aca="false">+L145*L161</f>
        <v>222</v>
      </c>
      <c r="M159" s="61" t="n">
        <f aca="false">+M145*M161</f>
        <v>222</v>
      </c>
      <c r="N159" s="61" t="n">
        <f aca="false">+N145*N161</f>
        <v>222</v>
      </c>
    </row>
    <row r="160" customFormat="false" ht="14.25" hidden="false" customHeight="false" outlineLevel="0" collapsed="false">
      <c r="A160" s="53" t="s">
        <v>143</v>
      </c>
      <c r="C160" s="54" t="n">
        <f aca="false">+IFERROR(C159/B159-1,"nm")</f>
        <v>0.146666666666667</v>
      </c>
      <c r="D160" s="54" t="n">
        <f aca="false">+IFERROR(D159/C159-1,"nm")</f>
        <v>0.0775193798449612</v>
      </c>
      <c r="E160" s="54" t="n">
        <f aca="false">+IFERROR(E159/D159-1,"nm")</f>
        <v>0.0287769784172662</v>
      </c>
      <c r="F160" s="54" t="n">
        <f aca="false">+IFERROR(F159/E159-1,"nm")</f>
        <v>-0.027972027972028</v>
      </c>
      <c r="G160" s="54" t="n">
        <f aca="false">+IFERROR(G159/F159-1,"nm")</f>
        <v>0.575539568345324</v>
      </c>
      <c r="H160" s="54" t="n">
        <f aca="false">+IFERROR(H159/G159-1,"nm")</f>
        <v>-0.365296803652968</v>
      </c>
      <c r="I160" s="54" t="n">
        <f aca="false">+IFERROR(I159/H159-1,"nm")</f>
        <v>-0.201438848920863</v>
      </c>
      <c r="J160" s="54" t="n">
        <f aca="false">+IFERROR(J159/I159-1,"nm")</f>
        <v>0</v>
      </c>
      <c r="K160" s="54" t="n">
        <f aca="false">+IFERROR(K159/J159-1,"nm")</f>
        <v>0</v>
      </c>
      <c r="L160" s="54" t="n">
        <f aca="false">+IFERROR(L159/K159-1,"nm")</f>
        <v>0</v>
      </c>
      <c r="M160" s="54" t="n">
        <f aca="false">+IFERROR(M159/L159-1,"nm")</f>
        <v>0</v>
      </c>
      <c r="N160" s="54" t="n">
        <f aca="false">+IFERROR(N159/M159-1,"nm")</f>
        <v>0</v>
      </c>
    </row>
    <row r="161" customFormat="false" ht="14.25" hidden="false" customHeight="false" outlineLevel="0" collapsed="false">
      <c r="A161" s="53" t="s">
        <v>147</v>
      </c>
      <c r="B161" s="54" t="n">
        <f aca="false">+IFERROR(B159/B$145,"nm")</f>
        <v>1.95652173913043</v>
      </c>
      <c r="C161" s="54" t="n">
        <f aca="false">+IFERROR(C159/C$145,"nm")</f>
        <v>3.53424657534247</v>
      </c>
      <c r="D161" s="54" t="n">
        <f aca="false">+IFERROR(D159/D$145,"nm")</f>
        <v>3.80821917808219</v>
      </c>
      <c r="E161" s="54" t="n">
        <f aca="false">+IFERROR(E159/E$145,"nm")</f>
        <v>3.25</v>
      </c>
      <c r="F161" s="54" t="n">
        <f aca="false">+IFERROR(F159/F$145,"nm")</f>
        <v>6.61904761904762</v>
      </c>
      <c r="G161" s="54" t="n">
        <f aca="false">+IFERROR(G159/G$145,"nm")</f>
        <v>14.6</v>
      </c>
      <c r="H161" s="54" t="n">
        <f aca="false">+IFERROR(H159/H$145,"nm")</f>
        <v>11.12</v>
      </c>
      <c r="I161" s="54" t="n">
        <f aca="false">+IFERROR(I159/I$145,"nm")</f>
        <v>2.17647058823529</v>
      </c>
      <c r="J161" s="60" t="n">
        <f aca="false">+I161</f>
        <v>2.17647058823529</v>
      </c>
      <c r="K161" s="60" t="n">
        <f aca="false">+J161</f>
        <v>2.17647058823529</v>
      </c>
      <c r="L161" s="60" t="n">
        <f aca="false">+K161</f>
        <v>2.17647058823529</v>
      </c>
      <c r="M161" s="60" t="n">
        <f aca="false">+L161</f>
        <v>2.17647058823529</v>
      </c>
      <c r="N161" s="60" t="n">
        <f aca="false">+M161</f>
        <v>2.17647058823529</v>
      </c>
    </row>
    <row r="162" customFormat="false" ht="14.25" hidden="false" customHeight="false" outlineLevel="0" collapsed="false">
      <c r="A162" s="15" t="s">
        <v>150</v>
      </c>
      <c r="B162" s="15" t="n">
        <f aca="false">+Historicals!B154</f>
        <v>122</v>
      </c>
      <c r="C162" s="15" t="n">
        <f aca="false">+Historicals!C154</f>
        <v>125</v>
      </c>
      <c r="D162" s="15" t="n">
        <f aca="false">+Historicals!D154</f>
        <v>125</v>
      </c>
      <c r="E162" s="15" t="n">
        <f aca="false">+Historicals!E154</f>
        <v>115</v>
      </c>
      <c r="F162" s="15" t="n">
        <f aca="false">+Historicals!F154</f>
        <v>100</v>
      </c>
      <c r="G162" s="15" t="n">
        <f aca="false">+Historicals!G154</f>
        <v>80</v>
      </c>
      <c r="H162" s="15" t="n">
        <f aca="false">+Historicals!H154</f>
        <v>63</v>
      </c>
      <c r="I162" s="15" t="n">
        <f aca="false">+Historicals!I154</f>
        <v>49</v>
      </c>
      <c r="J162" s="61" t="n">
        <f aca="false">+J145*J164</f>
        <v>49</v>
      </c>
      <c r="K162" s="61" t="n">
        <f aca="false">+K145*K164</f>
        <v>49</v>
      </c>
      <c r="L162" s="61" t="n">
        <f aca="false">+L145*L164</f>
        <v>49</v>
      </c>
      <c r="M162" s="61" t="n">
        <f aca="false">+M145*M164</f>
        <v>49</v>
      </c>
      <c r="N162" s="61" t="n">
        <f aca="false">+N145*N164</f>
        <v>49</v>
      </c>
    </row>
    <row r="163" customFormat="false" ht="14.25" hidden="false" customHeight="false" outlineLevel="0" collapsed="false">
      <c r="A163" s="53" t="s">
        <v>143</v>
      </c>
      <c r="C163" s="54" t="n">
        <f aca="false">+IFERROR(C162/B162-1,"nm")</f>
        <v>0.0245901639344261</v>
      </c>
      <c r="D163" s="54" t="n">
        <f aca="false">+IFERROR(D162/C162-1,"nm")</f>
        <v>0</v>
      </c>
      <c r="E163" s="54" t="n">
        <f aca="false">+IFERROR(E162/D162-1,"nm")</f>
        <v>-0.08</v>
      </c>
      <c r="F163" s="54" t="n">
        <f aca="false">+IFERROR(F162/E162-1,"nm")</f>
        <v>-0.130434782608696</v>
      </c>
      <c r="G163" s="54" t="n">
        <f aca="false">+IFERROR(G162/F162-1,"nm")</f>
        <v>-0.2</v>
      </c>
      <c r="H163" s="54" t="n">
        <f aca="false">+IFERROR(H162/G162-1,"nm")</f>
        <v>-0.2125</v>
      </c>
      <c r="I163" s="54" t="n">
        <f aca="false">+IFERROR(I162/H162-1,"nm")</f>
        <v>-0.222222222222222</v>
      </c>
      <c r="J163" s="54" t="n">
        <f aca="false">+J164+J165</f>
        <v>0.480392156862745</v>
      </c>
      <c r="K163" s="54" t="n">
        <f aca="false">+K164+K165</f>
        <v>0.480392156862745</v>
      </c>
      <c r="L163" s="54" t="n">
        <f aca="false">+L164+L165</f>
        <v>0.480392156862745</v>
      </c>
      <c r="M163" s="54" t="n">
        <f aca="false">+M164+M165</f>
        <v>0.480392156862745</v>
      </c>
      <c r="N163" s="54" t="n">
        <f aca="false">+N164+N165</f>
        <v>0.480392156862745</v>
      </c>
    </row>
    <row r="164" customFormat="false" ht="14.25" hidden="false" customHeight="false" outlineLevel="0" collapsed="false">
      <c r="A164" s="53" t="s">
        <v>147</v>
      </c>
      <c r="B164" s="54" t="n">
        <f aca="false">+IFERROR(B162/B$145,"nm")</f>
        <v>1.06086956521739</v>
      </c>
      <c r="C164" s="54" t="n">
        <f aca="false">+IFERROR(C162/C$145,"nm")</f>
        <v>1.71232876712329</v>
      </c>
      <c r="D164" s="54" t="n">
        <f aca="false">+IFERROR(D162/D$145,"nm")</f>
        <v>1.71232876712329</v>
      </c>
      <c r="E164" s="54" t="n">
        <f aca="false">+IFERROR(E162/E$145,"nm")</f>
        <v>1.30681818181818</v>
      </c>
      <c r="F164" s="54" t="n">
        <f aca="false">+IFERROR(F162/F$145,"nm")</f>
        <v>2.38095238095238</v>
      </c>
      <c r="G164" s="54" t="n">
        <f aca="false">+IFERROR(G162/G$145,"nm")</f>
        <v>2.66666666666667</v>
      </c>
      <c r="H164" s="54" t="n">
        <f aca="false">+IFERROR(H162/H$145,"nm")</f>
        <v>2.52</v>
      </c>
      <c r="I164" s="54" t="n">
        <f aca="false">+IFERROR(I162/I$145,"nm")</f>
        <v>0.480392156862745</v>
      </c>
      <c r="J164" s="60" t="n">
        <f aca="false">+I164</f>
        <v>0.480392156862745</v>
      </c>
      <c r="K164" s="60" t="n">
        <f aca="false">+J164</f>
        <v>0.480392156862745</v>
      </c>
      <c r="L164" s="60" t="n">
        <f aca="false">+K164</f>
        <v>0.480392156862745</v>
      </c>
      <c r="M164" s="60" t="n">
        <f aca="false">+L164</f>
        <v>0.480392156862745</v>
      </c>
      <c r="N164" s="60" t="n">
        <f aca="false">+M164</f>
        <v>0.480392156862745</v>
      </c>
    </row>
    <row r="165" customFormat="false" ht="14.25" hidden="false" customHeight="false" outlineLevel="0" collapsed="false">
      <c r="A165" s="56" t="str">
        <f aca="false">+Historicals!A201</f>
        <v>Converse</v>
      </c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</row>
    <row r="166" customFormat="false" ht="14.25" hidden="false" customHeight="false" outlineLevel="0" collapsed="false">
      <c r="A166" s="15" t="s">
        <v>151</v>
      </c>
      <c r="B166" s="15" t="n">
        <f aca="false">+Historicals!B128</f>
        <v>1982</v>
      </c>
      <c r="C166" s="15" t="n">
        <f aca="false">+Historicals!C128</f>
        <v>1955</v>
      </c>
      <c r="D166" s="15" t="n">
        <f aca="false">+Historicals!D128</f>
        <v>2042</v>
      </c>
      <c r="E166" s="15" t="n">
        <f aca="false">E168+E172+E176+E180</f>
        <v>1886</v>
      </c>
      <c r="F166" s="15" t="n">
        <f aca="false">F168+F172+F176+F180</f>
        <v>1906</v>
      </c>
      <c r="G166" s="15" t="n">
        <f aca="false">G168+G172+G176+G180</f>
        <v>1846</v>
      </c>
      <c r="H166" s="15" t="n">
        <f aca="false">H168+H172+H176+H180</f>
        <v>2205</v>
      </c>
      <c r="I166" s="15" t="n">
        <f aca="false">I168+I172+I176+I180</f>
        <v>2346</v>
      </c>
      <c r="J166" s="15" t="n">
        <f aca="false">+SUM(J168+J172+J176+J180)</f>
        <v>2346</v>
      </c>
      <c r="K166" s="15" t="n">
        <f aca="false">+SUM(K168+K172+K176+K180)</f>
        <v>2346</v>
      </c>
      <c r="L166" s="15" t="n">
        <f aca="false">+SUM(L168+L172+L176+L180)</f>
        <v>2346</v>
      </c>
      <c r="M166" s="15" t="n">
        <f aca="false">+SUM(M168+M172+M176+M180)</f>
        <v>2346</v>
      </c>
      <c r="N166" s="15" t="n">
        <f aca="false">+SUM(N168+N172+N176+N180)</f>
        <v>2346</v>
      </c>
    </row>
    <row r="167" customFormat="false" ht="14.25" hidden="false" customHeight="false" outlineLevel="0" collapsed="false">
      <c r="A167" s="58" t="s">
        <v>143</v>
      </c>
      <c r="C167" s="54" t="n">
        <f aca="false">+IFERROR(C166/B166-1,"nm")</f>
        <v>-0.013622603430878</v>
      </c>
      <c r="D167" s="54" t="n">
        <f aca="false">+IFERROR(D166/C166-1,"nm")</f>
        <v>0.0445012787723784</v>
      </c>
      <c r="E167" s="54" t="n">
        <f aca="false">+IFERROR(E166/D166-1,"nm")</f>
        <v>-0.0763956904995103</v>
      </c>
      <c r="F167" s="54" t="n">
        <f aca="false">+IFERROR(F166/E166-1,"nm")</f>
        <v>0.0106044538706256</v>
      </c>
      <c r="G167" s="54" t="n">
        <f aca="false">+IFERROR(G166/F166-1,"nm")</f>
        <v>-0.031479538300105</v>
      </c>
      <c r="H167" s="54" t="n">
        <f aca="false">+IFERROR(H166/G166-1,"nm")</f>
        <v>0.194474539544962</v>
      </c>
      <c r="I167" s="54" t="n">
        <f aca="false">+IFERROR(I166/H166-1,"nm")</f>
        <v>0.0639455782312925</v>
      </c>
      <c r="J167" s="54" t="n">
        <f aca="false">+IFERROR(J166/I166-1,"nm")</f>
        <v>0</v>
      </c>
      <c r="K167" s="54" t="n">
        <f aca="false">+IFERROR(K166/J166-1,"nm")</f>
        <v>0</v>
      </c>
      <c r="L167" s="54" t="n">
        <f aca="false">+IFERROR(L166/K166-1,"nm")</f>
        <v>0</v>
      </c>
      <c r="M167" s="54" t="n">
        <f aca="false">+IFERROR(M166/L166-1,"nm")</f>
        <v>0</v>
      </c>
      <c r="N167" s="54" t="n">
        <f aca="false">+IFERROR(N166/M166-1,"nm")</f>
        <v>0</v>
      </c>
    </row>
    <row r="168" customFormat="false" ht="14.25" hidden="false" customHeight="false" outlineLevel="0" collapsed="false">
      <c r="A168" s="59" t="s">
        <v>115</v>
      </c>
      <c r="E168" s="15" t="n">
        <f aca="false">+Historicals!E129</f>
        <v>1611</v>
      </c>
      <c r="F168" s="15" t="n">
        <f aca="false">+Historicals!F129</f>
        <v>1658</v>
      </c>
      <c r="G168" s="15" t="n">
        <f aca="false">+Historicals!G129</f>
        <v>1642</v>
      </c>
      <c r="H168" s="15" t="n">
        <f aca="false">+Historicals!H129</f>
        <v>1986</v>
      </c>
      <c r="I168" s="15" t="n">
        <f aca="false">+Historicals!I129</f>
        <v>2094</v>
      </c>
      <c r="J168" s="15" t="n">
        <f aca="false">+I168*(1+J169)</f>
        <v>2094</v>
      </c>
      <c r="K168" s="15" t="n">
        <f aca="false">+J168*(1+K169)</f>
        <v>2094</v>
      </c>
      <c r="L168" s="15" t="n">
        <f aca="false">+K168*(1+L169)</f>
        <v>2094</v>
      </c>
      <c r="M168" s="15" t="n">
        <f aca="false">+L168*(1+M169)</f>
        <v>2094</v>
      </c>
      <c r="N168" s="15" t="n">
        <f aca="false">+M168*(1+N169)</f>
        <v>2094</v>
      </c>
    </row>
    <row r="169" customFormat="false" ht="14.25" hidden="false" customHeight="false" outlineLevel="0" collapsed="false">
      <c r="A169" s="58" t="s">
        <v>143</v>
      </c>
      <c r="E169" s="54"/>
      <c r="F169" s="54" t="n">
        <f aca="false">+IFERROR(F168/E168-1,"nm")</f>
        <v>0.0291744258224704</v>
      </c>
      <c r="G169" s="54" t="n">
        <f aca="false">+IFERROR(G168/F168-1,"nm")</f>
        <v>-0.00965018094089265</v>
      </c>
      <c r="H169" s="54" t="n">
        <f aca="false">+IFERROR(H168/G168-1,"nm")</f>
        <v>0.209500609013398</v>
      </c>
      <c r="I169" s="54" t="n">
        <f aca="false">+IFERROR(I168/H168-1,"nm")</f>
        <v>0.054380664652568</v>
      </c>
      <c r="J169" s="54" t="n">
        <f aca="false">+J170+J171</f>
        <v>0</v>
      </c>
      <c r="K169" s="54" t="n">
        <f aca="false">+K170+K171</f>
        <v>0</v>
      </c>
      <c r="L169" s="54" t="n">
        <f aca="false">+L170+L171</f>
        <v>0</v>
      </c>
      <c r="M169" s="54" t="n">
        <f aca="false">+M170+M171</f>
        <v>0</v>
      </c>
      <c r="N169" s="54" t="n">
        <f aca="false">+N170+N171</f>
        <v>0</v>
      </c>
    </row>
    <row r="170" customFormat="false" ht="14.25" hidden="false" customHeight="false" outlineLevel="0" collapsed="false">
      <c r="A170" s="58" t="s">
        <v>152</v>
      </c>
      <c r="F170" s="54" t="n">
        <f aca="false">+Historicals!F202</f>
        <v>0.05</v>
      </c>
      <c r="G170" s="54" t="n">
        <f aca="false">+Historicals!G202</f>
        <v>0.01</v>
      </c>
      <c r="H170" s="54" t="n">
        <f aca="false">+Historicals!H202</f>
        <v>0.17</v>
      </c>
      <c r="I170" s="54" t="n">
        <f aca="false">+Historicals!I202</f>
        <v>0.06</v>
      </c>
      <c r="J170" s="60" t="n">
        <v>0</v>
      </c>
      <c r="K170" s="60" t="n">
        <f aca="false">+J170</f>
        <v>0</v>
      </c>
      <c r="L170" s="60" t="n">
        <f aca="false">+K170</f>
        <v>0</v>
      </c>
      <c r="M170" s="60" t="n">
        <f aca="false">+L170</f>
        <v>0</v>
      </c>
      <c r="N170" s="60" t="n">
        <f aca="false">+M170</f>
        <v>0</v>
      </c>
    </row>
    <row r="171" customFormat="false" ht="14.25" hidden="false" customHeight="false" outlineLevel="0" collapsed="false">
      <c r="A171" s="58" t="s">
        <v>153</v>
      </c>
      <c r="E171" s="54"/>
      <c r="F171" s="54" t="n">
        <f aca="false">+IFERROR(F169-F170,"nm")</f>
        <v>-0.0208255741775296</v>
      </c>
      <c r="G171" s="54" t="n">
        <f aca="false">+IFERROR(G169-G170,"nm")</f>
        <v>-0.0196501809408927</v>
      </c>
      <c r="H171" s="54" t="n">
        <f aca="false">+IFERROR(H169-H170,"nm")</f>
        <v>0.0395006090133984</v>
      </c>
      <c r="I171" s="54" t="n">
        <f aca="false">+IFERROR(I169-I170,"nm")</f>
        <v>-0.00561933534743203</v>
      </c>
      <c r="J171" s="60" t="n">
        <v>0</v>
      </c>
      <c r="K171" s="60" t="n">
        <f aca="false">+J171</f>
        <v>0</v>
      </c>
      <c r="L171" s="60" t="n">
        <f aca="false">+K171</f>
        <v>0</v>
      </c>
      <c r="M171" s="60" t="n">
        <f aca="false">+L171</f>
        <v>0</v>
      </c>
      <c r="N171" s="60" t="n">
        <f aca="false">+M171</f>
        <v>0</v>
      </c>
    </row>
    <row r="172" customFormat="false" ht="14.25" hidden="false" customHeight="false" outlineLevel="0" collapsed="false">
      <c r="A172" s="59" t="s">
        <v>116</v>
      </c>
      <c r="E172" s="15" t="n">
        <f aca="false">+Historicals!E130</f>
        <v>144</v>
      </c>
      <c r="F172" s="15" t="n">
        <f aca="false">+Historicals!F130</f>
        <v>118</v>
      </c>
      <c r="G172" s="15" t="n">
        <f aca="false">+Historicals!G130</f>
        <v>89</v>
      </c>
      <c r="H172" s="15" t="n">
        <f aca="false">+Historicals!H130</f>
        <v>104</v>
      </c>
      <c r="I172" s="15" t="n">
        <f aca="false">+Historicals!I130</f>
        <v>103</v>
      </c>
      <c r="J172" s="15" t="n">
        <f aca="false">+I172*(1+J173)</f>
        <v>103</v>
      </c>
      <c r="K172" s="15" t="n">
        <f aca="false">+J172*(1+K173)</f>
        <v>103</v>
      </c>
      <c r="L172" s="15" t="n">
        <f aca="false">+K172*(1+L173)</f>
        <v>103</v>
      </c>
      <c r="M172" s="15" t="n">
        <f aca="false">+L172*(1+M173)</f>
        <v>103</v>
      </c>
      <c r="N172" s="15" t="n">
        <f aca="false">+M172*(1+N173)</f>
        <v>103</v>
      </c>
    </row>
    <row r="173" customFormat="false" ht="14.25" hidden="false" customHeight="false" outlineLevel="0" collapsed="false">
      <c r="A173" s="58" t="s">
        <v>143</v>
      </c>
      <c r="E173" s="54"/>
      <c r="F173" s="54" t="n">
        <f aca="false">+IFERROR(F172/E172-1,"nm")</f>
        <v>-0.180555555555556</v>
      </c>
      <c r="G173" s="54" t="n">
        <f aca="false">+IFERROR(G172/F172-1,"nm")</f>
        <v>-0.245762711864407</v>
      </c>
      <c r="H173" s="54" t="n">
        <f aca="false">+IFERROR(H172/G172-1,"nm")</f>
        <v>0.168539325842697</v>
      </c>
      <c r="I173" s="54" t="n">
        <f aca="false">+IFERROR(I172/H172-1,"nm")</f>
        <v>-0.00961538461538458</v>
      </c>
      <c r="J173" s="54" t="n">
        <f aca="false">+J174+J175</f>
        <v>0</v>
      </c>
      <c r="K173" s="54" t="n">
        <f aca="false">+K174+K175</f>
        <v>0</v>
      </c>
      <c r="L173" s="54" t="n">
        <f aca="false">+L174+L175</f>
        <v>0</v>
      </c>
      <c r="M173" s="54" t="n">
        <f aca="false">+M174+M175</f>
        <v>0</v>
      </c>
      <c r="N173" s="54" t="n">
        <f aca="false">+N174+N175</f>
        <v>0</v>
      </c>
    </row>
    <row r="174" customFormat="false" ht="14.25" hidden="false" customHeight="false" outlineLevel="0" collapsed="false">
      <c r="A174" s="58" t="s">
        <v>152</v>
      </c>
      <c r="F174" s="54" t="n">
        <f aca="false">+Historicals!F203</f>
        <v>-0.17</v>
      </c>
      <c r="G174" s="54" t="n">
        <f aca="false">+Historicals!G203</f>
        <v>-0.22</v>
      </c>
      <c r="H174" s="54" t="n">
        <f aca="false">+Historicals!H203</f>
        <v>0.13</v>
      </c>
      <c r="I174" s="54" t="n">
        <f aca="false">+Historicals!I203</f>
        <v>-0.03</v>
      </c>
      <c r="J174" s="60" t="n">
        <v>0</v>
      </c>
      <c r="K174" s="60" t="n">
        <f aca="false">+J174</f>
        <v>0</v>
      </c>
      <c r="L174" s="60" t="n">
        <f aca="false">+K174</f>
        <v>0</v>
      </c>
      <c r="M174" s="60" t="n">
        <f aca="false">+L174</f>
        <v>0</v>
      </c>
      <c r="N174" s="60" t="n">
        <f aca="false">+M174</f>
        <v>0</v>
      </c>
    </row>
    <row r="175" customFormat="false" ht="14.25" hidden="false" customHeight="false" outlineLevel="0" collapsed="false">
      <c r="A175" s="58" t="s">
        <v>153</v>
      </c>
      <c r="E175" s="54"/>
      <c r="F175" s="54" t="n">
        <f aca="false">+IFERROR(F173-F174,"nm")</f>
        <v>-0.0105555555555556</v>
      </c>
      <c r="G175" s="54" t="n">
        <f aca="false">+IFERROR(G173-G174,"nm")</f>
        <v>-0.0257627118644068</v>
      </c>
      <c r="H175" s="54" t="n">
        <f aca="false">+IFERROR(H173-H174,"nm")</f>
        <v>0.0385393258426966</v>
      </c>
      <c r="I175" s="54" t="n">
        <f aca="false">+IFERROR(I173-I174,"nm")</f>
        <v>0.0203846153846154</v>
      </c>
      <c r="J175" s="60" t="n">
        <v>0</v>
      </c>
      <c r="K175" s="60" t="n">
        <f aca="false">+J175</f>
        <v>0</v>
      </c>
      <c r="L175" s="60" t="n">
        <f aca="false">+K175</f>
        <v>0</v>
      </c>
      <c r="M175" s="60" t="n">
        <f aca="false">+L175</f>
        <v>0</v>
      </c>
      <c r="N175" s="60" t="n">
        <f aca="false">+M175</f>
        <v>0</v>
      </c>
    </row>
    <row r="176" customFormat="false" ht="14.25" hidden="false" customHeight="false" outlineLevel="0" collapsed="false">
      <c r="A176" s="59" t="s">
        <v>117</v>
      </c>
      <c r="E176" s="15" t="n">
        <f aca="false">+Historicals!E131</f>
        <v>28</v>
      </c>
      <c r="F176" s="15" t="n">
        <f aca="false">+Historicals!F131</f>
        <v>24</v>
      </c>
      <c r="G176" s="15" t="n">
        <f aca="false">+Historicals!G131</f>
        <v>25</v>
      </c>
      <c r="H176" s="15" t="n">
        <f aca="false">+Historicals!H131</f>
        <v>29</v>
      </c>
      <c r="I176" s="15" t="n">
        <f aca="false">+Historicals!I131</f>
        <v>26</v>
      </c>
      <c r="J176" s="15" t="n">
        <f aca="false">+I176*(1+J177)</f>
        <v>26</v>
      </c>
      <c r="K176" s="15" t="n">
        <f aca="false">+J176*(1+K177)</f>
        <v>26</v>
      </c>
      <c r="L176" s="15" t="n">
        <f aca="false">+K176*(1+L177)</f>
        <v>26</v>
      </c>
      <c r="M176" s="15" t="n">
        <f aca="false">+L176*(1+M177)</f>
        <v>26</v>
      </c>
      <c r="N176" s="15" t="n">
        <f aca="false">+M176*(1+N177)</f>
        <v>26</v>
      </c>
    </row>
    <row r="177" customFormat="false" ht="14.25" hidden="false" customHeight="false" outlineLevel="0" collapsed="false">
      <c r="A177" s="58" t="s">
        <v>143</v>
      </c>
      <c r="E177" s="54"/>
      <c r="F177" s="54" t="n">
        <f aca="false">+IFERROR(F176/E176-1,"nm")</f>
        <v>-0.142857142857143</v>
      </c>
      <c r="G177" s="54" t="n">
        <f aca="false">+IFERROR(G176/F176-1,"nm")</f>
        <v>0.0416666666666667</v>
      </c>
      <c r="H177" s="54" t="n">
        <f aca="false">+IFERROR(H176/G176-1,"nm")</f>
        <v>0.16</v>
      </c>
      <c r="I177" s="54" t="n">
        <f aca="false">+IFERROR(I176/H176-1,"nm")</f>
        <v>-0.103448275862069</v>
      </c>
      <c r="J177" s="54" t="n">
        <f aca="false">+J178+J179</f>
        <v>0</v>
      </c>
      <c r="K177" s="54" t="n">
        <f aca="false">+K178+K179</f>
        <v>0</v>
      </c>
      <c r="L177" s="54" t="n">
        <f aca="false">+L178+L179</f>
        <v>0</v>
      </c>
      <c r="M177" s="54" t="n">
        <f aca="false">+M178+M179</f>
        <v>0</v>
      </c>
      <c r="N177" s="54" t="n">
        <f aca="false">+N178+N179</f>
        <v>0</v>
      </c>
    </row>
    <row r="178" customFormat="false" ht="14.25" hidden="false" customHeight="false" outlineLevel="0" collapsed="false">
      <c r="A178" s="58" t="s">
        <v>152</v>
      </c>
      <c r="F178" s="54" t="n">
        <f aca="false">+Historicals!F204</f>
        <v>-0.13</v>
      </c>
      <c r="G178" s="54" t="n">
        <f aca="false">+Historicals!G204</f>
        <v>0.08</v>
      </c>
      <c r="H178" s="54" t="n">
        <f aca="false">+Historicals!H204</f>
        <v>0.14</v>
      </c>
      <c r="I178" s="54" t="n">
        <f aca="false">+Historicals!I204</f>
        <v>-0.16</v>
      </c>
      <c r="J178" s="60" t="n">
        <v>0</v>
      </c>
      <c r="K178" s="60" t="n">
        <f aca="false">+J178</f>
        <v>0</v>
      </c>
      <c r="L178" s="60" t="n">
        <f aca="false">+K178</f>
        <v>0</v>
      </c>
      <c r="M178" s="60" t="n">
        <f aca="false">+L178</f>
        <v>0</v>
      </c>
      <c r="N178" s="60" t="n">
        <f aca="false">+M178</f>
        <v>0</v>
      </c>
    </row>
    <row r="179" customFormat="false" ht="14.25" hidden="false" customHeight="false" outlineLevel="0" collapsed="false">
      <c r="A179" s="58" t="s">
        <v>153</v>
      </c>
      <c r="C179" s="54"/>
      <c r="D179" s="54"/>
      <c r="E179" s="54"/>
      <c r="F179" s="54" t="n">
        <f aca="false">+IFERROR(F177-F178,"nm")</f>
        <v>-0.0128571428571429</v>
      </c>
      <c r="G179" s="54" t="n">
        <f aca="false">+IFERROR(G177-G178,"nm")</f>
        <v>-0.0383333333333333</v>
      </c>
      <c r="H179" s="54" t="n">
        <f aca="false">+IFERROR(H177-H178,"nm")</f>
        <v>0.0199999999999999</v>
      </c>
      <c r="I179" s="54" t="n">
        <f aca="false">+IFERROR(I177-I178,"nm")</f>
        <v>0.0565517241379311</v>
      </c>
      <c r="J179" s="60" t="n">
        <v>0</v>
      </c>
      <c r="K179" s="60" t="n">
        <f aca="false">+J179</f>
        <v>0</v>
      </c>
      <c r="L179" s="60" t="n">
        <f aca="false">+K179</f>
        <v>0</v>
      </c>
      <c r="M179" s="60" t="n">
        <f aca="false">+L179</f>
        <v>0</v>
      </c>
      <c r="N179" s="60" t="n">
        <f aca="false">+M179</f>
        <v>0</v>
      </c>
    </row>
    <row r="180" customFormat="false" ht="14.25" hidden="false" customHeight="false" outlineLevel="0" collapsed="false">
      <c r="A180" s="16" t="s">
        <v>124</v>
      </c>
      <c r="C180" s="54"/>
      <c r="D180" s="54"/>
      <c r="E180" s="15" t="n">
        <f aca="false">+Historicals!E132</f>
        <v>103</v>
      </c>
      <c r="F180" s="15" t="n">
        <f aca="false">+Historicals!F132</f>
        <v>106</v>
      </c>
      <c r="G180" s="15" t="n">
        <f aca="false">+Historicals!G132</f>
        <v>90</v>
      </c>
      <c r="H180" s="15" t="n">
        <f aca="false">+Historicals!H132</f>
        <v>86</v>
      </c>
      <c r="I180" s="15" t="n">
        <f aca="false">+Historicals!I132</f>
        <v>123</v>
      </c>
      <c r="J180" s="15" t="n">
        <f aca="false">+I180*(1+J181)</f>
        <v>123</v>
      </c>
      <c r="K180" s="15" t="n">
        <f aca="false">+J180*(1+K181)</f>
        <v>123</v>
      </c>
      <c r="L180" s="15" t="n">
        <f aca="false">+K180*(1+L181)</f>
        <v>123</v>
      </c>
      <c r="M180" s="15" t="n">
        <f aca="false">+L180*(1+M181)</f>
        <v>123</v>
      </c>
      <c r="N180" s="15" t="n">
        <f aca="false">+M180*(1+N181)</f>
        <v>123</v>
      </c>
    </row>
    <row r="181" customFormat="false" ht="14.25" hidden="false" customHeight="false" outlineLevel="0" collapsed="false">
      <c r="A181" s="58" t="s">
        <v>143</v>
      </c>
      <c r="C181" s="54"/>
      <c r="D181" s="54"/>
      <c r="E181" s="54"/>
      <c r="F181" s="54" t="n">
        <f aca="false">+IFERROR(F180/E180-1,"nm")</f>
        <v>0.029126213592233</v>
      </c>
      <c r="G181" s="54" t="n">
        <f aca="false">+IFERROR(G180/F180-1,"nm")</f>
        <v>-0.150943396226415</v>
      </c>
      <c r="H181" s="54" t="n">
        <f aca="false">+IFERROR(H180/G180-1,"nm")</f>
        <v>-0.0444444444444444</v>
      </c>
      <c r="I181" s="54" t="n">
        <f aca="false">+IFERROR(I180/H180-1,"nm")</f>
        <v>0.430232558139535</v>
      </c>
      <c r="J181" s="54" t="n">
        <f aca="false">+J182+J183</f>
        <v>0</v>
      </c>
      <c r="K181" s="54" t="n">
        <f aca="false">+K182+K183</f>
        <v>0</v>
      </c>
      <c r="L181" s="54" t="n">
        <f aca="false">+L182+L183</f>
        <v>0</v>
      </c>
      <c r="M181" s="54" t="n">
        <f aca="false">+M182+M183</f>
        <v>0</v>
      </c>
      <c r="N181" s="54" t="n">
        <f aca="false">+N182+N183</f>
        <v>0</v>
      </c>
    </row>
    <row r="182" customFormat="false" ht="14.25" hidden="false" customHeight="false" outlineLevel="0" collapsed="false">
      <c r="A182" s="58" t="s">
        <v>152</v>
      </c>
      <c r="C182" s="54"/>
      <c r="D182" s="54"/>
      <c r="E182" s="54"/>
      <c r="F182" s="54" t="n">
        <f aca="false">+Historicals!F205</f>
        <v>0.04</v>
      </c>
      <c r="G182" s="54" t="n">
        <f aca="false">+Historicals!G205</f>
        <v>-0.14</v>
      </c>
      <c r="H182" s="54" t="n">
        <f aca="false">+Historicals!H205</f>
        <v>-0.01</v>
      </c>
      <c r="I182" s="54" t="n">
        <f aca="false">+Historicals!I205</f>
        <v>0.42</v>
      </c>
      <c r="J182" s="60" t="n">
        <v>0</v>
      </c>
      <c r="K182" s="60" t="n">
        <f aca="false">+J182</f>
        <v>0</v>
      </c>
      <c r="L182" s="60" t="n">
        <f aca="false">+K182</f>
        <v>0</v>
      </c>
      <c r="M182" s="60" t="n">
        <f aca="false">+L182</f>
        <v>0</v>
      </c>
      <c r="N182" s="60" t="n">
        <f aca="false">+M182</f>
        <v>0</v>
      </c>
    </row>
    <row r="183" customFormat="false" ht="14.25" hidden="false" customHeight="false" outlineLevel="0" collapsed="false">
      <c r="A183" s="58" t="s">
        <v>153</v>
      </c>
      <c r="C183" s="54"/>
      <c r="D183" s="54"/>
      <c r="E183" s="54"/>
      <c r="F183" s="54" t="n">
        <f aca="false">+IFERROR(F181-F182,"nm")</f>
        <v>-0.010873786407767</v>
      </c>
      <c r="G183" s="54" t="n">
        <f aca="false">+IFERROR(G181-G182,"nm")</f>
        <v>-0.010943396226415</v>
      </c>
      <c r="H183" s="54" t="n">
        <f aca="false">+IFERROR(H181-H182,"nm")</f>
        <v>-0.0344444444444444</v>
      </c>
      <c r="I183" s="54" t="n">
        <f aca="false">+IFERROR(I181-I182,"nm")</f>
        <v>0.010232558139535</v>
      </c>
      <c r="J183" s="60" t="n">
        <v>0</v>
      </c>
      <c r="K183" s="60" t="n">
        <f aca="false">+J183</f>
        <v>0</v>
      </c>
      <c r="L183" s="60" t="n">
        <f aca="false">+K183</f>
        <v>0</v>
      </c>
      <c r="M183" s="60" t="n">
        <f aca="false">+L183</f>
        <v>0</v>
      </c>
      <c r="N183" s="60" t="n">
        <f aca="false">+M183</f>
        <v>0</v>
      </c>
    </row>
    <row r="184" customFormat="false" ht="14.25" hidden="false" customHeight="false" outlineLevel="0" collapsed="false">
      <c r="A184" s="15" t="s">
        <v>144</v>
      </c>
      <c r="B184" s="61" t="n">
        <f aca="false">+B191+B187</f>
        <v>535</v>
      </c>
      <c r="C184" s="61" t="n">
        <f aca="false">+C191+C187</f>
        <v>514</v>
      </c>
      <c r="D184" s="61" t="n">
        <f aca="false">+D191+D187</f>
        <v>505</v>
      </c>
      <c r="E184" s="61" t="n">
        <f aca="false">+E191+E187</f>
        <v>343</v>
      </c>
      <c r="F184" s="61" t="n">
        <f aca="false">+F191+F187</f>
        <v>334</v>
      </c>
      <c r="G184" s="61" t="n">
        <f aca="false">+G191+G187</f>
        <v>322</v>
      </c>
      <c r="H184" s="61" t="n">
        <f aca="false">+H191+H187</f>
        <v>569</v>
      </c>
      <c r="I184" s="61" t="n">
        <f aca="false">+I191+I187</f>
        <v>691</v>
      </c>
      <c r="J184" s="61" t="n">
        <f aca="false">+J166*J186</f>
        <v>691</v>
      </c>
      <c r="K184" s="61" t="n">
        <f aca="false">+K166*K186</f>
        <v>691</v>
      </c>
      <c r="L184" s="61" t="n">
        <f aca="false">+L166*L186</f>
        <v>691</v>
      </c>
      <c r="M184" s="61" t="n">
        <f aca="false">+M166*M186</f>
        <v>691</v>
      </c>
      <c r="N184" s="61" t="n">
        <f aca="false">+N166*N186</f>
        <v>691</v>
      </c>
    </row>
    <row r="185" customFormat="false" ht="14.25" hidden="false" customHeight="false" outlineLevel="0" collapsed="false">
      <c r="A185" s="53" t="s">
        <v>143</v>
      </c>
      <c r="C185" s="54" t="n">
        <f aca="false">+IFERROR(C184/B184-1,"nm")</f>
        <v>-0.0392523364485982</v>
      </c>
      <c r="D185" s="54" t="n">
        <f aca="false">+IFERROR(D184/C184-1,"nm")</f>
        <v>-0.0175097276264592</v>
      </c>
      <c r="E185" s="54" t="n">
        <f aca="false">+IFERROR(E184/D184-1,"nm")</f>
        <v>-0.320792079207921</v>
      </c>
      <c r="F185" s="54" t="n">
        <f aca="false">+IFERROR(F184/E184-1,"nm")</f>
        <v>-0.0262390670553936</v>
      </c>
      <c r="G185" s="54" t="n">
        <f aca="false">+IFERROR(G184/F184-1,"nm")</f>
        <v>-0.0359281437125748</v>
      </c>
      <c r="H185" s="54" t="n">
        <f aca="false">+IFERROR(H184/G184-1,"nm")</f>
        <v>0.767080745341615</v>
      </c>
      <c r="I185" s="54" t="n">
        <f aca="false">+IFERROR(I184/H184-1,"nm")</f>
        <v>0.214411247803163</v>
      </c>
      <c r="J185" s="54" t="n">
        <f aca="false">+IFERROR(J184/I184-1,"nm")</f>
        <v>0</v>
      </c>
      <c r="K185" s="54" t="n">
        <f aca="false">+IFERROR(K184/J184-1,"nm")</f>
        <v>0</v>
      </c>
      <c r="L185" s="54" t="n">
        <f aca="false">+IFERROR(L184/K184-1,"nm")</f>
        <v>0</v>
      </c>
      <c r="M185" s="54" t="n">
        <f aca="false">+IFERROR(M184/L184-1,"nm")</f>
        <v>0</v>
      </c>
      <c r="N185" s="54" t="n">
        <f aca="false">+IFERROR(N184/M184-1,"nm")</f>
        <v>0</v>
      </c>
    </row>
    <row r="186" customFormat="false" ht="14.25" hidden="false" customHeight="false" outlineLevel="0" collapsed="false">
      <c r="A186" s="53" t="s">
        <v>145</v>
      </c>
      <c r="B186" s="54" t="n">
        <f aca="false">+IFERROR(B184/B$166,"nm")</f>
        <v>0.269929364278507</v>
      </c>
      <c r="C186" s="54" t="n">
        <f aca="false">+IFERROR(C184/C$166,"nm")</f>
        <v>0.262915601023018</v>
      </c>
      <c r="D186" s="54" t="n">
        <f aca="false">+IFERROR(D184/D$166,"nm")</f>
        <v>0.247306562193928</v>
      </c>
      <c r="E186" s="54" t="n">
        <f aca="false">+IFERROR(E184/E$166,"nm")</f>
        <v>0.18186638388123</v>
      </c>
      <c r="F186" s="54" t="n">
        <f aca="false">+IFERROR(F184/F$166,"nm")</f>
        <v>0.175236096537251</v>
      </c>
      <c r="G186" s="54" t="n">
        <f aca="false">+IFERROR(G184/G$166,"nm")</f>
        <v>0.174431202600217</v>
      </c>
      <c r="H186" s="54" t="n">
        <f aca="false">+IFERROR(H184/H$166,"nm")</f>
        <v>0.258049886621315</v>
      </c>
      <c r="I186" s="54" t="n">
        <f aca="false">+IFERROR(I184/I$166,"nm")</f>
        <v>0.294543904518329</v>
      </c>
      <c r="J186" s="60" t="n">
        <f aca="false">+I186</f>
        <v>0.294543904518329</v>
      </c>
      <c r="K186" s="60" t="n">
        <f aca="false">+J186</f>
        <v>0.294543904518329</v>
      </c>
      <c r="L186" s="60" t="n">
        <f aca="false">+K186</f>
        <v>0.294543904518329</v>
      </c>
      <c r="M186" s="60" t="n">
        <f aca="false">+L186</f>
        <v>0.294543904518329</v>
      </c>
      <c r="N186" s="60" t="n">
        <f aca="false">+M186</f>
        <v>0.294543904518329</v>
      </c>
    </row>
    <row r="187" customFormat="false" ht="14.25" hidden="false" customHeight="false" outlineLevel="0" collapsed="false">
      <c r="A187" s="15" t="s">
        <v>146</v>
      </c>
      <c r="B187" s="15" t="n">
        <f aca="false">+Historicals!B177</f>
        <v>18</v>
      </c>
      <c r="C187" s="15" t="n">
        <f aca="false">+Historicals!C177</f>
        <v>27</v>
      </c>
      <c r="D187" s="15" t="n">
        <f aca="false">+Historicals!D177</f>
        <v>28</v>
      </c>
      <c r="E187" s="15" t="n">
        <f aca="false">+Historicals!E177</f>
        <v>33</v>
      </c>
      <c r="F187" s="15" t="n">
        <f aca="false">+Historicals!F177</f>
        <v>31</v>
      </c>
      <c r="G187" s="15" t="n">
        <f aca="false">+Historicals!G177</f>
        <v>25</v>
      </c>
      <c r="H187" s="15" t="n">
        <f aca="false">+Historicals!H177</f>
        <v>26</v>
      </c>
      <c r="I187" s="15" t="n">
        <f aca="false">+Historicals!I177</f>
        <v>22</v>
      </c>
      <c r="J187" s="61" t="n">
        <f aca="false">+J190*J197</f>
        <v>22</v>
      </c>
      <c r="K187" s="61" t="n">
        <f aca="false">+K190*K197</f>
        <v>22</v>
      </c>
      <c r="L187" s="61" t="n">
        <f aca="false">+L190*L197</f>
        <v>22</v>
      </c>
      <c r="M187" s="61" t="n">
        <f aca="false">+M190*M197</f>
        <v>22</v>
      </c>
      <c r="N187" s="61" t="n">
        <f aca="false">+N190*N197</f>
        <v>22</v>
      </c>
    </row>
    <row r="188" customFormat="false" ht="14.25" hidden="false" customHeight="false" outlineLevel="0" collapsed="false">
      <c r="A188" s="53" t="s">
        <v>143</v>
      </c>
      <c r="C188" s="54" t="n">
        <f aca="false">+IFERROR(C187/B187-1,"nm")</f>
        <v>0.5</v>
      </c>
      <c r="D188" s="54" t="n">
        <f aca="false">+IFERROR(D187/C187-1,"nm")</f>
        <v>0.037037037037037</v>
      </c>
      <c r="E188" s="54" t="n">
        <f aca="false">+IFERROR(E187/D187-1,"nm")</f>
        <v>0.178571428571429</v>
      </c>
      <c r="F188" s="54" t="n">
        <f aca="false">+IFERROR(F187/E187-1,"nm")</f>
        <v>-0.0606060606060606</v>
      </c>
      <c r="G188" s="54" t="n">
        <f aca="false">+IFERROR(G187/F187-1,"nm")</f>
        <v>-0.193548387096774</v>
      </c>
      <c r="H188" s="54" t="n">
        <f aca="false">+IFERROR(H187/G187-1,"nm")</f>
        <v>0.04</v>
      </c>
      <c r="I188" s="54" t="n">
        <f aca="false">+IFERROR(I187/H187-1,"nm")</f>
        <v>-0.153846153846154</v>
      </c>
      <c r="J188" s="54" t="n">
        <f aca="false">+IFERROR(J187/I187-1,"nm")</f>
        <v>0</v>
      </c>
      <c r="K188" s="54" t="n">
        <f aca="false">+IFERROR(K187/J187-1,"nm")</f>
        <v>0</v>
      </c>
      <c r="L188" s="54" t="n">
        <f aca="false">+IFERROR(L187/K187-1,"nm")</f>
        <v>0</v>
      </c>
      <c r="M188" s="54" t="n">
        <f aca="false">+IFERROR(M187/L187-1,"nm")</f>
        <v>0</v>
      </c>
      <c r="N188" s="54" t="n">
        <f aca="false">+IFERROR(N187/M187-1,"nm")</f>
        <v>0</v>
      </c>
    </row>
    <row r="189" customFormat="false" ht="14.25" hidden="false" customHeight="false" outlineLevel="0" collapsed="false">
      <c r="A189" s="53" t="s">
        <v>147</v>
      </c>
      <c r="B189" s="54" t="n">
        <f aca="false">+IFERROR(B187/B$166,"nm")</f>
        <v>0.00908173562058527</v>
      </c>
      <c r="C189" s="54" t="n">
        <f aca="false">+IFERROR(C187/C$166,"nm")</f>
        <v>0.0138107416879795</v>
      </c>
      <c r="D189" s="54" t="n">
        <f aca="false">+IFERROR(D187/D$166,"nm")</f>
        <v>0.0137120470127326</v>
      </c>
      <c r="E189" s="54" t="n">
        <f aca="false">+IFERROR(E187/E$166,"nm")</f>
        <v>0.0174973488865323</v>
      </c>
      <c r="F189" s="54" t="n">
        <f aca="false">+IFERROR(F187/F$166,"nm")</f>
        <v>0.0162644281217209</v>
      </c>
      <c r="G189" s="54" t="n">
        <f aca="false">+IFERROR(G187/G$166,"nm")</f>
        <v>0.0135427952329361</v>
      </c>
      <c r="H189" s="54" t="n">
        <f aca="false">+IFERROR(H187/H$166,"nm")</f>
        <v>0.0117913832199546</v>
      </c>
      <c r="I189" s="54" t="n">
        <f aca="false">+IFERROR(I187/I$166,"nm")</f>
        <v>0.00937766410912191</v>
      </c>
      <c r="J189" s="54" t="n">
        <f aca="false">+IFERROR(J187/J$21,"nm")</f>
        <v>0.00119871410668556</v>
      </c>
      <c r="K189" s="54" t="n">
        <f aca="false">+IFERROR(K187/K$21,"nm")</f>
        <v>0.00119871410668556</v>
      </c>
      <c r="L189" s="54" t="n">
        <f aca="false">+IFERROR(L187/L$21,"nm")</f>
        <v>0.00119871410668556</v>
      </c>
      <c r="M189" s="54" t="n">
        <f aca="false">+IFERROR(M187/M$21,"nm")</f>
        <v>0.00119871410668556</v>
      </c>
      <c r="N189" s="54" t="n">
        <f aca="false">+IFERROR(N187/N$21,"nm")</f>
        <v>0.00119871410668556</v>
      </c>
    </row>
    <row r="190" customFormat="false" ht="14.25" hidden="false" customHeight="false" outlineLevel="0" collapsed="false">
      <c r="A190" s="53" t="s">
        <v>154</v>
      </c>
      <c r="B190" s="54" t="n">
        <f aca="false">+IFERROR(B187/B197,"nm")</f>
        <v>0.147540983606557</v>
      </c>
      <c r="C190" s="54" t="n">
        <f aca="false">+IFERROR(C187/C197,"nm")</f>
        <v>0.216</v>
      </c>
      <c r="D190" s="54" t="n">
        <f aca="false">+IFERROR(D187/D197,"nm")</f>
        <v>0.224</v>
      </c>
      <c r="E190" s="54" t="n">
        <f aca="false">+IFERROR(E187/E197,"nm")</f>
        <v>0.28695652173913</v>
      </c>
      <c r="F190" s="54" t="n">
        <f aca="false">+IFERROR(F187/F197,"nm")</f>
        <v>0.31</v>
      </c>
      <c r="G190" s="54" t="n">
        <f aca="false">+IFERROR(G187/G197,"nm")</f>
        <v>0.3125</v>
      </c>
      <c r="H190" s="54" t="n">
        <f aca="false">+IFERROR(H187/H197,"nm")</f>
        <v>0.412698412698413</v>
      </c>
      <c r="I190" s="54" t="n">
        <f aca="false">+IFERROR(I187/I197,"nm")</f>
        <v>0.448979591836735</v>
      </c>
      <c r="J190" s="60" t="n">
        <f aca="false">+I190</f>
        <v>0.448979591836735</v>
      </c>
      <c r="K190" s="60" t="n">
        <f aca="false">+J190</f>
        <v>0.448979591836735</v>
      </c>
      <c r="L190" s="60" t="n">
        <f aca="false">+K190</f>
        <v>0.448979591836735</v>
      </c>
      <c r="M190" s="60" t="n">
        <f aca="false">+L190</f>
        <v>0.448979591836735</v>
      </c>
      <c r="N190" s="60" t="n">
        <f aca="false">+M190</f>
        <v>0.448979591836735</v>
      </c>
    </row>
    <row r="191" customFormat="false" ht="14.25" hidden="false" customHeight="false" outlineLevel="0" collapsed="false">
      <c r="A191" s="15" t="s">
        <v>148</v>
      </c>
      <c r="B191" s="15" t="n">
        <f aca="false">+Historicals!B143</f>
        <v>517</v>
      </c>
      <c r="C191" s="15" t="n">
        <f aca="false">+Historicals!C143</f>
        <v>487</v>
      </c>
      <c r="D191" s="15" t="n">
        <f aca="false">+Historicals!D143</f>
        <v>477</v>
      </c>
      <c r="E191" s="15" t="n">
        <f aca="false">+Historicals!E143</f>
        <v>310</v>
      </c>
      <c r="F191" s="15" t="n">
        <f aca="false">+Historicals!F143</f>
        <v>303</v>
      </c>
      <c r="G191" s="15" t="n">
        <f aca="false">+Historicals!G143</f>
        <v>297</v>
      </c>
      <c r="H191" s="15" t="n">
        <f aca="false">+Historicals!H143</f>
        <v>543</v>
      </c>
      <c r="I191" s="15" t="n">
        <f aca="false">+Historicals!I143</f>
        <v>669</v>
      </c>
      <c r="J191" s="15" t="n">
        <f aca="false">+J184-J187</f>
        <v>669</v>
      </c>
      <c r="K191" s="15" t="n">
        <f aca="false">+K184-K187</f>
        <v>669</v>
      </c>
      <c r="L191" s="15" t="n">
        <f aca="false">+L184-L187</f>
        <v>669</v>
      </c>
      <c r="M191" s="15" t="n">
        <f aca="false">+M184-M187</f>
        <v>669</v>
      </c>
      <c r="N191" s="15" t="n">
        <f aca="false">+N184-N187</f>
        <v>669</v>
      </c>
    </row>
    <row r="192" customFormat="false" ht="14.25" hidden="false" customHeight="false" outlineLevel="0" collapsed="false">
      <c r="A192" s="53" t="s">
        <v>143</v>
      </c>
      <c r="C192" s="54" t="n">
        <f aca="false">+IFERROR(C191/B191-1,"nm")</f>
        <v>-0.058027079303675</v>
      </c>
      <c r="D192" s="54" t="n">
        <f aca="false">+IFERROR(D191/C191-1,"nm")</f>
        <v>-0.0205338809034907</v>
      </c>
      <c r="E192" s="54" t="n">
        <f aca="false">+IFERROR(E191/D191-1,"nm")</f>
        <v>-0.350104821802935</v>
      </c>
      <c r="F192" s="54" t="n">
        <f aca="false">+IFERROR(F191/E191-1,"nm")</f>
        <v>-0.0225806451612903</v>
      </c>
      <c r="G192" s="54" t="n">
        <f aca="false">+IFERROR(G191/F191-1,"nm")</f>
        <v>-0.0198019801980198</v>
      </c>
      <c r="H192" s="54" t="n">
        <f aca="false">+IFERROR(H191/G191-1,"nm")</f>
        <v>0.828282828282828</v>
      </c>
      <c r="I192" s="54" t="n">
        <f aca="false">+IFERROR(I191/H191-1,"nm")</f>
        <v>0.232044198895028</v>
      </c>
      <c r="J192" s="54" t="n">
        <f aca="false">+IFERROR(J191/I191-1,"nm")</f>
        <v>0</v>
      </c>
      <c r="K192" s="54" t="n">
        <f aca="false">+IFERROR(K191/J191-1,"nm")</f>
        <v>0</v>
      </c>
      <c r="L192" s="54" t="n">
        <f aca="false">+IFERROR(L191/K191-1,"nm")</f>
        <v>0</v>
      </c>
      <c r="M192" s="54" t="n">
        <f aca="false">+IFERROR(M191/L191-1,"nm")</f>
        <v>0</v>
      </c>
      <c r="N192" s="54" t="n">
        <f aca="false">+IFERROR(N191/M191-1,"nm")</f>
        <v>0</v>
      </c>
    </row>
    <row r="193" customFormat="false" ht="14.25" hidden="false" customHeight="false" outlineLevel="0" collapsed="false">
      <c r="A193" s="53" t="s">
        <v>145</v>
      </c>
      <c r="B193" s="54" t="n">
        <f aca="false">+IFERROR(B191/B$166,"nm")</f>
        <v>0.260847628657921</v>
      </c>
      <c r="C193" s="54" t="n">
        <f aca="false">+IFERROR(C191/C$166,"nm")</f>
        <v>0.249104859335038</v>
      </c>
      <c r="D193" s="54" t="n">
        <f aca="false">+IFERROR(D191/D$166,"nm")</f>
        <v>0.233594515181195</v>
      </c>
      <c r="E193" s="54" t="n">
        <f aca="false">+IFERROR(E191/E$166,"nm")</f>
        <v>0.164369034994698</v>
      </c>
      <c r="F193" s="54" t="n">
        <f aca="false">+IFERROR(F191/F$166,"nm")</f>
        <v>0.15897166841553</v>
      </c>
      <c r="G193" s="54" t="n">
        <f aca="false">+IFERROR(G191/G$166,"nm")</f>
        <v>0.160888407367281</v>
      </c>
      <c r="H193" s="54" t="n">
        <f aca="false">+IFERROR(H191/H$166,"nm")</f>
        <v>0.246258503401361</v>
      </c>
      <c r="I193" s="54" t="n">
        <f aca="false">+IFERROR(I191/I$166,"nm")</f>
        <v>0.285166240409207</v>
      </c>
      <c r="J193" s="54" t="n">
        <f aca="false">+IFERROR(J191/J$21,"nm")</f>
        <v>0.0364518062442108</v>
      </c>
      <c r="K193" s="54" t="n">
        <f aca="false">+IFERROR(K191/K$21,"nm")</f>
        <v>0.0364518062442108</v>
      </c>
      <c r="L193" s="54" t="n">
        <f aca="false">+IFERROR(L191/L$21,"nm")</f>
        <v>0.0364518062442108</v>
      </c>
      <c r="M193" s="54" t="n">
        <f aca="false">+IFERROR(M191/M$21,"nm")</f>
        <v>0.0364518062442108</v>
      </c>
      <c r="N193" s="54" t="n">
        <f aca="false">+IFERROR(N191/N$21,"nm")</f>
        <v>0.0364518062442108</v>
      </c>
    </row>
    <row r="194" customFormat="false" ht="14.25" hidden="false" customHeight="false" outlineLevel="0" collapsed="false">
      <c r="A194" s="15" t="s">
        <v>149</v>
      </c>
      <c r="B194" s="15" t="n">
        <f aca="false">+Historicals!B165</f>
        <v>69</v>
      </c>
      <c r="C194" s="15" t="n">
        <f aca="false">+Historicals!C165</f>
        <v>39</v>
      </c>
      <c r="D194" s="15" t="n">
        <f aca="false">+Historicals!D165</f>
        <v>30</v>
      </c>
      <c r="E194" s="15" t="n">
        <f aca="false">+Historicals!E165</f>
        <v>22</v>
      </c>
      <c r="F194" s="15" t="n">
        <f aca="false">+Historicals!F165</f>
        <v>18</v>
      </c>
      <c r="G194" s="15" t="n">
        <f aca="false">+Historicals!G165</f>
        <v>12</v>
      </c>
      <c r="H194" s="15" t="n">
        <f aca="false">+Historicals!H165</f>
        <v>7</v>
      </c>
      <c r="I194" s="15" t="n">
        <f aca="false">+Historicals!I165</f>
        <v>9</v>
      </c>
      <c r="J194" s="61" t="n">
        <f aca="false">+J166*J196</f>
        <v>9</v>
      </c>
      <c r="K194" s="61" t="n">
        <f aca="false">+K166*K196</f>
        <v>9</v>
      </c>
      <c r="L194" s="61" t="n">
        <f aca="false">+L166*L196</f>
        <v>9</v>
      </c>
      <c r="M194" s="61" t="n">
        <f aca="false">+M166*M196</f>
        <v>9</v>
      </c>
      <c r="N194" s="61" t="n">
        <f aca="false">+N166*N196</f>
        <v>9</v>
      </c>
    </row>
    <row r="195" customFormat="false" ht="14.25" hidden="false" customHeight="false" outlineLevel="0" collapsed="false">
      <c r="A195" s="53" t="s">
        <v>143</v>
      </c>
      <c r="C195" s="54" t="n">
        <f aca="false">+IFERROR(C194/B194-1,"nm")</f>
        <v>-0.434782608695652</v>
      </c>
      <c r="D195" s="54" t="n">
        <f aca="false">+IFERROR(D194/C194-1,"nm")</f>
        <v>-0.230769230769231</v>
      </c>
      <c r="E195" s="54" t="n">
        <f aca="false">+IFERROR(E194/D194-1,"nm")</f>
        <v>-0.266666666666667</v>
      </c>
      <c r="F195" s="54" t="n">
        <f aca="false">+IFERROR(F194/E194-1,"nm")</f>
        <v>-0.181818181818182</v>
      </c>
      <c r="G195" s="54" t="n">
        <f aca="false">+IFERROR(G194/F194-1,"nm")</f>
        <v>-0.333333333333333</v>
      </c>
      <c r="H195" s="54" t="n">
        <f aca="false">+IFERROR(H194/G194-1,"nm")</f>
        <v>-0.416666666666667</v>
      </c>
      <c r="I195" s="54" t="n">
        <f aca="false">+IFERROR(I194/H194-1,"nm")</f>
        <v>0.285714285714286</v>
      </c>
      <c r="J195" s="54" t="n">
        <f aca="false">+IFERROR(J194/I194-1,"nm")</f>
        <v>0</v>
      </c>
      <c r="K195" s="54" t="n">
        <f aca="false">+IFERROR(K194/J194-1,"nm")</f>
        <v>0</v>
      </c>
      <c r="L195" s="54" t="n">
        <f aca="false">+IFERROR(L194/K194-1,"nm")</f>
        <v>0</v>
      </c>
      <c r="M195" s="54" t="n">
        <f aca="false">+IFERROR(M194/L194-1,"nm")</f>
        <v>0</v>
      </c>
      <c r="N195" s="54" t="n">
        <f aca="false">+IFERROR(N194/M194-1,"nm")</f>
        <v>0</v>
      </c>
    </row>
    <row r="196" customFormat="false" ht="14.25" hidden="false" customHeight="false" outlineLevel="0" collapsed="false">
      <c r="A196" s="53" t="s">
        <v>147</v>
      </c>
      <c r="B196" s="54" t="n">
        <f aca="false">+IFERROR(B194/B$166,"nm")</f>
        <v>0.0348133198789102</v>
      </c>
      <c r="C196" s="54" t="n">
        <f aca="false">+IFERROR(C194/C$166,"nm")</f>
        <v>0.0199488491048593</v>
      </c>
      <c r="D196" s="54" t="n">
        <f aca="false">+IFERROR(D194/D$166,"nm")</f>
        <v>0.0146914789422135</v>
      </c>
      <c r="E196" s="54" t="n">
        <f aca="false">+IFERROR(E194/E$166,"nm")</f>
        <v>0.0116648992576882</v>
      </c>
      <c r="F196" s="54" t="n">
        <f aca="false">+IFERROR(F194/F$166,"nm")</f>
        <v>0.00944386149003148</v>
      </c>
      <c r="G196" s="54" t="n">
        <f aca="false">+IFERROR(G194/G$166,"nm")</f>
        <v>0.00650054171180932</v>
      </c>
      <c r="H196" s="54" t="n">
        <f aca="false">+IFERROR(H194/H$166,"nm")</f>
        <v>0.00317460317460317</v>
      </c>
      <c r="I196" s="54" t="n">
        <f aca="false">+IFERROR(I194/I$166,"nm")</f>
        <v>0.00383631713554987</v>
      </c>
      <c r="J196" s="60" t="n">
        <f aca="false">+I196</f>
        <v>0.00383631713554987</v>
      </c>
      <c r="K196" s="60" t="n">
        <f aca="false">+J196</f>
        <v>0.00383631713554987</v>
      </c>
      <c r="L196" s="60" t="n">
        <f aca="false">+K196</f>
        <v>0.00383631713554987</v>
      </c>
      <c r="M196" s="60" t="n">
        <f aca="false">+L196</f>
        <v>0.00383631713554987</v>
      </c>
      <c r="N196" s="60" t="n">
        <f aca="false">+M196</f>
        <v>0.00383631713554987</v>
      </c>
    </row>
    <row r="197" customFormat="false" ht="14.25" hidden="false" customHeight="false" outlineLevel="0" collapsed="false">
      <c r="A197" s="15" t="s">
        <v>150</v>
      </c>
      <c r="B197" s="15" t="n">
        <f aca="false">+Historicals!B154</f>
        <v>122</v>
      </c>
      <c r="C197" s="15" t="n">
        <f aca="false">+Historicals!C154</f>
        <v>125</v>
      </c>
      <c r="D197" s="15" t="n">
        <f aca="false">+Historicals!D154</f>
        <v>125</v>
      </c>
      <c r="E197" s="15" t="n">
        <f aca="false">+Historicals!E154</f>
        <v>115</v>
      </c>
      <c r="F197" s="15" t="n">
        <f aca="false">+Historicals!F154</f>
        <v>100</v>
      </c>
      <c r="G197" s="15" t="n">
        <f aca="false">+Historicals!G154</f>
        <v>80</v>
      </c>
      <c r="H197" s="15" t="n">
        <f aca="false">+Historicals!H154</f>
        <v>63</v>
      </c>
      <c r="I197" s="15" t="n">
        <f aca="false">+Historicals!I154</f>
        <v>49</v>
      </c>
      <c r="J197" s="61" t="n">
        <f aca="false">+J166*J199</f>
        <v>49</v>
      </c>
      <c r="K197" s="61" t="n">
        <f aca="false">+K166*K199</f>
        <v>49</v>
      </c>
      <c r="L197" s="61" t="n">
        <f aca="false">+L166*L199</f>
        <v>49</v>
      </c>
      <c r="M197" s="61" t="n">
        <f aca="false">+M166*M199</f>
        <v>49</v>
      </c>
      <c r="N197" s="61" t="n">
        <f aca="false">+N166*N199</f>
        <v>49</v>
      </c>
    </row>
    <row r="198" customFormat="false" ht="14.25" hidden="false" customHeight="false" outlineLevel="0" collapsed="false">
      <c r="A198" s="53" t="s">
        <v>143</v>
      </c>
      <c r="C198" s="54" t="n">
        <f aca="false">+IFERROR(C197/B197-1,"nm")</f>
        <v>0.0245901639344261</v>
      </c>
      <c r="D198" s="54" t="n">
        <f aca="false">+IFERROR(D197/C197-1,"nm")</f>
        <v>0</v>
      </c>
      <c r="E198" s="54" t="n">
        <f aca="false">+IFERROR(E197/D197-1,"nm")</f>
        <v>-0.08</v>
      </c>
      <c r="F198" s="54" t="n">
        <f aca="false">+IFERROR(F197/E197-1,"nm")</f>
        <v>-0.130434782608696</v>
      </c>
      <c r="G198" s="54" t="n">
        <f aca="false">+IFERROR(G197/F197-1,"nm")</f>
        <v>-0.2</v>
      </c>
      <c r="H198" s="54" t="n">
        <f aca="false">+IFERROR(H197/G197-1,"nm")</f>
        <v>-0.2125</v>
      </c>
      <c r="I198" s="54" t="n">
        <f aca="false">+IFERROR(I197/H197-1,"nm")</f>
        <v>-0.222222222222222</v>
      </c>
      <c r="J198" s="54" t="n">
        <f aca="false">+J199+J200</f>
        <v>0.0208866155157715</v>
      </c>
      <c r="K198" s="54" t="n">
        <f aca="false">+K199+K200</f>
        <v>0.0208866155157715</v>
      </c>
      <c r="L198" s="54" t="n">
        <f aca="false">+L199+L200</f>
        <v>0.0208866155157715</v>
      </c>
      <c r="M198" s="54" t="n">
        <f aca="false">+M199+M200</f>
        <v>0.0208866155157715</v>
      </c>
      <c r="N198" s="54" t="n">
        <f aca="false">+N199+N200</f>
        <v>0.0208866155157715</v>
      </c>
    </row>
    <row r="199" customFormat="false" ht="14.25" hidden="false" customHeight="false" outlineLevel="0" collapsed="false">
      <c r="A199" s="53" t="s">
        <v>147</v>
      </c>
      <c r="B199" s="54" t="n">
        <f aca="false">+IFERROR(B197/B$166,"nm")</f>
        <v>0.0615539858728557</v>
      </c>
      <c r="C199" s="54" t="n">
        <f aca="false">+IFERROR(C197/C$166,"nm")</f>
        <v>0.0639386189258312</v>
      </c>
      <c r="D199" s="54" t="n">
        <f aca="false">+IFERROR(D197/D$166,"nm")</f>
        <v>0.0612144955925563</v>
      </c>
      <c r="E199" s="54" t="n">
        <f aca="false">+IFERROR(E197/E$166,"nm")</f>
        <v>0.0609756097560976</v>
      </c>
      <c r="F199" s="54" t="n">
        <f aca="false">+IFERROR(F197/F$166,"nm")</f>
        <v>0.0524658971668416</v>
      </c>
      <c r="G199" s="54" t="n">
        <f aca="false">+IFERROR(G197/G$166,"nm")</f>
        <v>0.0433369447453955</v>
      </c>
      <c r="H199" s="54" t="n">
        <f aca="false">+IFERROR(H197/H$166,"nm")</f>
        <v>0.0285714285714286</v>
      </c>
      <c r="I199" s="54" t="n">
        <f aca="false">+IFERROR(I197/I$166,"nm")</f>
        <v>0.0208866155157715</v>
      </c>
      <c r="J199" s="60" t="n">
        <f aca="false">+I199</f>
        <v>0.0208866155157715</v>
      </c>
      <c r="K199" s="60" t="n">
        <f aca="false">+J199</f>
        <v>0.0208866155157715</v>
      </c>
      <c r="L199" s="60" t="n">
        <f aca="false">+K199</f>
        <v>0.0208866155157715</v>
      </c>
      <c r="M199" s="60" t="n">
        <f aca="false">+L199</f>
        <v>0.0208866155157715</v>
      </c>
      <c r="N199" s="60" t="n">
        <f aca="false">+M199</f>
        <v>0.0208866155157715</v>
      </c>
    </row>
    <row r="200" customFormat="false" ht="14.25" hidden="false" customHeight="false" outlineLevel="0" collapsed="false">
      <c r="A200" s="56" t="str">
        <f aca="false">+Historicals!A206</f>
        <v>Corporate</v>
      </c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</row>
    <row r="201" customFormat="false" ht="14.25" hidden="false" customHeight="false" outlineLevel="0" collapsed="false">
      <c r="A201" s="15" t="s">
        <v>151</v>
      </c>
      <c r="B201" s="15" t="n">
        <f aca="false">+Historicals!B133</f>
        <v>-82</v>
      </c>
      <c r="C201" s="15" t="n">
        <f aca="false">+Historicals!C133</f>
        <v>-86</v>
      </c>
      <c r="D201" s="15" t="n">
        <f aca="false">+Historicals!D133</f>
        <v>75</v>
      </c>
      <c r="E201" s="15" t="n">
        <f aca="false">+Historicals!E133</f>
        <v>26</v>
      </c>
      <c r="F201" s="15" t="n">
        <f aca="false">+Historicals!F133</f>
        <v>-7</v>
      </c>
      <c r="G201" s="15" t="n">
        <f aca="false">+Historicals!G133</f>
        <v>-11</v>
      </c>
      <c r="H201" s="15" t="n">
        <f aca="false">+Historicals!H133</f>
        <v>40</v>
      </c>
      <c r="I201" s="15" t="n">
        <f aca="false">+Historicals!I133</f>
        <v>-72</v>
      </c>
      <c r="J201" s="15" t="n">
        <f aca="false">+I201*(1+J202)</f>
        <v>-72</v>
      </c>
      <c r="K201" s="15" t="n">
        <f aca="false">+J201*(1+K202)</f>
        <v>-72</v>
      </c>
      <c r="L201" s="15" t="n">
        <f aca="false">+K201*(1+L202)</f>
        <v>-72</v>
      </c>
      <c r="M201" s="15" t="n">
        <f aca="false">+L201*(1+M202)</f>
        <v>-72</v>
      </c>
      <c r="N201" s="15" t="n">
        <f aca="false">+M201*(1+N202)</f>
        <v>-72</v>
      </c>
    </row>
    <row r="202" customFormat="false" ht="14.25" hidden="false" customHeight="false" outlineLevel="0" collapsed="false">
      <c r="A202" s="58" t="s">
        <v>143</v>
      </c>
      <c r="C202" s="54" t="n">
        <f aca="false">+IFERROR(C201/B201-1,"nm")</f>
        <v>0.0487804878048781</v>
      </c>
      <c r="D202" s="54" t="n">
        <f aca="false">+IFERROR(D201/C201-1,"nm")</f>
        <v>-1.87209302325581</v>
      </c>
      <c r="E202" s="54" t="n">
        <f aca="false">+IFERROR(E201/D201-1,"nm")</f>
        <v>-0.653333333333333</v>
      </c>
      <c r="F202" s="54" t="n">
        <f aca="false">+IFERROR(F201/E201-1,"nm")</f>
        <v>-1.26923076923077</v>
      </c>
      <c r="G202" s="54" t="n">
        <f aca="false">+IFERROR(G201/F201-1,"nm")</f>
        <v>0.571428571428571</v>
      </c>
      <c r="H202" s="54" t="n">
        <f aca="false">+IFERROR(H201/G201-1,"nm")</f>
        <v>-4.63636363636364</v>
      </c>
      <c r="I202" s="54" t="n">
        <f aca="false">+IFERROR(I201/H201-1,"nm")</f>
        <v>-2.8</v>
      </c>
      <c r="J202" s="54" t="n">
        <f aca="false">+J203+J204</f>
        <v>0</v>
      </c>
      <c r="K202" s="54" t="n">
        <f aca="false">+K203+K204</f>
        <v>0</v>
      </c>
      <c r="L202" s="54" t="n">
        <f aca="false">+L203+L204</f>
        <v>0</v>
      </c>
      <c r="M202" s="54" t="n">
        <f aca="false">+M203+M204</f>
        <v>0</v>
      </c>
      <c r="N202" s="54" t="n">
        <f aca="false">+N203+N204</f>
        <v>0</v>
      </c>
    </row>
    <row r="203" customFormat="false" ht="14.25" hidden="false" customHeight="false" outlineLevel="0" collapsed="false">
      <c r="A203" s="58" t="s">
        <v>152</v>
      </c>
      <c r="B203" s="54" t="n">
        <f aca="false">+Historicals!B206</f>
        <v>0.06</v>
      </c>
      <c r="C203" s="54" t="n">
        <f aca="false">+Historicals!C206</f>
        <v>0.07</v>
      </c>
      <c r="D203" s="54" t="str">
        <f aca="false">+Historicals!D206</f>
        <v>n/a</v>
      </c>
      <c r="E203" s="54" t="n">
        <f aca="false">+Historicals!E206</f>
        <v>-1.01</v>
      </c>
      <c r="F203" s="54" t="n">
        <f aca="false">+Historicals!F206</f>
        <v>0.24</v>
      </c>
      <c r="G203" s="54" t="n">
        <f aca="false">+Historicals!G206</f>
        <v>0.09</v>
      </c>
      <c r="H203" s="54" t="n">
        <f aca="false">+Historicals!H206</f>
        <v>0.15</v>
      </c>
      <c r="I203" s="54" t="n">
        <f aca="false">+IFERROR(I201/H201-1,"nm")</f>
        <v>-2.8</v>
      </c>
      <c r="J203" s="60" t="n">
        <v>0</v>
      </c>
      <c r="K203" s="60" t="n">
        <f aca="false">+J203</f>
        <v>0</v>
      </c>
      <c r="L203" s="60" t="n">
        <f aca="false">+K203</f>
        <v>0</v>
      </c>
      <c r="M203" s="60" t="n">
        <f aca="false">+L203</f>
        <v>0</v>
      </c>
      <c r="N203" s="60" t="n">
        <f aca="false">+M203</f>
        <v>0</v>
      </c>
    </row>
    <row r="204" customFormat="false" ht="14.25" hidden="false" customHeight="false" outlineLevel="0" collapsed="false">
      <c r="A204" s="58" t="s">
        <v>153</v>
      </c>
      <c r="C204" s="54" t="n">
        <f aca="false">+IFERROR(C202-C203,"nm")</f>
        <v>-0.0212195121951219</v>
      </c>
      <c r="D204" s="54"/>
      <c r="E204" s="54" t="n">
        <f aca="false">+IFERROR(E202-E203,"nm")</f>
        <v>0.356666666666667</v>
      </c>
      <c r="F204" s="54" t="n">
        <f aca="false">+IFERROR(F202-F203,"nm")</f>
        <v>-1.50923076923077</v>
      </c>
      <c r="G204" s="54" t="n">
        <f aca="false">+IFERROR(G202-G203,"nm")</f>
        <v>0.481428571428571</v>
      </c>
      <c r="H204" s="54" t="n">
        <f aca="false">+IFERROR(H202-H203,"nm")</f>
        <v>-4.78636363636364</v>
      </c>
      <c r="I204" s="54" t="n">
        <f aca="false">+IFERROR(I202-I203,"nm")</f>
        <v>0</v>
      </c>
      <c r="J204" s="60" t="n">
        <v>0</v>
      </c>
      <c r="K204" s="60" t="n">
        <f aca="false">+J204</f>
        <v>0</v>
      </c>
      <c r="L204" s="60" t="n">
        <f aca="false">+K204</f>
        <v>0</v>
      </c>
      <c r="M204" s="60" t="n">
        <f aca="false">+L204</f>
        <v>0</v>
      </c>
      <c r="N204" s="60" t="n">
        <f aca="false">+M204</f>
        <v>0</v>
      </c>
    </row>
    <row r="205" customFormat="false" ht="14.25" hidden="false" customHeight="false" outlineLevel="0" collapsed="false">
      <c r="A205" s="15" t="s">
        <v>144</v>
      </c>
      <c r="B205" s="61" t="n">
        <f aca="false">+B212+B208</f>
        <v>-1026</v>
      </c>
      <c r="C205" s="61" t="n">
        <f aca="false">+C212+C208</f>
        <v>-1089</v>
      </c>
      <c r="D205" s="61" t="n">
        <f aca="false">+D212+D208</f>
        <v>-633</v>
      </c>
      <c r="E205" s="61" t="n">
        <f aca="false">+E212+E208</f>
        <v>-1346</v>
      </c>
      <c r="F205" s="61" t="n">
        <f aca="false">+F212+F208</f>
        <v>-1694</v>
      </c>
      <c r="G205" s="61" t="n">
        <f aca="false">+G212+G208</f>
        <v>-1855</v>
      </c>
      <c r="H205" s="61" t="n">
        <f aca="false">+H212+H208</f>
        <v>-2120</v>
      </c>
      <c r="I205" s="61" t="n">
        <f aca="false">+I212+I208</f>
        <v>-2085</v>
      </c>
      <c r="J205" s="61" t="n">
        <f aca="false">+J201*J207</f>
        <v>-2085</v>
      </c>
      <c r="K205" s="61" t="n">
        <f aca="false">+K201*K207</f>
        <v>-2085</v>
      </c>
      <c r="L205" s="61" t="n">
        <f aca="false">+L201*L207</f>
        <v>-2085</v>
      </c>
      <c r="M205" s="61" t="n">
        <f aca="false">+M201*M207</f>
        <v>-2085</v>
      </c>
      <c r="N205" s="61" t="n">
        <f aca="false">+N201*N207</f>
        <v>-2085</v>
      </c>
    </row>
    <row r="206" customFormat="false" ht="14.25" hidden="false" customHeight="false" outlineLevel="0" collapsed="false">
      <c r="A206" s="53" t="s">
        <v>143</v>
      </c>
      <c r="C206" s="54" t="n">
        <f aca="false">+IFERROR(C205/B205-1,"nm")</f>
        <v>0.0614035087719298</v>
      </c>
      <c r="D206" s="54" t="n">
        <f aca="false">+IFERROR(D205/C205-1,"nm")</f>
        <v>-0.418732782369146</v>
      </c>
      <c r="E206" s="54" t="n">
        <f aca="false">+IFERROR(E205/D205-1,"nm")</f>
        <v>1.12638230647709</v>
      </c>
      <c r="F206" s="54" t="n">
        <f aca="false">+IFERROR(F205/E205-1,"nm")</f>
        <v>0.258543833580981</v>
      </c>
      <c r="G206" s="54" t="n">
        <f aca="false">+IFERROR(G205/F205-1,"nm")</f>
        <v>0.0950413223140496</v>
      </c>
      <c r="H206" s="54" t="n">
        <f aca="false">+IFERROR(H205/G205-1,"nm")</f>
        <v>0.142857142857143</v>
      </c>
      <c r="I206" s="54" t="n">
        <f aca="false">+IFERROR(I205/H205-1,"nm")</f>
        <v>-0.0165094339622641</v>
      </c>
      <c r="J206" s="54" t="n">
        <f aca="false">+IFERROR(J205/I205-1,"nm")</f>
        <v>0</v>
      </c>
      <c r="K206" s="54" t="n">
        <f aca="false">+IFERROR(K205/J205-1,"nm")</f>
        <v>0</v>
      </c>
      <c r="L206" s="54" t="n">
        <f aca="false">+IFERROR(L205/K205-1,"nm")</f>
        <v>0</v>
      </c>
      <c r="M206" s="54" t="n">
        <f aca="false">+IFERROR(M205/L205-1,"nm")</f>
        <v>0</v>
      </c>
      <c r="N206" s="54" t="n">
        <f aca="false">+IFERROR(N205/M205-1,"nm")</f>
        <v>0</v>
      </c>
    </row>
    <row r="207" customFormat="false" ht="14.25" hidden="false" customHeight="false" outlineLevel="0" collapsed="false">
      <c r="A207" s="53" t="s">
        <v>145</v>
      </c>
      <c r="B207" s="54" t="n">
        <f aca="false">+IFERROR(B205/B$201,"nm")</f>
        <v>12.5121951219512</v>
      </c>
      <c r="C207" s="54" t="n">
        <f aca="false">+IFERROR(C205/C$201,"nm")</f>
        <v>12.6627906976744</v>
      </c>
      <c r="D207" s="54" t="n">
        <f aca="false">+IFERROR(D205/D$201,"nm")</f>
        <v>-8.44</v>
      </c>
      <c r="E207" s="54" t="n">
        <f aca="false">+IFERROR(E205/E$201,"nm")</f>
        <v>-51.7692307692308</v>
      </c>
      <c r="F207" s="54" t="n">
        <f aca="false">+IFERROR(F205/F$201,"nm")</f>
        <v>242</v>
      </c>
      <c r="G207" s="54" t="n">
        <f aca="false">+IFERROR(G205/G$201,"nm")</f>
        <v>168.636363636364</v>
      </c>
      <c r="H207" s="54" t="n">
        <f aca="false">+IFERROR(H205/H$201,"nm")</f>
        <v>-53</v>
      </c>
      <c r="I207" s="54" t="n">
        <f aca="false">+IFERROR(I205/I$201,"nm")</f>
        <v>28.9583333333333</v>
      </c>
      <c r="J207" s="60" t="n">
        <f aca="false">+I207</f>
        <v>28.9583333333333</v>
      </c>
      <c r="K207" s="60" t="n">
        <f aca="false">+J207</f>
        <v>28.9583333333333</v>
      </c>
      <c r="L207" s="60" t="n">
        <f aca="false">+K207</f>
        <v>28.9583333333333</v>
      </c>
      <c r="M207" s="60" t="n">
        <f aca="false">+L207</f>
        <v>28.9583333333333</v>
      </c>
      <c r="N207" s="60" t="n">
        <f aca="false">+M207</f>
        <v>28.9583333333333</v>
      </c>
    </row>
    <row r="208" customFormat="false" ht="14.25" hidden="false" customHeight="false" outlineLevel="0" collapsed="false">
      <c r="A208" s="15" t="s">
        <v>146</v>
      </c>
      <c r="B208" s="15" t="n">
        <f aca="false">+Historicals!B178</f>
        <v>75</v>
      </c>
      <c r="C208" s="15" t="n">
        <f aca="false">+Historicals!C178</f>
        <v>84</v>
      </c>
      <c r="D208" s="15" t="n">
        <f aca="false">+Historicals!D178</f>
        <v>91</v>
      </c>
      <c r="E208" s="15" t="n">
        <f aca="false">+Historicals!E178</f>
        <v>110</v>
      </c>
      <c r="F208" s="15" t="n">
        <f aca="false">+Historicals!F178</f>
        <v>116</v>
      </c>
      <c r="G208" s="15" t="n">
        <f aca="false">+Historicals!G178</f>
        <v>112</v>
      </c>
      <c r="H208" s="15" t="n">
        <f aca="false">+Historicals!H178</f>
        <v>141</v>
      </c>
      <c r="I208" s="15" t="n">
        <f aca="false">+Historicals!I178</f>
        <v>134</v>
      </c>
      <c r="J208" s="61" t="n">
        <f aca="false">+J211*J218</f>
        <v>134</v>
      </c>
      <c r="K208" s="61" t="n">
        <f aca="false">+K211*K218</f>
        <v>134</v>
      </c>
      <c r="L208" s="61" t="n">
        <f aca="false">+L211*L218</f>
        <v>134</v>
      </c>
      <c r="M208" s="61" t="n">
        <f aca="false">+M211*M218</f>
        <v>134</v>
      </c>
      <c r="N208" s="61" t="n">
        <f aca="false">+N211*N218</f>
        <v>134</v>
      </c>
    </row>
    <row r="209" customFormat="false" ht="14.25" hidden="false" customHeight="false" outlineLevel="0" collapsed="false">
      <c r="A209" s="53" t="s">
        <v>143</v>
      </c>
      <c r="C209" s="54" t="n">
        <f aca="false">+IFERROR(C208/B208-1,"nm")</f>
        <v>0.12</v>
      </c>
      <c r="D209" s="54" t="n">
        <f aca="false">+IFERROR(D208/C208-1,"nm")</f>
        <v>0.0833333333333333</v>
      </c>
      <c r="E209" s="54" t="n">
        <f aca="false">+IFERROR(E208/D208-1,"nm")</f>
        <v>0.208791208791209</v>
      </c>
      <c r="F209" s="54" t="n">
        <f aca="false">+IFERROR(F208/E208-1,"nm")</f>
        <v>0.0545454545454545</v>
      </c>
      <c r="G209" s="54" t="n">
        <f aca="false">+IFERROR(G208/F208-1,"nm")</f>
        <v>-0.0344827586206896</v>
      </c>
      <c r="H209" s="54" t="n">
        <f aca="false">+IFERROR(H208/G208-1,"nm")</f>
        <v>0.258928571428571</v>
      </c>
      <c r="I209" s="54" t="n">
        <f aca="false">+IFERROR(I208/H208-1,"nm")</f>
        <v>-0.0496453900709219</v>
      </c>
      <c r="J209" s="54" t="n">
        <f aca="false">+IFERROR(J208/I208-1,"nm")</f>
        <v>0</v>
      </c>
      <c r="K209" s="54" t="n">
        <f aca="false">+IFERROR(K208/J208-1,"nm")</f>
        <v>0</v>
      </c>
      <c r="L209" s="54" t="n">
        <f aca="false">+IFERROR(L208/K208-1,"nm")</f>
        <v>0</v>
      </c>
      <c r="M209" s="54" t="n">
        <f aca="false">+IFERROR(M208/L208-1,"nm")</f>
        <v>0</v>
      </c>
      <c r="N209" s="54" t="n">
        <f aca="false">+IFERROR(N208/M208-1,"nm")</f>
        <v>0</v>
      </c>
    </row>
    <row r="210" customFormat="false" ht="14.25" hidden="false" customHeight="false" outlineLevel="0" collapsed="false">
      <c r="A210" s="53" t="s">
        <v>147</v>
      </c>
      <c r="B210" s="54" t="n">
        <f aca="false">+IFERROR(B208/B$201,"nm")</f>
        <v>-0.914634146341463</v>
      </c>
      <c r="C210" s="54" t="n">
        <f aca="false">+IFERROR(C208/C$201,"nm")</f>
        <v>-0.976744186046512</v>
      </c>
      <c r="D210" s="54" t="n">
        <f aca="false">+IFERROR(D208/D$201,"nm")</f>
        <v>1.21333333333333</v>
      </c>
      <c r="E210" s="54" t="n">
        <f aca="false">+IFERROR(E208/E$201,"nm")</f>
        <v>4.23076923076923</v>
      </c>
      <c r="F210" s="54" t="n">
        <f aca="false">+IFERROR(F208/F$201,"nm")</f>
        <v>-16.5714285714286</v>
      </c>
      <c r="G210" s="54" t="n">
        <f aca="false">+IFERROR(G208/G$201,"nm")</f>
        <v>-10.1818181818182</v>
      </c>
      <c r="H210" s="54" t="n">
        <f aca="false">+IFERROR(H208/H$201,"nm")</f>
        <v>3.525</v>
      </c>
      <c r="I210" s="54" t="n">
        <f aca="false">+IFERROR(I208/I$201,"nm")</f>
        <v>-1.86111111111111</v>
      </c>
      <c r="J210" s="54" t="n">
        <f aca="false">+IFERROR(J208/J$21,"nm")</f>
        <v>0.00730125864981202</v>
      </c>
      <c r="K210" s="54" t="n">
        <f aca="false">+IFERROR(K208/K$21,"nm")</f>
        <v>0.00730125864981202</v>
      </c>
      <c r="L210" s="54" t="n">
        <f aca="false">+IFERROR(L208/L$21,"nm")</f>
        <v>0.00730125864981202</v>
      </c>
      <c r="M210" s="54" t="n">
        <f aca="false">+IFERROR(M208/M$21,"nm")</f>
        <v>0.00730125864981202</v>
      </c>
      <c r="N210" s="54" t="n">
        <f aca="false">+IFERROR(N208/N$21,"nm")</f>
        <v>0.00730125864981202</v>
      </c>
    </row>
    <row r="211" customFormat="false" ht="14.25" hidden="false" customHeight="false" outlineLevel="0" collapsed="false">
      <c r="A211" s="53" t="s">
        <v>154</v>
      </c>
      <c r="B211" s="54" t="n">
        <f aca="false">+IFERROR(B208/B218,"nm")</f>
        <v>0.105189340813464</v>
      </c>
      <c r="C211" s="54" t="n">
        <f aca="false">+IFERROR(C208/C218,"nm")</f>
        <v>0.0896478121664888</v>
      </c>
      <c r="D211" s="54" t="n">
        <f aca="false">+IFERROR(D208/D218,"nm")</f>
        <v>0.0735056542810986</v>
      </c>
      <c r="E211" s="54" t="n">
        <f aca="false">+IFERROR(E208/E218,"nm")</f>
        <v>0.0758620689655172</v>
      </c>
      <c r="F211" s="54" t="n">
        <f aca="false">+IFERROR(F208/F218,"nm")</f>
        <v>0.0693365212193664</v>
      </c>
      <c r="G211" s="54" t="n">
        <f aca="false">+IFERROR(G208/G218,"nm")</f>
        <v>0.058455114822547</v>
      </c>
      <c r="H211" s="54" t="n">
        <f aca="false">+IFERROR(H208/H218,"nm")</f>
        <v>0.0754010695187166</v>
      </c>
      <c r="I211" s="54" t="n">
        <f aca="false">+IFERROR(I208/I218,"nm")</f>
        <v>0.073747936158503</v>
      </c>
      <c r="J211" s="60" t="n">
        <f aca="false">+I211</f>
        <v>0.073747936158503</v>
      </c>
      <c r="K211" s="60" t="n">
        <f aca="false">+J211</f>
        <v>0.073747936158503</v>
      </c>
      <c r="L211" s="60" t="n">
        <f aca="false">+K211</f>
        <v>0.073747936158503</v>
      </c>
      <c r="M211" s="60" t="n">
        <f aca="false">+L211</f>
        <v>0.073747936158503</v>
      </c>
      <c r="N211" s="60" t="n">
        <f aca="false">+M211</f>
        <v>0.073747936158503</v>
      </c>
    </row>
    <row r="212" customFormat="false" ht="14.25" hidden="false" customHeight="false" outlineLevel="0" collapsed="false">
      <c r="A212" s="15" t="s">
        <v>148</v>
      </c>
      <c r="B212" s="15" t="n">
        <f aca="false">+Historicals!B144</f>
        <v>-1101</v>
      </c>
      <c r="C212" s="15" t="n">
        <f aca="false">+Historicals!C144</f>
        <v>-1173</v>
      </c>
      <c r="D212" s="15" t="n">
        <f aca="false">+Historicals!D144</f>
        <v>-724</v>
      </c>
      <c r="E212" s="15" t="n">
        <f aca="false">+Historicals!E144</f>
        <v>-1456</v>
      </c>
      <c r="F212" s="15" t="n">
        <f aca="false">+Historicals!F144</f>
        <v>-1810</v>
      </c>
      <c r="G212" s="15" t="n">
        <f aca="false">+Historicals!G144</f>
        <v>-1967</v>
      </c>
      <c r="H212" s="15" t="n">
        <f aca="false">+Historicals!H144</f>
        <v>-2261</v>
      </c>
      <c r="I212" s="15" t="n">
        <f aca="false">+Historicals!I144</f>
        <v>-2219</v>
      </c>
      <c r="J212" s="15" t="n">
        <f aca="false">+Historicals!I144</f>
        <v>-2219</v>
      </c>
      <c r="K212" s="15" t="n">
        <f aca="false">+K205-K208</f>
        <v>-2219</v>
      </c>
      <c r="L212" s="15" t="n">
        <f aca="false">+L205-L208</f>
        <v>-2219</v>
      </c>
      <c r="M212" s="15" t="n">
        <f aca="false">+M205-M208</f>
        <v>-2219</v>
      </c>
      <c r="N212" s="15" t="n">
        <f aca="false">+N205-N208</f>
        <v>-2219</v>
      </c>
    </row>
    <row r="213" customFormat="false" ht="14.25" hidden="false" customHeight="false" outlineLevel="0" collapsed="false">
      <c r="A213" s="53" t="s">
        <v>143</v>
      </c>
      <c r="C213" s="54" t="n">
        <f aca="false">+IFERROR(C212/B212-1,"nm")</f>
        <v>0.0653950953678475</v>
      </c>
      <c r="D213" s="54" t="n">
        <f aca="false">+IFERROR(D212/C212-1,"nm")</f>
        <v>-0.382779198635976</v>
      </c>
      <c r="E213" s="54" t="n">
        <f aca="false">+IFERROR(E212/D212-1,"nm")</f>
        <v>1.01104972375691</v>
      </c>
      <c r="F213" s="54" t="n">
        <f aca="false">+IFERROR(F212/E212-1,"nm")</f>
        <v>0.243131868131868</v>
      </c>
      <c r="G213" s="54" t="n">
        <f aca="false">+IFERROR(G212/F212-1,"nm")</f>
        <v>0.0867403314917128</v>
      </c>
      <c r="H213" s="54" t="n">
        <f aca="false">+IFERROR(H212/G212-1,"nm")</f>
        <v>0.149466192170818</v>
      </c>
      <c r="I213" s="54" t="n">
        <f aca="false">+IFERROR(I212/H212-1,"nm")</f>
        <v>-0.0185758513931888</v>
      </c>
      <c r="J213" s="54" t="n">
        <f aca="false">+IFERROR(J212/I212-1,"nm")</f>
        <v>0</v>
      </c>
      <c r="K213" s="54" t="n">
        <f aca="false">+IFERROR(K212/J212-1,"nm")</f>
        <v>0</v>
      </c>
      <c r="L213" s="54" t="n">
        <f aca="false">+IFERROR(L212/K212-1,"nm")</f>
        <v>0</v>
      </c>
      <c r="M213" s="54" t="n">
        <f aca="false">+IFERROR(M212/L212-1,"nm")</f>
        <v>0</v>
      </c>
      <c r="N213" s="54" t="n">
        <f aca="false">+IFERROR(N212/M212-1,"nm")</f>
        <v>0</v>
      </c>
    </row>
    <row r="214" customFormat="false" ht="14.25" hidden="false" customHeight="false" outlineLevel="0" collapsed="false">
      <c r="A214" s="53" t="s">
        <v>145</v>
      </c>
      <c r="B214" s="54" t="n">
        <f aca="false">+IFERROR(B212/B$201,"nm")</f>
        <v>13.4268292682927</v>
      </c>
      <c r="C214" s="54" t="n">
        <f aca="false">+IFERROR(C212/C$201,"nm")</f>
        <v>13.6395348837209</v>
      </c>
      <c r="D214" s="54" t="n">
        <f aca="false">+IFERROR(D212/D$201,"nm")</f>
        <v>-9.65333333333333</v>
      </c>
      <c r="E214" s="54" t="n">
        <f aca="false">+IFERROR(E212/E$201,"nm")</f>
        <v>-56</v>
      </c>
      <c r="F214" s="54" t="n">
        <f aca="false">+IFERROR(F212/F$201,"nm")</f>
        <v>258.571428571429</v>
      </c>
      <c r="G214" s="54" t="n">
        <f aca="false">+IFERROR(G212/G$201,"nm")</f>
        <v>178.818181818182</v>
      </c>
      <c r="H214" s="54" t="n">
        <f aca="false">+IFERROR(H212/H$201,"nm")</f>
        <v>-56.525</v>
      </c>
      <c r="I214" s="54" t="n">
        <f aca="false">+IFERROR(I212/I$201,"nm")</f>
        <v>30.8194444444444</v>
      </c>
      <c r="J214" s="54" t="n">
        <f aca="false">+IFERROR(J212/J$21,"nm")</f>
        <v>-0.120906663760693</v>
      </c>
      <c r="K214" s="54" t="n">
        <f aca="false">+IFERROR(K212/K$21,"nm")</f>
        <v>-0.120906663760693</v>
      </c>
      <c r="L214" s="54" t="n">
        <f aca="false">+IFERROR(L212/L$21,"nm")</f>
        <v>-0.120906663760693</v>
      </c>
      <c r="M214" s="54" t="n">
        <f aca="false">+IFERROR(M212/M$21,"nm")</f>
        <v>-0.120906663760693</v>
      </c>
      <c r="N214" s="54" t="n">
        <f aca="false">+IFERROR(N212/N$21,"nm")</f>
        <v>-0.120906663760693</v>
      </c>
    </row>
    <row r="215" customFormat="false" ht="14.25" hidden="false" customHeight="false" outlineLevel="0" collapsed="false">
      <c r="A215" s="15" t="s">
        <v>149</v>
      </c>
      <c r="B215" s="15" t="n">
        <f aca="false">+Historicals!B166</f>
        <v>144</v>
      </c>
      <c r="C215" s="15" t="n">
        <f aca="false">+Historicals!C166</f>
        <v>312</v>
      </c>
      <c r="D215" s="15" t="n">
        <f aca="false">+Historicals!D166</f>
        <v>387</v>
      </c>
      <c r="E215" s="15" t="n">
        <f aca="false">+Historicals!E166</f>
        <v>325</v>
      </c>
      <c r="F215" s="15" t="n">
        <f aca="false">+Historicals!F166</f>
        <v>333</v>
      </c>
      <c r="G215" s="15" t="n">
        <f aca="false">+Historicals!G166</f>
        <v>356</v>
      </c>
      <c r="H215" s="15" t="n">
        <f aca="false">+Historicals!H166</f>
        <v>107</v>
      </c>
      <c r="I215" s="15" t="n">
        <f aca="false">+Historicals!I166</f>
        <v>50</v>
      </c>
      <c r="J215" s="61" t="n">
        <f aca="false">+J201*J217</f>
        <v>50</v>
      </c>
      <c r="K215" s="61" t="n">
        <f aca="false">+K201*K217</f>
        <v>50</v>
      </c>
      <c r="L215" s="61" t="n">
        <f aca="false">+L201*L217</f>
        <v>50</v>
      </c>
      <c r="M215" s="61" t="n">
        <f aca="false">+M201*M217</f>
        <v>50</v>
      </c>
      <c r="N215" s="61" t="n">
        <f aca="false">+N201*N217</f>
        <v>50</v>
      </c>
    </row>
    <row r="216" customFormat="false" ht="14.25" hidden="false" customHeight="false" outlineLevel="0" collapsed="false">
      <c r="A216" s="53" t="s">
        <v>143</v>
      </c>
      <c r="C216" s="54" t="n">
        <f aca="false">+IFERROR(C215/B215-1,"nm")</f>
        <v>1.16666666666667</v>
      </c>
      <c r="D216" s="54" t="n">
        <f aca="false">+IFERROR(D215/C215-1,"nm")</f>
        <v>0.240384615384615</v>
      </c>
      <c r="E216" s="54" t="n">
        <f aca="false">+IFERROR(E215/D215-1,"nm")</f>
        <v>-0.160206718346253</v>
      </c>
      <c r="F216" s="54" t="n">
        <f aca="false">+IFERROR(F215/E215-1,"nm")</f>
        <v>0.0246153846153847</v>
      </c>
      <c r="G216" s="54" t="n">
        <f aca="false">+IFERROR(G215/F215-1,"nm")</f>
        <v>0.0690690690690692</v>
      </c>
      <c r="H216" s="54" t="n">
        <f aca="false">+IFERROR(H215/G215-1,"nm")</f>
        <v>-0.699438202247191</v>
      </c>
      <c r="I216" s="54" t="n">
        <f aca="false">+IFERROR(I215/H215-1,"nm")</f>
        <v>-0.532710280373832</v>
      </c>
      <c r="J216" s="54" t="n">
        <f aca="false">+IFERROR(J215/I215-1,"nm")</f>
        <v>0</v>
      </c>
      <c r="K216" s="54" t="n">
        <f aca="false">+IFERROR(K215/J215-1,"nm")</f>
        <v>0</v>
      </c>
      <c r="L216" s="54" t="n">
        <f aca="false">+IFERROR(L215/K215-1,"nm")</f>
        <v>0</v>
      </c>
      <c r="M216" s="54" t="n">
        <f aca="false">+IFERROR(M215/L215-1,"nm")</f>
        <v>0</v>
      </c>
      <c r="N216" s="54" t="n">
        <f aca="false">+IFERROR(N215/M215-1,"nm")</f>
        <v>0</v>
      </c>
    </row>
    <row r="217" customFormat="false" ht="14.25" hidden="false" customHeight="false" outlineLevel="0" collapsed="false">
      <c r="A217" s="53" t="s">
        <v>147</v>
      </c>
      <c r="B217" s="54" t="n">
        <f aca="false">+IFERROR(B215/B$201,"nm")</f>
        <v>-1.75609756097561</v>
      </c>
      <c r="C217" s="54" t="n">
        <f aca="false">+IFERROR(C215/C$201,"nm")</f>
        <v>-3.62790697674419</v>
      </c>
      <c r="D217" s="54" t="n">
        <f aca="false">+IFERROR(D215/D$201,"nm")</f>
        <v>5.16</v>
      </c>
      <c r="E217" s="54" t="n">
        <f aca="false">+IFERROR(E215/E$201,"nm")</f>
        <v>12.5</v>
      </c>
      <c r="F217" s="54" t="n">
        <f aca="false">+IFERROR(F215/F$201,"nm")</f>
        <v>-47.5714285714286</v>
      </c>
      <c r="G217" s="54" t="n">
        <f aca="false">+IFERROR(G215/G$201,"nm")</f>
        <v>-32.3636363636364</v>
      </c>
      <c r="H217" s="54" t="n">
        <f aca="false">+IFERROR(H215/H$201,"nm")</f>
        <v>2.675</v>
      </c>
      <c r="I217" s="54" t="n">
        <f aca="false">+IFERROR(I215/I$201,"nm")</f>
        <v>-0.694444444444444</v>
      </c>
      <c r="J217" s="60" t="n">
        <f aca="false">+I217</f>
        <v>-0.694444444444444</v>
      </c>
      <c r="K217" s="60" t="n">
        <f aca="false">+J217</f>
        <v>-0.694444444444444</v>
      </c>
      <c r="L217" s="60" t="n">
        <f aca="false">+K217</f>
        <v>-0.694444444444444</v>
      </c>
      <c r="M217" s="60" t="n">
        <f aca="false">+L217</f>
        <v>-0.694444444444444</v>
      </c>
      <c r="N217" s="60" t="n">
        <f aca="false">+M217</f>
        <v>-0.694444444444444</v>
      </c>
    </row>
    <row r="218" customFormat="false" ht="14.25" hidden="false" customHeight="false" outlineLevel="0" collapsed="false">
      <c r="A218" s="15" t="s">
        <v>150</v>
      </c>
      <c r="B218" s="15" t="n">
        <f aca="false">+Historicals!B155</f>
        <v>713</v>
      </c>
      <c r="C218" s="15" t="n">
        <f aca="false">+Historicals!C155</f>
        <v>937</v>
      </c>
      <c r="D218" s="15" t="n">
        <f aca="false">+Historicals!D155</f>
        <v>1238</v>
      </c>
      <c r="E218" s="15" t="n">
        <f aca="false">+Historicals!E155</f>
        <v>1450</v>
      </c>
      <c r="F218" s="15" t="n">
        <f aca="false">+Historicals!F155</f>
        <v>1673</v>
      </c>
      <c r="G218" s="15" t="n">
        <f aca="false">+Historicals!G155</f>
        <v>1916</v>
      </c>
      <c r="H218" s="15" t="n">
        <f aca="false">+Historicals!H155</f>
        <v>1870</v>
      </c>
      <c r="I218" s="15" t="n">
        <f aca="false">+Historicals!I155</f>
        <v>1817</v>
      </c>
      <c r="J218" s="61" t="n">
        <f aca="false">+J201*J220</f>
        <v>1817</v>
      </c>
      <c r="K218" s="61" t="n">
        <f aca="false">+K201*K220</f>
        <v>1817</v>
      </c>
      <c r="L218" s="61" t="n">
        <f aca="false">+L201*L220</f>
        <v>1817</v>
      </c>
      <c r="M218" s="61" t="n">
        <f aca="false">+M201*M220</f>
        <v>1817</v>
      </c>
      <c r="N218" s="61" t="n">
        <f aca="false">+N201*N220</f>
        <v>1817</v>
      </c>
    </row>
    <row r="219" customFormat="false" ht="14.25" hidden="false" customHeight="false" outlineLevel="0" collapsed="false">
      <c r="A219" s="53" t="s">
        <v>143</v>
      </c>
      <c r="C219" s="54" t="n">
        <f aca="false">+IFERROR(C218/B218-1,"nm")</f>
        <v>0.314165497896213</v>
      </c>
      <c r="D219" s="54" t="n">
        <f aca="false">+IFERROR(D218/C218-1,"nm")</f>
        <v>0.321237993596585</v>
      </c>
      <c r="E219" s="54" t="n">
        <f aca="false">+IFERROR(E218/D218-1,"nm")</f>
        <v>0.17124394184168</v>
      </c>
      <c r="F219" s="54" t="n">
        <f aca="false">+IFERROR(F218/E218-1,"nm")</f>
        <v>0.153793103448276</v>
      </c>
      <c r="G219" s="54" t="n">
        <f aca="false">+IFERROR(G218/F218-1,"nm")</f>
        <v>0.145248057381949</v>
      </c>
      <c r="H219" s="54" t="n">
        <f aca="false">+IFERROR(H218/G218-1,"nm")</f>
        <v>-0.024008350730689</v>
      </c>
      <c r="I219" s="54" t="n">
        <f aca="false">+IFERROR(I218/H218-1,"nm")</f>
        <v>-0.0283422459893048</v>
      </c>
      <c r="J219" s="54" t="n">
        <f aca="false">+J220+J221</f>
        <v>-25.2361111111111</v>
      </c>
      <c r="K219" s="54" t="n">
        <f aca="false">+K220+K221</f>
        <v>-25.2361111111111</v>
      </c>
      <c r="L219" s="54" t="n">
        <f aca="false">+L220+L221</f>
        <v>-25.2361111111111</v>
      </c>
      <c r="M219" s="54" t="n">
        <f aca="false">+M220+M221</f>
        <v>-25.2361111111111</v>
      </c>
      <c r="N219" s="54" t="n">
        <f aca="false">+N220+N221</f>
        <v>-25.2361111111111</v>
      </c>
    </row>
    <row r="220" customFormat="false" ht="14.25" hidden="false" customHeight="false" outlineLevel="0" collapsed="false">
      <c r="A220" s="53" t="s">
        <v>147</v>
      </c>
      <c r="B220" s="54" t="n">
        <f aca="false">+IFERROR(B218/B$201,"nm")</f>
        <v>-8.69512195121951</v>
      </c>
      <c r="C220" s="54" t="n">
        <f aca="false">+IFERROR(C218/C$201,"nm")</f>
        <v>-10.8953488372093</v>
      </c>
      <c r="D220" s="54" t="n">
        <f aca="false">+IFERROR(D218/D$201,"nm")</f>
        <v>16.5066666666667</v>
      </c>
      <c r="E220" s="54" t="n">
        <f aca="false">+IFERROR(E218/E$201,"nm")</f>
        <v>55.7692307692308</v>
      </c>
      <c r="F220" s="54" t="n">
        <f aca="false">+IFERROR(F218/F$201,"nm")</f>
        <v>-239</v>
      </c>
      <c r="G220" s="54" t="n">
        <f aca="false">+IFERROR(G218/G$201,"nm")</f>
        <v>-174.181818181818</v>
      </c>
      <c r="H220" s="54" t="n">
        <f aca="false">+IFERROR(H218/H$201,"nm")</f>
        <v>46.75</v>
      </c>
      <c r="I220" s="54" t="n">
        <f aca="false">+IFERROR(I218/I$201,"nm")</f>
        <v>-25.2361111111111</v>
      </c>
      <c r="J220" s="60" t="n">
        <f aca="false">+I220</f>
        <v>-25.2361111111111</v>
      </c>
      <c r="K220" s="60" t="n">
        <f aca="false">+J220</f>
        <v>-25.2361111111111</v>
      </c>
      <c r="L220" s="60" t="n">
        <f aca="false">+K220</f>
        <v>-25.2361111111111</v>
      </c>
      <c r="M220" s="60" t="n">
        <f aca="false">+L220</f>
        <v>-25.2361111111111</v>
      </c>
      <c r="N220" s="60" t="n">
        <f aca="false">+M220</f>
        <v>-25.2361111111111</v>
      </c>
    </row>
    <row r="224" customFormat="false" ht="28.5" hidden="false" customHeight="false" outlineLevel="0" collapsed="false">
      <c r="A224" s="37" t="s">
        <v>135</v>
      </c>
      <c r="B224" s="38" t="n">
        <v>-40</v>
      </c>
      <c r="C224" s="38" t="n">
        <v>-48</v>
      </c>
      <c r="D224" s="38" t="n">
        <v>-96</v>
      </c>
      <c r="E224" s="38" t="n">
        <v>-166</v>
      </c>
      <c r="F224" s="38" t="n">
        <v>44</v>
      </c>
      <c r="G224" s="39" t="n">
        <v>-38</v>
      </c>
      <c r="H224" s="38" t="n">
        <v>-96</v>
      </c>
      <c r="I224" s="12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9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46" activeCellId="0" sqref="B46"/>
    </sheetView>
  </sheetViews>
  <sheetFormatPr defaultColWidth="8.5625" defaultRowHeight="13.8" zeroHeight="false" outlineLevelRow="0" outlineLevelCol="0"/>
  <cols>
    <col collapsed="false" customWidth="true" hidden="false" outlineLevel="0" max="1" min="1" style="9" width="48.78"/>
    <col collapsed="false" customWidth="true" hidden="false" outlineLevel="0" max="14" min="2" style="9" width="11.77"/>
    <col collapsed="false" customWidth="true" hidden="false" outlineLevel="0" max="23" min="23" style="9" width="8.63"/>
    <col collapsed="false" customWidth="true" hidden="false" outlineLevel="0" max="24" min="24" style="9" width="132.79"/>
    <col collapsed="false" customWidth="false" hidden="false" outlineLevel="0" max="25" min="25" style="9" width="8.58"/>
    <col collapsed="false" customWidth="true" hidden="false" outlineLevel="0" max="16384" min="16382" style="9" width="11.53"/>
  </cols>
  <sheetData>
    <row r="1" customFormat="false" ht="60" hidden="false" customHeight="true" outlineLevel="0" collapsed="false">
      <c r="A1" s="10" t="s">
        <v>7</v>
      </c>
      <c r="B1" s="11" t="n">
        <f aca="false">+C1-1</f>
        <v>2015</v>
      </c>
      <c r="C1" s="11" t="n">
        <f aca="false">+D1-1</f>
        <v>2016</v>
      </c>
      <c r="D1" s="11" t="n">
        <f aca="false">+E1-1</f>
        <v>2017</v>
      </c>
      <c r="E1" s="11" t="n">
        <f aca="false">+F1-1</f>
        <v>2018</v>
      </c>
      <c r="F1" s="11" t="n">
        <f aca="false">+G1-1</f>
        <v>2019</v>
      </c>
      <c r="G1" s="11" t="n">
        <f aca="false">+H1-1</f>
        <v>2020</v>
      </c>
      <c r="H1" s="11" t="n">
        <f aca="false">+I1-1</f>
        <v>2021</v>
      </c>
      <c r="I1" s="11" t="n">
        <v>2022</v>
      </c>
      <c r="J1" s="51" t="n">
        <f aca="false">+I1+1</f>
        <v>2023</v>
      </c>
      <c r="K1" s="51" t="n">
        <f aca="false">+J1+1</f>
        <v>2024</v>
      </c>
      <c r="L1" s="51" t="n">
        <f aca="false">+K1+1</f>
        <v>2025</v>
      </c>
      <c r="M1" s="51" t="n">
        <f aca="false">+L1+1</f>
        <v>2026</v>
      </c>
      <c r="N1" s="51" t="n">
        <f aca="false">+M1+1</f>
        <v>2027</v>
      </c>
      <c r="X1" s="63" t="s">
        <v>155</v>
      </c>
    </row>
    <row r="2" customFormat="false" ht="13.8" hidden="false" customHeight="false" outlineLevel="0" collapsed="false">
      <c r="A2" s="52" t="s">
        <v>156</v>
      </c>
      <c r="B2" s="52"/>
      <c r="C2" s="52"/>
      <c r="D2" s="52"/>
      <c r="E2" s="52"/>
      <c r="F2" s="52"/>
      <c r="G2" s="52"/>
      <c r="H2" s="52"/>
      <c r="I2" s="52"/>
      <c r="J2" s="64"/>
      <c r="K2" s="64"/>
      <c r="L2" s="64"/>
      <c r="M2" s="64"/>
      <c r="N2" s="64"/>
      <c r="O2" s="65" t="s">
        <v>157</v>
      </c>
      <c r="P2" s="66" t="n">
        <v>2015</v>
      </c>
      <c r="Q2" s="66" t="n">
        <v>2016</v>
      </c>
      <c r="R2" s="66" t="n">
        <v>2017</v>
      </c>
      <c r="S2" s="66" t="n">
        <v>2018</v>
      </c>
      <c r="T2" s="66" t="n">
        <v>2019</v>
      </c>
      <c r="U2" s="66" t="n">
        <v>2020</v>
      </c>
      <c r="V2" s="66" t="n">
        <v>2021</v>
      </c>
      <c r="W2" s="67" t="n">
        <v>2022</v>
      </c>
      <c r="X2" s="68"/>
    </row>
    <row r="3" customFormat="false" ht="13.8" hidden="false" customHeight="false" outlineLevel="0" collapsed="false">
      <c r="A3" s="8" t="s">
        <v>151</v>
      </c>
      <c r="B3" s="15" t="n">
        <f aca="false">'Segmental forecast'!B3</f>
        <v>30601</v>
      </c>
      <c r="C3" s="15" t="n">
        <f aca="false">'Segmental forecast'!C3</f>
        <v>32376</v>
      </c>
      <c r="D3" s="15" t="n">
        <f aca="false">'Segmental forecast'!D3</f>
        <v>34350</v>
      </c>
      <c r="E3" s="15" t="n">
        <f aca="false">'Segmental forecast'!E3</f>
        <v>36397</v>
      </c>
      <c r="F3" s="15" t="n">
        <f aca="false">'Segmental forecast'!F3</f>
        <v>39117</v>
      </c>
      <c r="G3" s="15" t="n">
        <f aca="false">'Segmental forecast'!G3</f>
        <v>37403</v>
      </c>
      <c r="H3" s="15" t="n">
        <f aca="false">'Segmental forecast'!H3</f>
        <v>44538</v>
      </c>
      <c r="I3" s="69" t="n">
        <f aca="false">'Segmental forecast'!I3</f>
        <v>46710</v>
      </c>
      <c r="J3" s="15" t="n">
        <f aca="false">I3*(1+I4)</f>
        <v>48987.9226727738</v>
      </c>
      <c r="K3" s="15" t="n">
        <f aca="false">J3*(1+J4)</f>
        <v>51376.9335858203</v>
      </c>
      <c r="L3" s="15" t="n">
        <f aca="false">K3*(1+K4)</f>
        <v>53882.4502176494</v>
      </c>
      <c r="M3" s="15" t="n">
        <f aca="false">L3*(1+L4)</f>
        <v>56510.1542428129</v>
      </c>
      <c r="N3" s="15" t="n">
        <f aca="false">M3*(1+M4)</f>
        <v>59266.0044160445</v>
      </c>
      <c r="O3" s="70"/>
      <c r="P3" s="54"/>
      <c r="Q3" s="54"/>
      <c r="R3" s="54"/>
      <c r="S3" s="54"/>
      <c r="T3" s="54"/>
      <c r="U3" s="54"/>
      <c r="V3" s="54"/>
      <c r="W3" s="71"/>
      <c r="X3" s="68"/>
      <c r="Y3" s="72"/>
    </row>
    <row r="4" customFormat="false" ht="13.8" hidden="false" customHeight="false" outlineLevel="0" collapsed="false">
      <c r="A4" s="53" t="s">
        <v>143</v>
      </c>
      <c r="B4" s="54" t="n">
        <f aca="false">+IFERROR(B3/Historicals!K2-1,"nm")</f>
        <v>0.100794992625634</v>
      </c>
      <c r="C4" s="54" t="n">
        <f aca="false">+IFERROR(C3/B3-1,"nm")</f>
        <v>0.0580046403712298</v>
      </c>
      <c r="D4" s="54" t="n">
        <f aca="false">+IFERROR(D3/C3-1,"nm")</f>
        <v>0.0609710896960711</v>
      </c>
      <c r="E4" s="54" t="n">
        <f aca="false">+IFERROR(E3/D3-1,"nm")</f>
        <v>0.0595924308588065</v>
      </c>
      <c r="F4" s="54" t="n">
        <f aca="false">+IFERROR(F3/E3-1,"nm")</f>
        <v>0.0747314339093881</v>
      </c>
      <c r="G4" s="54" t="n">
        <f aca="false">+IFERROR(G3/F3-1,"nm")</f>
        <v>-0.0438172661502672</v>
      </c>
      <c r="H4" s="54" t="n">
        <f aca="false">+IFERROR(H3/G3-1,"nm")</f>
        <v>0.190760099457263</v>
      </c>
      <c r="I4" s="71" t="n">
        <f aca="false">+IFERROR(I3/H3-1,"nm")</f>
        <v>0.0487673447393238</v>
      </c>
      <c r="J4" s="54" t="n">
        <f aca="false">+IFERROR(J3/I3-1,"nm")</f>
        <v>0.0487673447393238</v>
      </c>
      <c r="K4" s="54" t="n">
        <f aca="false">+IFERROR(K3/J3-1,"nm")</f>
        <v>0.0487673447393238</v>
      </c>
      <c r="L4" s="54" t="n">
        <f aca="false">+IFERROR(L3/K3-1,"nm")</f>
        <v>0.0487673447393238</v>
      </c>
      <c r="M4" s="54" t="n">
        <f aca="false">+IFERROR(M3/L3-1,"nm")</f>
        <v>0.0487673447393238</v>
      </c>
      <c r="N4" s="54" t="n">
        <f aca="false">+IFERROR(N3/M3-1,"nm")</f>
        <v>0.0487673447393238</v>
      </c>
      <c r="O4" s="73"/>
      <c r="V4" s="74"/>
      <c r="W4" s="68"/>
      <c r="X4" s="68"/>
      <c r="Y4" s="75"/>
    </row>
    <row r="5" customFormat="false" ht="13.8" hidden="false" customHeight="false" outlineLevel="0" collapsed="false">
      <c r="A5" s="8" t="s">
        <v>144</v>
      </c>
      <c r="B5" s="21" t="n">
        <f aca="false">'Segmental forecast'!B5</f>
        <v>4839</v>
      </c>
      <c r="C5" s="15" t="n">
        <f aca="false">'Segmental forecast'!C5</f>
        <v>5291</v>
      </c>
      <c r="D5" s="15" t="n">
        <f aca="false">'Segmental forecast'!D5</f>
        <v>5651</v>
      </c>
      <c r="E5" s="15" t="n">
        <f aca="false">'Segmental forecast'!E5</f>
        <v>5126</v>
      </c>
      <c r="F5" s="15" t="n">
        <f aca="false">'Segmental forecast'!F5</f>
        <v>5555</v>
      </c>
      <c r="G5" s="15" t="n">
        <f aca="false">'Segmental forecast'!G5</f>
        <v>3697</v>
      </c>
      <c r="H5" s="15" t="n">
        <f aca="false">'Segmental forecast'!H5</f>
        <v>7667</v>
      </c>
      <c r="I5" s="69" t="n">
        <f aca="false">'Segmental forecast'!I5</f>
        <v>7573</v>
      </c>
      <c r="J5" s="15" t="n">
        <f aca="false">I5*(1+I4)</f>
        <v>7942.3151017109</v>
      </c>
      <c r="K5" s="15" t="n">
        <f aca="false">J5*(1+J4)</f>
        <v>8329.64072030437</v>
      </c>
      <c r="L5" s="15" t="n">
        <f aca="false">K5*(1+K4)</f>
        <v>8735.85518086616</v>
      </c>
      <c r="M5" s="15" t="n">
        <f aca="false">L5*(1+L4)</f>
        <v>9161.87964206427</v>
      </c>
      <c r="N5" s="15" t="n">
        <f aca="false">M5*(1+M4)</f>
        <v>9608.68018502901</v>
      </c>
      <c r="O5" s="73"/>
      <c r="P5" s="76"/>
      <c r="V5" s="74"/>
      <c r="W5" s="68"/>
      <c r="X5" s="68"/>
      <c r="Y5" s="75"/>
    </row>
    <row r="6" customFormat="false" ht="13.8" hidden="false" customHeight="false" outlineLevel="0" collapsed="false">
      <c r="A6" s="77" t="s">
        <v>146</v>
      </c>
      <c r="B6" s="15" t="n">
        <f aca="false">'Segmental forecast'!B8</f>
        <v>606</v>
      </c>
      <c r="C6" s="15" t="n">
        <f aca="false">'Segmental forecast'!C8</f>
        <v>649</v>
      </c>
      <c r="D6" s="15" t="n">
        <f aca="false">'Segmental forecast'!D8</f>
        <v>706</v>
      </c>
      <c r="E6" s="15" t="n">
        <f aca="false">'Segmental forecast'!E8</f>
        <v>747</v>
      </c>
      <c r="F6" s="15" t="n">
        <f aca="false">'Segmental forecast'!F8</f>
        <v>705</v>
      </c>
      <c r="G6" s="15" t="n">
        <f aca="false">'Segmental forecast'!G8</f>
        <v>721</v>
      </c>
      <c r="H6" s="15" t="n">
        <f aca="false">'Segmental forecast'!H8</f>
        <v>744</v>
      </c>
      <c r="I6" s="69" t="n">
        <f aca="false">'Segmental forecast'!I8</f>
        <v>717</v>
      </c>
      <c r="J6" s="15" t="n">
        <f aca="false">I6*(1+I4)</f>
        <v>751.966186178095</v>
      </c>
      <c r="K6" s="15" t="n">
        <f aca="false">J6*(1+J4)</f>
        <v>788.637580411757</v>
      </c>
      <c r="L6" s="15" t="n">
        <f aca="false">K6*(1+K4)</f>
        <v>827.097341170083</v>
      </c>
      <c r="M6" s="15" t="n">
        <f aca="false">L6*(1+L4)</f>
        <v>867.432682339903</v>
      </c>
      <c r="N6" s="15" t="n">
        <f aca="false">M6*(1+M4)</f>
        <v>909.735070997729</v>
      </c>
      <c r="O6" s="73"/>
      <c r="V6" s="74"/>
      <c r="W6" s="68"/>
      <c r="X6" s="68"/>
      <c r="Y6" s="75"/>
    </row>
    <row r="7" customFormat="false" ht="13.8" hidden="false" customHeight="false" outlineLevel="0" collapsed="false">
      <c r="A7" s="20" t="s">
        <v>148</v>
      </c>
      <c r="B7" s="21" t="n">
        <f aca="false">'Segmental forecast'!B11</f>
        <v>4233</v>
      </c>
      <c r="C7" s="21" t="n">
        <f aca="false">'Segmental forecast'!C11</f>
        <v>4642</v>
      </c>
      <c r="D7" s="21" t="n">
        <f aca="false">'Segmental forecast'!D11</f>
        <v>4945</v>
      </c>
      <c r="E7" s="21" t="n">
        <f aca="false">'Segmental forecast'!E11</f>
        <v>4379</v>
      </c>
      <c r="F7" s="21" t="n">
        <f aca="false">'Segmental forecast'!F11</f>
        <v>4850</v>
      </c>
      <c r="G7" s="21" t="n">
        <f aca="false">'Segmental forecast'!G11</f>
        <v>2976</v>
      </c>
      <c r="H7" s="21" t="n">
        <f aca="false">'Segmental forecast'!H11</f>
        <v>6923</v>
      </c>
      <c r="I7" s="78" t="n">
        <f aca="false">'Segmental forecast'!I11</f>
        <v>6856</v>
      </c>
      <c r="J7" s="21" t="n">
        <f aca="false">I7*(1+I4)</f>
        <v>7190.3489155328</v>
      </c>
      <c r="K7" s="21" t="n">
        <f aca="false">J7*(1+J4)</f>
        <v>7541.00313989261</v>
      </c>
      <c r="L7" s="21" t="n">
        <f aca="false">K7*(1+K4)</f>
        <v>7908.75783969608</v>
      </c>
      <c r="M7" s="21" t="n">
        <f aca="false">L7*(1+L4)</f>
        <v>8294.44695972437</v>
      </c>
      <c r="N7" s="21" t="n">
        <f aca="false">M7*(1+M4)</f>
        <v>8698.94511403128</v>
      </c>
      <c r="O7" s="79"/>
      <c r="P7" s="54"/>
      <c r="Q7" s="54"/>
      <c r="R7" s="54"/>
      <c r="S7" s="54"/>
      <c r="T7" s="54"/>
      <c r="U7" s="54"/>
      <c r="V7" s="54"/>
      <c r="W7" s="71"/>
      <c r="X7" s="68"/>
      <c r="Y7" s="75"/>
    </row>
    <row r="8" customFormat="false" ht="13.8" hidden="false" customHeight="false" outlineLevel="0" collapsed="false">
      <c r="A8" s="53" t="s">
        <v>143</v>
      </c>
      <c r="B8" s="54" t="n">
        <f aca="false">+IFERROR(B7/Historicals!K10-1,"nm")</f>
        <v>0.183393905507409</v>
      </c>
      <c r="C8" s="54" t="n">
        <f aca="false">+IFERROR(C7/B7-1,"nm")</f>
        <v>0.0966217812426176</v>
      </c>
      <c r="D8" s="54" t="n">
        <f aca="false">+IFERROR(D7/C7-1,"nm")</f>
        <v>0.0652735889702714</v>
      </c>
      <c r="E8" s="54" t="n">
        <f aca="false">+IFERROR(E7/D7-1,"nm")</f>
        <v>-0.114459049544995</v>
      </c>
      <c r="F8" s="54" t="n">
        <f aca="false">+IFERROR(F7/E7-1,"nm")</f>
        <v>0.107558803379767</v>
      </c>
      <c r="G8" s="54" t="n">
        <f aca="false">+IFERROR(G7/F7-1,"nm")</f>
        <v>-0.38639175257732</v>
      </c>
      <c r="H8" s="54" t="n">
        <f aca="false">+IFERROR(H7/G7-1,"nm")</f>
        <v>1.32627688172043</v>
      </c>
      <c r="I8" s="71" t="n">
        <f aca="false">+IFERROR(I7/H7-1,"nm")</f>
        <v>-0.00967788530983682</v>
      </c>
      <c r="J8" s="54" t="n">
        <f aca="false">+IFERROR(J7/I7-1,"nm")</f>
        <v>0.0487673447393238</v>
      </c>
      <c r="K8" s="54" t="n">
        <f aca="false">+IFERROR(K7/J7-1,"nm")</f>
        <v>0.0487673447393238</v>
      </c>
      <c r="L8" s="54" t="n">
        <f aca="false">+IFERROR(L7/K7-1,"nm")</f>
        <v>0.0487673447393238</v>
      </c>
      <c r="M8" s="54" t="n">
        <f aca="false">+IFERROR(M7/L7-1,"nm")</f>
        <v>0.0487673447393238</v>
      </c>
      <c r="N8" s="54" t="n">
        <f aca="false">+IFERROR(N7/M7-1,"nm")</f>
        <v>0.0487673447393238</v>
      </c>
      <c r="O8" s="73"/>
      <c r="V8" s="74"/>
      <c r="W8" s="68"/>
      <c r="X8" s="68"/>
      <c r="Y8" s="80"/>
    </row>
    <row r="9" customFormat="false" ht="13.8" hidden="false" customHeight="false" outlineLevel="0" collapsed="false">
      <c r="A9" s="53" t="s">
        <v>145</v>
      </c>
      <c r="B9" s="54" t="n">
        <f aca="false">+IFERROR(B7/B$3,"nm")</f>
        <v>0.138328812783896</v>
      </c>
      <c r="C9" s="54" t="n">
        <f aca="false">+IFERROR(C7/C$3,"nm")</f>
        <v>0.143377810723993</v>
      </c>
      <c r="D9" s="54" t="n">
        <f aca="false">+IFERROR(D7/D$3,"nm")</f>
        <v>0.143959243085881</v>
      </c>
      <c r="E9" s="54" t="n">
        <f aca="false">+IFERROR(E7/E$3,"nm")</f>
        <v>0.120312113635739</v>
      </c>
      <c r="F9" s="54" t="n">
        <f aca="false">+IFERROR(F7/F$3,"nm")</f>
        <v>0.123987013319017</v>
      </c>
      <c r="G9" s="54" t="n">
        <f aca="false">+IFERROR(G7/G$3,"nm")</f>
        <v>0.079565810229126</v>
      </c>
      <c r="H9" s="54" t="n">
        <f aca="false">+IFERROR(H7/H$3,"nm")</f>
        <v>0.155440298172347</v>
      </c>
      <c r="I9" s="71" t="n">
        <f aca="false">+IFERROR(I7/I$3,"nm")</f>
        <v>0.146777991864697</v>
      </c>
      <c r="J9" s="54" t="n">
        <f aca="false">+IFERROR(J7/J$3,"nm")</f>
        <v>0.146777991864697</v>
      </c>
      <c r="K9" s="54" t="n">
        <f aca="false">+IFERROR(K7/K$3,"nm")</f>
        <v>0.146777991864697</v>
      </c>
      <c r="L9" s="54" t="n">
        <f aca="false">+IFERROR(L7/L$3,"nm")</f>
        <v>0.146777991864697</v>
      </c>
      <c r="M9" s="54" t="n">
        <f aca="false">+IFERROR(M7/M$3,"nm")</f>
        <v>0.146777991864697</v>
      </c>
      <c r="N9" s="54" t="n">
        <f aca="false">+IFERROR(N7/N$3,"nm")</f>
        <v>0.146777991864697</v>
      </c>
      <c r="O9" s="73"/>
      <c r="V9" s="74"/>
      <c r="W9" s="68"/>
      <c r="X9" s="68"/>
      <c r="Y9" s="75"/>
    </row>
    <row r="10" customFormat="false" ht="13.8" hidden="false" customHeight="false" outlineLevel="0" collapsed="false">
      <c r="A10" s="19" t="s">
        <v>14</v>
      </c>
      <c r="B10" s="15" t="n">
        <f aca="false">+Historicals!B8</f>
        <v>28</v>
      </c>
      <c r="C10" s="15" t="n">
        <f aca="false">+Historicals!C8</f>
        <v>19</v>
      </c>
      <c r="D10" s="15" t="n">
        <f aca="false">+Historicals!D8</f>
        <v>59</v>
      </c>
      <c r="E10" s="15" t="n">
        <f aca="false">+Historicals!E8</f>
        <v>54</v>
      </c>
      <c r="F10" s="15" t="n">
        <f aca="false">+Historicals!F8</f>
        <v>49</v>
      </c>
      <c r="G10" s="15" t="n">
        <f aca="false">+Historicals!G8</f>
        <v>89</v>
      </c>
      <c r="H10" s="15" t="n">
        <f aca="false">+Historicals!H8</f>
        <v>262</v>
      </c>
      <c r="I10" s="69" t="n">
        <f aca="false">+Historicals!I8</f>
        <v>205</v>
      </c>
      <c r="J10" s="15" t="n">
        <f aca="false">I10*(1+I4)</f>
        <v>214.997305671561</v>
      </c>
      <c r="K10" s="15" t="n">
        <f aca="false">J10*(1+J4)</f>
        <v>225.482153395272</v>
      </c>
      <c r="L10" s="15" t="n">
        <f aca="false">K10*(1+K4)</f>
        <v>236.478319302464</v>
      </c>
      <c r="M10" s="15" t="n">
        <f aca="false">L10*(1+L4)</f>
        <v>248.010739023264</v>
      </c>
      <c r="N10" s="69" t="n">
        <f aca="false">M10*(1+M4)</f>
        <v>260.105564232266</v>
      </c>
      <c r="V10" s="74"/>
      <c r="W10" s="68"/>
      <c r="X10" s="68"/>
    </row>
    <row r="11" customFormat="false" ht="13.8" hidden="false" customHeight="false" outlineLevel="0" collapsed="false">
      <c r="A11" s="20" t="s">
        <v>158</v>
      </c>
      <c r="B11" s="21" t="n">
        <f aca="false">+Historicals!B10</f>
        <v>4205</v>
      </c>
      <c r="C11" s="21" t="n">
        <f aca="false">+Historicals!C10</f>
        <v>4623</v>
      </c>
      <c r="D11" s="21" t="n">
        <f aca="false">+Historicals!D10</f>
        <v>4886</v>
      </c>
      <c r="E11" s="21" t="n">
        <f aca="false">+Historicals!E10</f>
        <v>4325</v>
      </c>
      <c r="F11" s="21" t="n">
        <f aca="false">+Historicals!F10</f>
        <v>4801</v>
      </c>
      <c r="G11" s="21" t="n">
        <f aca="false">+Historicals!G10</f>
        <v>2887</v>
      </c>
      <c r="H11" s="21" t="n">
        <f aca="false">+Historicals!H10</f>
        <v>6661</v>
      </c>
      <c r="I11" s="78" t="n">
        <f aca="false">+Historicals!I10</f>
        <v>6651</v>
      </c>
      <c r="J11" s="21" t="n">
        <f aca="false">I11*(1+I4)</f>
        <v>6975.35160986124</v>
      </c>
      <c r="K11" s="21" t="n">
        <f aca="false">J11*(1+J4)</f>
        <v>7315.52098649734</v>
      </c>
      <c r="L11" s="21" t="n">
        <f aca="false">K11*(1+K4)</f>
        <v>7672.27952039362</v>
      </c>
      <c r="M11" s="21" t="n">
        <f aca="false">L11*(1+L4)</f>
        <v>8046.43622070111</v>
      </c>
      <c r="N11" s="78" t="n">
        <f aca="false">M11*(1+M4)</f>
        <v>8438.83954979902</v>
      </c>
      <c r="O11" s="73"/>
      <c r="V11" s="74"/>
      <c r="W11" s="68"/>
      <c r="X11" s="68"/>
      <c r="Y11" s="72"/>
    </row>
    <row r="12" customFormat="false" ht="13.8" hidden="false" customHeight="false" outlineLevel="0" collapsed="false">
      <c r="A12" s="9" t="s">
        <v>17</v>
      </c>
      <c r="B12" s="15" t="n">
        <f aca="false">+Historicals!B11</f>
        <v>932</v>
      </c>
      <c r="C12" s="15" t="n">
        <f aca="false">+Historicals!C11</f>
        <v>863</v>
      </c>
      <c r="D12" s="15" t="n">
        <f aca="false">+Historicals!D11</f>
        <v>646</v>
      </c>
      <c r="E12" s="15" t="n">
        <f aca="false">+Historicals!E11</f>
        <v>2392</v>
      </c>
      <c r="F12" s="15" t="n">
        <f aca="false">+Historicals!F11</f>
        <v>772</v>
      </c>
      <c r="G12" s="15" t="n">
        <f aca="false">+Historicals!G11</f>
        <v>348</v>
      </c>
      <c r="H12" s="15" t="n">
        <f aca="false">+Historicals!H11</f>
        <v>934</v>
      </c>
      <c r="I12" s="69" t="n">
        <f aca="false">+Historicals!I11</f>
        <v>605</v>
      </c>
      <c r="J12" s="15" t="n">
        <f aca="false">I12*(1+P12)</f>
        <v>974.05</v>
      </c>
      <c r="K12" s="15" t="n">
        <f aca="false">J12*(1+O12)</f>
        <v>1021.77845</v>
      </c>
      <c r="L12" s="15" t="n">
        <f aca="false">K12*(1+O12)</f>
        <v>1071.84559405</v>
      </c>
      <c r="M12" s="15" t="n">
        <f aca="false">L12*(1+O12)</f>
        <v>1124.36602815845</v>
      </c>
      <c r="N12" s="69" t="n">
        <f aca="false">M12*(1+O12)</f>
        <v>1179.45996353821</v>
      </c>
      <c r="O12" s="81" t="n">
        <v>0.049</v>
      </c>
      <c r="P12" s="82" t="n">
        <v>0.61</v>
      </c>
      <c r="Q12" s="83" t="s">
        <v>159</v>
      </c>
      <c r="R12" s="82"/>
      <c r="V12" s="74"/>
      <c r="W12" s="68"/>
      <c r="X12" s="68"/>
      <c r="Y12" s="75"/>
    </row>
    <row r="13" customFormat="false" ht="13.8" hidden="false" customHeight="false" outlineLevel="0" collapsed="false">
      <c r="A13" s="84" t="s">
        <v>160</v>
      </c>
      <c r="B13" s="85" t="n">
        <f aca="false">B12/B11</f>
        <v>0.221640903686088</v>
      </c>
      <c r="C13" s="85" t="n">
        <f aca="false">C12/C11</f>
        <v>0.186675319056889</v>
      </c>
      <c r="D13" s="85" t="n">
        <f aca="false">D12/D11</f>
        <v>0.13221449038068</v>
      </c>
      <c r="E13" s="85" t="n">
        <f aca="false">E12/E11</f>
        <v>0.553063583815029</v>
      </c>
      <c r="F13" s="85" t="n">
        <f aca="false">F12/F11</f>
        <v>0.160799833368048</v>
      </c>
      <c r="G13" s="85" t="n">
        <f aca="false">G12/G11</f>
        <v>0.120540353307932</v>
      </c>
      <c r="H13" s="85" t="n">
        <f aca="false">H12/H11</f>
        <v>0.140219186308362</v>
      </c>
      <c r="I13" s="86" t="n">
        <f aca="false">I12/I11</f>
        <v>0.0909637648473914</v>
      </c>
      <c r="J13" s="87" t="n">
        <f aca="false">J12/J11</f>
        <v>0.139641706179078</v>
      </c>
      <c r="K13" s="87" t="n">
        <f aca="false">K12/K11</f>
        <v>0.139672683857507</v>
      </c>
      <c r="L13" s="87" t="n">
        <f aca="false">L12/L11</f>
        <v>0.139703668407927</v>
      </c>
      <c r="M13" s="87" t="n">
        <f aca="false">M12/M11</f>
        <v>0.139734659831863</v>
      </c>
      <c r="N13" s="88" t="n">
        <f aca="false">N12/N11</f>
        <v>0.139765658130839</v>
      </c>
      <c r="O13" s="89"/>
      <c r="P13" s="89"/>
      <c r="Q13" s="89"/>
      <c r="R13" s="90"/>
      <c r="S13" s="89"/>
      <c r="T13" s="89"/>
      <c r="U13" s="89"/>
      <c r="V13" s="89"/>
      <c r="W13" s="91"/>
      <c r="X13" s="92" t="s">
        <v>161</v>
      </c>
      <c r="Y13" s="93"/>
    </row>
    <row r="14" customFormat="false" ht="13.8" hidden="false" customHeight="false" outlineLevel="0" collapsed="false">
      <c r="A14" s="9" t="s">
        <v>162</v>
      </c>
      <c r="B14" s="94" t="n">
        <f aca="false">B52</f>
        <v>53</v>
      </c>
      <c r="C14" s="94" t="n">
        <f aca="false">C52</f>
        <v>70</v>
      </c>
      <c r="D14" s="94" t="n">
        <f aca="false">D52</f>
        <v>98</v>
      </c>
      <c r="E14" s="94" t="n">
        <f aca="false">E52</f>
        <v>125</v>
      </c>
      <c r="F14" s="94" t="n">
        <f aca="false">F52</f>
        <v>153</v>
      </c>
      <c r="G14" s="94" t="n">
        <f aca="false">G52</f>
        <v>140</v>
      </c>
      <c r="H14" s="94" t="n">
        <f aca="false">H52</f>
        <v>293</v>
      </c>
      <c r="I14" s="95" t="n">
        <f aca="false">I52</f>
        <v>290</v>
      </c>
      <c r="J14" s="94" t="n">
        <f aca="false">J52</f>
        <v>376.960525617199</v>
      </c>
      <c r="K14" s="94" t="n">
        <f aca="false">K52</f>
        <v>327.884095820303</v>
      </c>
      <c r="L14" s="94" t="n">
        <f aca="false">L52</f>
        <v>298.326320634896</v>
      </c>
      <c r="M14" s="94" t="n">
        <f aca="false">M52</f>
        <v>273.272348729384</v>
      </c>
      <c r="N14" s="95" t="n">
        <f aca="false">N52</f>
        <v>252.15038213303</v>
      </c>
      <c r="R14" s="76"/>
      <c r="V14" s="74"/>
      <c r="W14" s="68"/>
      <c r="X14" s="96" t="s">
        <v>163</v>
      </c>
      <c r="Y14" s="93"/>
    </row>
    <row r="15" customFormat="false" ht="13.8" hidden="false" customHeight="false" outlineLevel="0" collapsed="false">
      <c r="A15" s="22" t="s">
        <v>164</v>
      </c>
      <c r="B15" s="97" t="n">
        <f aca="false">B11-B12+B14</f>
        <v>3326</v>
      </c>
      <c r="C15" s="97" t="n">
        <f aca="false">C11-C12+C14</f>
        <v>3830</v>
      </c>
      <c r="D15" s="97" t="n">
        <f aca="false">D11-D12+D14</f>
        <v>4338</v>
      </c>
      <c r="E15" s="97" t="n">
        <f aca="false">E11-E12+E14</f>
        <v>2058</v>
      </c>
      <c r="F15" s="97" t="n">
        <f aca="false">F11-F12+F14</f>
        <v>4182</v>
      </c>
      <c r="G15" s="97" t="n">
        <f aca="false">G11-G12+G14</f>
        <v>2679</v>
      </c>
      <c r="H15" s="97" t="n">
        <f aca="false">H11-H12+H14</f>
        <v>6020</v>
      </c>
      <c r="I15" s="98" t="n">
        <f aca="false">I11-I12+I14</f>
        <v>6336</v>
      </c>
      <c r="J15" s="97" t="n">
        <f aca="false">J11-J12+J14</f>
        <v>6378.26213547844</v>
      </c>
      <c r="K15" s="97" t="n">
        <f aca="false">K11-K12+K14</f>
        <v>6621.62663231765</v>
      </c>
      <c r="L15" s="97" t="n">
        <f aca="false">L11-L12+L14</f>
        <v>6898.76024697851</v>
      </c>
      <c r="M15" s="97" t="n">
        <f aca="false">M11-M12+M14</f>
        <v>7195.34254127204</v>
      </c>
      <c r="N15" s="97" t="n">
        <f aca="false">N11-N12+N14</f>
        <v>7511.52996839383</v>
      </c>
      <c r="O15" s="73"/>
      <c r="Q15" s="99"/>
      <c r="V15" s="74"/>
      <c r="W15" s="68"/>
      <c r="X15" s="68"/>
      <c r="Y15" s="100"/>
    </row>
    <row r="16" customFormat="false" ht="13.8" hidden="false" customHeight="false" outlineLevel="0" collapsed="false">
      <c r="A16" s="9" t="s">
        <v>165</v>
      </c>
      <c r="B16" s="94" t="n">
        <f aca="false">+Historicals!B18</f>
        <v>1768.8</v>
      </c>
      <c r="C16" s="94" t="n">
        <f aca="false">+Historicals!C18</f>
        <v>1742.5</v>
      </c>
      <c r="D16" s="94" t="n">
        <f aca="false">+Historicals!D18</f>
        <v>1692</v>
      </c>
      <c r="E16" s="94" t="n">
        <f aca="false">+Historicals!E18</f>
        <v>1659.1</v>
      </c>
      <c r="F16" s="94" t="n">
        <f aca="false">+Historicals!F18</f>
        <v>1618.4</v>
      </c>
      <c r="G16" s="94" t="n">
        <f aca="false">+Historicals!G18</f>
        <v>1591.6</v>
      </c>
      <c r="H16" s="94" t="n">
        <f aca="false">+Historicals!H18</f>
        <v>1609.4</v>
      </c>
      <c r="I16" s="95" t="n">
        <f aca="false">+Historicals!I18</f>
        <v>1610.8</v>
      </c>
      <c r="J16" s="94" t="n">
        <f aca="false">(I16+(J72/B87))</f>
        <v>1582.5382751927</v>
      </c>
      <c r="K16" s="94" t="n">
        <f aca="false">(J16+(K72/B87))</f>
        <v>1555.94023217882</v>
      </c>
      <c r="L16" s="94" t="n">
        <f aca="false">(K16+(L72/B87))</f>
        <v>1531.24305342413</v>
      </c>
      <c r="M16" s="94" t="n">
        <f aca="false">(L16+(M72/B87))</f>
        <v>1508.71773526571</v>
      </c>
      <c r="N16" s="94" t="n">
        <f aca="false">(M16+(N72/B87))</f>
        <v>1488.67390857984</v>
      </c>
      <c r="O16" s="73"/>
      <c r="V16" s="74"/>
      <c r="W16" s="68"/>
      <c r="X16" s="68"/>
      <c r="Y16" s="100"/>
    </row>
    <row r="17" customFormat="false" ht="13.8" hidden="false" customHeight="false" outlineLevel="0" collapsed="false">
      <c r="A17" s="9" t="s">
        <v>166</v>
      </c>
      <c r="B17" s="101" t="n">
        <f aca="false">+Historicals!B14</f>
        <v>1.9</v>
      </c>
      <c r="C17" s="101" t="n">
        <f aca="false">+Historicals!C14</f>
        <v>2.21</v>
      </c>
      <c r="D17" s="101" t="n">
        <f aca="false">+Historicals!D14</f>
        <v>2.56</v>
      </c>
      <c r="E17" s="101" t="n">
        <f aca="false">+Historicals!E14</f>
        <v>1.19</v>
      </c>
      <c r="F17" s="101" t="n">
        <f aca="false">+Historicals!F14</f>
        <v>2.55</v>
      </c>
      <c r="G17" s="101" t="n">
        <f aca="false">+Historicals!G14</f>
        <v>1.63</v>
      </c>
      <c r="H17" s="101" t="n">
        <f aca="false">+Historicals!H14</f>
        <v>3.64</v>
      </c>
      <c r="I17" s="102" t="n">
        <f aca="false">+Historicals!I14</f>
        <v>3.83</v>
      </c>
      <c r="J17" s="101" t="n">
        <f aca="false">(J15/J16)</f>
        <v>4.03039991857497</v>
      </c>
      <c r="K17" s="101" t="n">
        <f aca="false">(K15/K16)</f>
        <v>4.25570757499163</v>
      </c>
      <c r="L17" s="101" t="n">
        <f aca="false">(L15/L16)</f>
        <v>4.50533325297489</v>
      </c>
      <c r="M17" s="101" t="n">
        <f aca="false">(M15/M16)</f>
        <v>4.76917741011697</v>
      </c>
      <c r="N17" s="102" t="n">
        <f aca="false">(N15/N16)</f>
        <v>5.04578600128733</v>
      </c>
      <c r="V17" s="74"/>
      <c r="W17" s="68"/>
      <c r="X17" s="68"/>
      <c r="Y17" s="75"/>
    </row>
    <row r="18" customFormat="false" ht="13.8" hidden="false" customHeight="false" outlineLevel="0" collapsed="false">
      <c r="A18" s="9" t="s">
        <v>28</v>
      </c>
      <c r="B18" s="30" t="n">
        <f aca="false">ABS(Historicals!B93/Historicals!B18)</f>
        <v>1.43260967887834</v>
      </c>
      <c r="C18" s="30" t="n">
        <f aca="false">ABS(Historicals!C93/Historicals!C18)</f>
        <v>0.586513629842181</v>
      </c>
      <c r="D18" s="30" t="n">
        <f aca="false">ABS(Historicals!D93/Historicals!D18)</f>
        <v>0.669621749408983</v>
      </c>
      <c r="E18" s="30" t="n">
        <f aca="false">ABS(Historicals!E93/Historicals!E18)</f>
        <v>0.749201374239045</v>
      </c>
      <c r="F18" s="30" t="n">
        <f aca="false">ABS(Historicals!F93/Historicals!F18)</f>
        <v>0.823035096391498</v>
      </c>
      <c r="G18" s="30" t="n">
        <f aca="false">ABS(Historicals!G93/Historicals!G18)</f>
        <v>0.912289519979895</v>
      </c>
      <c r="H18" s="30" t="n">
        <f aca="false">ABS(Historicals!H93/Historicals!H18)</f>
        <v>1.01777059773829</v>
      </c>
      <c r="I18" s="103" t="n">
        <f aca="false">ABS(Historicals!I93/Historicals!I18)</f>
        <v>1.14042711696052</v>
      </c>
      <c r="J18" s="30" t="n">
        <f aca="false">ABS(J74/J16)</f>
        <v>1.26630504798939</v>
      </c>
      <c r="K18" s="30" t="n">
        <f aca="false">ABS(K74/K16)</f>
        <v>1.4050217741115</v>
      </c>
      <c r="L18" s="30" t="n">
        <f aca="false">ABS(L74/L16)</f>
        <v>1.55745403504845</v>
      </c>
      <c r="M18" s="30" t="n">
        <f aca="false">ABS(M74/M16)</f>
        <v>1.72438715310273</v>
      </c>
      <c r="N18" s="30" t="n">
        <f aca="false">ABS(N74/N16)</f>
        <v>1.90645519032208</v>
      </c>
      <c r="O18" s="104"/>
      <c r="P18" s="105"/>
      <c r="Q18" s="89"/>
      <c r="R18" s="89"/>
      <c r="S18" s="89"/>
      <c r="T18" s="89"/>
      <c r="U18" s="89"/>
      <c r="V18" s="89"/>
      <c r="W18" s="91"/>
      <c r="X18" s="92" t="s">
        <v>167</v>
      </c>
      <c r="Y18" s="100"/>
    </row>
    <row r="19" customFormat="false" ht="13.8" hidden="false" customHeight="false" outlineLevel="0" collapsed="false">
      <c r="A19" s="84" t="s">
        <v>143</v>
      </c>
      <c r="B19" s="54" t="n">
        <f aca="false">+IFERROR(B18/Historicals!N24-1,"nm")</f>
        <v>0.264812302125735</v>
      </c>
      <c r="C19" s="54" t="n">
        <f aca="false">+IFERROR(C18/B18-1,"nm")</f>
        <v>-0.590597747251441</v>
      </c>
      <c r="D19" s="54" t="n">
        <f aca="false">+IFERROR(D18/C18-1,"nm")</f>
        <v>0.141698530670405</v>
      </c>
      <c r="E19" s="54" t="n">
        <f aca="false">+IFERROR(E18/D18-1,"nm")</f>
        <v>0.118842652438186</v>
      </c>
      <c r="F19" s="54" t="n">
        <f aca="false">+IFERROR(F18/E18-1,"nm")</f>
        <v>0.0985499021907754</v>
      </c>
      <c r="G19" s="54" t="n">
        <f aca="false">+IFERROR(G18/F18-1,"nm")</f>
        <v>0.108445464816412</v>
      </c>
      <c r="H19" s="54" t="n">
        <f aca="false">+IFERROR(H18/G18-1,"nmP16")</f>
        <v>0.115622371460233</v>
      </c>
      <c r="I19" s="71" t="n">
        <f aca="false">+IFERROR(I18/H18-1,"nm")</f>
        <v>0.120514897458031</v>
      </c>
      <c r="J19" s="54" t="n">
        <f aca="false">+IFERROR(J18/I18-1,"nm")</f>
        <v>0.110377883125375</v>
      </c>
      <c r="K19" s="54" t="n">
        <f aca="false">+IFERROR(K18/J18-1,"nm")</f>
        <v>0.109544478514362</v>
      </c>
      <c r="L19" s="54" t="n">
        <f aca="false">+IFERROR(L18/K18-1,"nm")</f>
        <v>0.108491031061314</v>
      </c>
      <c r="M19" s="54" t="n">
        <f aca="false">+IFERROR(M18/L18-1,"nm")</f>
        <v>0.107183335300866</v>
      </c>
      <c r="N19" s="54" t="n">
        <f aca="false">+IFERROR(N18/M18-1,"nm")</f>
        <v>0.105584199517928</v>
      </c>
      <c r="O19" s="73"/>
      <c r="V19" s="74"/>
      <c r="W19" s="68"/>
      <c r="X19" s="106" t="s">
        <v>168</v>
      </c>
      <c r="Y19" s="93"/>
    </row>
    <row r="20" customFormat="false" ht="13.8" hidden="false" customHeight="false" outlineLevel="0" collapsed="false">
      <c r="A20" s="84" t="s">
        <v>169</v>
      </c>
      <c r="B20" s="85" t="n">
        <f aca="false">B18/B17</f>
        <v>0.754005094146492</v>
      </c>
      <c r="C20" s="85" t="n">
        <f aca="false">C18/C17</f>
        <v>0.265390782734018</v>
      </c>
      <c r="D20" s="85" t="n">
        <f aca="false">D18/D17</f>
        <v>0.261570995862884</v>
      </c>
      <c r="E20" s="85" t="n">
        <f aca="false">E18/E17</f>
        <v>0.6295809867555</v>
      </c>
      <c r="F20" s="85" t="n">
        <f aca="false">F18/F17</f>
        <v>0.322758861329999</v>
      </c>
      <c r="G20" s="85" t="n">
        <f aca="false">G18/G17</f>
        <v>0.559686822073555</v>
      </c>
      <c r="H20" s="85" t="n">
        <f aca="false">H18/H17</f>
        <v>0.279607307070958</v>
      </c>
      <c r="I20" s="86" t="n">
        <f aca="false">I18/I17</f>
        <v>0.29776164933695</v>
      </c>
      <c r="J20" s="85" t="n">
        <f aca="false">J18/J17</f>
        <v>0.314188436277341</v>
      </c>
      <c r="K20" s="85" t="n">
        <f aca="false">K18/K17</f>
        <v>0.330149980785336</v>
      </c>
      <c r="L20" s="85" t="n">
        <f aca="false">L18/L17</f>
        <v>0.345691194767902</v>
      </c>
      <c r="M20" s="85" t="n">
        <f aca="false">M18/M17</f>
        <v>0.361569093539013</v>
      </c>
      <c r="N20" s="85" t="n">
        <f aca="false">N18/N17</f>
        <v>0.377831162446384</v>
      </c>
      <c r="O20" s="73"/>
      <c r="V20" s="74"/>
      <c r="W20" s="68"/>
      <c r="X20" s="68"/>
      <c r="Y20" s="93"/>
    </row>
    <row r="21" customFormat="false" ht="13.8" hidden="false" customHeight="false" outlineLevel="0" collapsed="false">
      <c r="A21" s="107" t="s">
        <v>170</v>
      </c>
      <c r="B21" s="52"/>
      <c r="C21" s="52"/>
      <c r="D21" s="52"/>
      <c r="E21" s="52"/>
      <c r="F21" s="52"/>
      <c r="G21" s="52"/>
      <c r="H21" s="52"/>
      <c r="I21" s="52"/>
      <c r="J21" s="64"/>
      <c r="K21" s="64"/>
      <c r="L21" s="64"/>
      <c r="M21" s="64"/>
      <c r="N21" s="64"/>
      <c r="O21" s="108" t="s">
        <v>171</v>
      </c>
      <c r="P21" s="66" t="n">
        <v>2015</v>
      </c>
      <c r="Q21" s="66" t="n">
        <v>2016</v>
      </c>
      <c r="R21" s="66" t="n">
        <v>2017</v>
      </c>
      <c r="S21" s="66" t="n">
        <v>2018</v>
      </c>
      <c r="T21" s="66" t="n">
        <v>2019</v>
      </c>
      <c r="U21" s="66" t="n">
        <v>2020</v>
      </c>
      <c r="V21" s="66" t="n">
        <v>2021</v>
      </c>
      <c r="W21" s="67" t="n">
        <v>2022</v>
      </c>
      <c r="X21" s="109"/>
      <c r="Y21" s="93"/>
    </row>
    <row r="22" customFormat="false" ht="13.8" hidden="false" customHeight="false" outlineLevel="0" collapsed="false">
      <c r="A22" s="9" t="s">
        <v>172</v>
      </c>
      <c r="B22" s="94" t="n">
        <f aca="false">B81</f>
        <v>4788</v>
      </c>
      <c r="C22" s="94" t="n">
        <f aca="false">C81</f>
        <v>3926</v>
      </c>
      <c r="D22" s="94" t="n">
        <f aca="false">D81</f>
        <v>4944</v>
      </c>
      <c r="E22" s="94" t="n">
        <f aca="false">E81</f>
        <v>5107</v>
      </c>
      <c r="F22" s="94" t="n">
        <f aca="false">F81</f>
        <v>4826</v>
      </c>
      <c r="G22" s="94" t="n">
        <f aca="false">G81</f>
        <v>9023</v>
      </c>
      <c r="H22" s="94" t="n">
        <f aca="false">H81</f>
        <v>11159</v>
      </c>
      <c r="I22" s="95" t="n">
        <f aca="false">I81</f>
        <v>10744</v>
      </c>
      <c r="J22" s="94" t="n">
        <f aca="false">J81</f>
        <v>10841.2843264307</v>
      </c>
      <c r="K22" s="94" t="n">
        <f aca="false">K81</f>
        <v>9429.85927527152</v>
      </c>
      <c r="L22" s="94" t="n">
        <f aca="false">L81</f>
        <v>8579.78553262419</v>
      </c>
      <c r="M22" s="94" t="n">
        <f aca="false">M81</f>
        <v>7859.23997287535</v>
      </c>
      <c r="N22" s="94" t="n">
        <f aca="false">N81</f>
        <v>7251.77783866508</v>
      </c>
      <c r="O22" s="110" t="n">
        <f aca="false">(T22+W22+S22+Q22+R22+U22)/4</f>
        <v>0.0143025787679614</v>
      </c>
      <c r="Q22" s="111" t="n">
        <f aca="false">+IFERROR(C22/B22-1,"n+m")</f>
        <v>-0.180033416875522</v>
      </c>
      <c r="R22" s="111" t="n">
        <f aca="false">+IFERROR(D22/C22-1,"n+m")</f>
        <v>0.259296994396332</v>
      </c>
      <c r="S22" s="111" t="n">
        <f aca="false">+IFERROR(E22/D22-1,"n+m")</f>
        <v>0.0329692556634305</v>
      </c>
      <c r="T22" s="111" t="n">
        <f aca="false">+IFERROR(F22/E22-1,"n+m")</f>
        <v>-0.0550225181123948</v>
      </c>
      <c r="U22" s="54"/>
      <c r="V22" s="54"/>
      <c r="W22" s="71"/>
      <c r="X22" s="71"/>
      <c r="Y22" s="112"/>
      <c r="Z22" s="113"/>
    </row>
    <row r="23" customFormat="false" ht="13.8" hidden="false" customHeight="false" outlineLevel="0" collapsed="false">
      <c r="A23" s="9" t="s">
        <v>173</v>
      </c>
      <c r="B23" s="94" t="n">
        <f aca="false">+Historicals!B26</f>
        <v>2072</v>
      </c>
      <c r="C23" s="94" t="n">
        <f aca="false">+Historicals!C26</f>
        <v>2319</v>
      </c>
      <c r="D23" s="94" t="n">
        <f aca="false">+Historicals!D26</f>
        <v>2371</v>
      </c>
      <c r="E23" s="94" t="n">
        <f aca="false">+Historicals!E26</f>
        <v>996</v>
      </c>
      <c r="F23" s="94" t="n">
        <f aca="false">+Historicals!F26</f>
        <v>197</v>
      </c>
      <c r="G23" s="94" t="n">
        <f aca="false">+Historicals!G26</f>
        <v>439</v>
      </c>
      <c r="H23" s="94" t="n">
        <f aca="false">+Historicals!H26</f>
        <v>3587</v>
      </c>
      <c r="I23" s="95" t="n">
        <f aca="false">+Historicals!I26</f>
        <v>4423</v>
      </c>
      <c r="J23" s="12" t="n">
        <f aca="false">+SUM(G23:I23)/3</f>
        <v>2816.33333333333</v>
      </c>
      <c r="K23" s="12" t="n">
        <f aca="false">+SUM(H23:J23)/3</f>
        <v>3608.77777777778</v>
      </c>
      <c r="L23" s="12" t="n">
        <f aca="false">+SUM(I23:K23)/3</f>
        <v>3616.03703703704</v>
      </c>
      <c r="M23" s="12" t="n">
        <f aca="false">+SUM(J23:L23)/3</f>
        <v>3347.04938271605</v>
      </c>
      <c r="N23" s="12" t="n">
        <f aca="false">+SUM(K23:M23)/3</f>
        <v>3523.95473251029</v>
      </c>
      <c r="O23" s="114"/>
      <c r="R23" s="54"/>
      <c r="S23" s="54"/>
      <c r="T23" s="54"/>
      <c r="U23" s="54"/>
      <c r="V23" s="54"/>
      <c r="W23" s="71"/>
      <c r="X23" s="68"/>
      <c r="Y23" s="75"/>
    </row>
    <row r="24" customFormat="false" ht="13.8" hidden="false" customHeight="false" outlineLevel="0" collapsed="false">
      <c r="A24" s="9" t="s">
        <v>174</v>
      </c>
      <c r="B24" s="8" t="n">
        <f aca="false">Historicals!B28+Historicals!B27-Historicals!B41</f>
        <v>5564</v>
      </c>
      <c r="C24" s="8" t="n">
        <f aca="false">Historicals!C28+Historicals!C27-Historicals!C41</f>
        <v>5888</v>
      </c>
      <c r="D24" s="8" t="n">
        <f aca="false">Historicals!D28+Historicals!D27-Historicals!D41</f>
        <v>6684</v>
      </c>
      <c r="E24" s="8" t="n">
        <f aca="false">Historicals!E28+Historicals!E27-Historicals!E41</f>
        <v>6480</v>
      </c>
      <c r="F24" s="8" t="n">
        <f aca="false">Historicals!F28+Historicals!F27-Historicals!F41</f>
        <v>7282</v>
      </c>
      <c r="G24" s="8" t="n">
        <f aca="false">Historicals!G28+Historicals!G27-Historicals!G41</f>
        <v>7868</v>
      </c>
      <c r="H24" s="8" t="n">
        <f aca="false">Historicals!H28+Historicals!H27-Historicals!H41</f>
        <v>8481</v>
      </c>
      <c r="I24" s="115" t="n">
        <f aca="false">Historicals!I28+Historicals!I27-Historicals!I41</f>
        <v>9729</v>
      </c>
      <c r="J24" s="15" t="n">
        <f aca="false">I3*(O24)</f>
        <v>8942.2370806659</v>
      </c>
      <c r="K24" s="15" t="n">
        <f aca="false">K3*(O24)</f>
        <v>9835.68230790048</v>
      </c>
      <c r="L24" s="15" t="n">
        <f aca="false">L3*(O24)</f>
        <v>10315.3424177563</v>
      </c>
      <c r="M24" s="15" t="n">
        <f aca="false">M3*(O24)</f>
        <v>10818.3942775472</v>
      </c>
      <c r="N24" s="15" t="n">
        <f aca="false">N3*(O24)</f>
        <v>11345.9786408063</v>
      </c>
      <c r="O24" s="110" t="n">
        <f aca="false">(S24+Q24+P24+R24+T24+U24+V24+W24)/8</f>
        <v>0.191441598815369</v>
      </c>
      <c r="P24" s="111" t="n">
        <f aca="false">B24/B3</f>
        <v>0.18182412339466</v>
      </c>
      <c r="Q24" s="111" t="n">
        <f aca="false">C24/C3</f>
        <v>0.181863108475414</v>
      </c>
      <c r="R24" s="111" t="n">
        <f aca="false">D24/D3</f>
        <v>0.194585152838428</v>
      </c>
      <c r="S24" s="111" t="n">
        <f aca="false">E24/E3</f>
        <v>0.178036651372366</v>
      </c>
      <c r="T24" s="111" t="n">
        <f aca="false">F24/F3</f>
        <v>0.186159470307028</v>
      </c>
      <c r="U24" s="111" t="n">
        <f aca="false">G24/G3</f>
        <v>0.210357457957918</v>
      </c>
      <c r="V24" s="111" t="n">
        <f aca="false">H24/H3</f>
        <v>0.190421662400647</v>
      </c>
      <c r="W24" s="116" t="n">
        <f aca="false">I24/I3</f>
        <v>0.208285163776493</v>
      </c>
      <c r="X24" s="68"/>
      <c r="Y24" s="75"/>
    </row>
    <row r="25" customFormat="false" ht="13.8" hidden="false" customHeight="false" outlineLevel="0" collapsed="false">
      <c r="A25" s="84" t="s">
        <v>175</v>
      </c>
      <c r="B25" s="117" t="n">
        <f aca="false">B24/B3</f>
        <v>0.18182412339466</v>
      </c>
      <c r="C25" s="117" t="n">
        <f aca="false">C24/C3</f>
        <v>0.181863108475414</v>
      </c>
      <c r="D25" s="117" t="n">
        <f aca="false">D24/D3</f>
        <v>0.194585152838428</v>
      </c>
      <c r="E25" s="117" t="n">
        <f aca="false">E24/E3</f>
        <v>0.178036651372366</v>
      </c>
      <c r="F25" s="117" t="n">
        <f aca="false">F24/F3</f>
        <v>0.186159470307028</v>
      </c>
      <c r="G25" s="117" t="n">
        <f aca="false">G24/G3</f>
        <v>0.210357457957918</v>
      </c>
      <c r="H25" s="117" t="n">
        <f aca="false">H24/H3</f>
        <v>0.190421662400647</v>
      </c>
      <c r="I25" s="118" t="n">
        <f aca="false">I24/I3</f>
        <v>0.208285163776493</v>
      </c>
      <c r="J25" s="87" t="n">
        <f aca="false">J24/J3</f>
        <v>0.182539625948168</v>
      </c>
      <c r="K25" s="87" t="n">
        <f aca="false">K24/K3</f>
        <v>0.191441598815369</v>
      </c>
      <c r="L25" s="87" t="n">
        <f aca="false">L24/L3</f>
        <v>0.191441598815369</v>
      </c>
      <c r="M25" s="87" t="n">
        <f aca="false">M24/M3</f>
        <v>0.191441598815369</v>
      </c>
      <c r="N25" s="87" t="n">
        <f aca="false">N24/N3</f>
        <v>0.191441598815369</v>
      </c>
      <c r="O25" s="119"/>
      <c r="W25" s="68"/>
      <c r="X25" s="68"/>
      <c r="Y25" s="93"/>
    </row>
    <row r="26" customFormat="false" ht="13.8" hidden="false" customHeight="false" outlineLevel="0" collapsed="false">
      <c r="A26" s="9" t="s">
        <v>176</v>
      </c>
      <c r="B26" s="120" t="n">
        <f aca="false">Historicals!B29</f>
        <v>1968</v>
      </c>
      <c r="C26" s="120" t="n">
        <f aca="false">Historicals!C29</f>
        <v>1489</v>
      </c>
      <c r="D26" s="120" t="n">
        <f aca="false">Historicals!D29</f>
        <v>1150</v>
      </c>
      <c r="E26" s="120" t="n">
        <f aca="false">Historicals!E29</f>
        <v>1130</v>
      </c>
      <c r="F26" s="120" t="n">
        <f aca="false">Historicals!F29</f>
        <v>1968</v>
      </c>
      <c r="G26" s="120" t="n">
        <f aca="false">Historicals!G29</f>
        <v>1653</v>
      </c>
      <c r="H26" s="120" t="n">
        <f aca="false">Historicals!H29</f>
        <v>1498</v>
      </c>
      <c r="I26" s="121" t="n">
        <f aca="false">Historicals!I29</f>
        <v>2129</v>
      </c>
      <c r="J26" s="122" t="n">
        <f aca="false">I26*(1+O26)</f>
        <v>2247.79708140562</v>
      </c>
      <c r="K26" s="122" t="n">
        <f aca="false">J26*(1+O26)</f>
        <v>2373.22297753669</v>
      </c>
      <c r="L26" s="122" t="n">
        <f aca="false">K26*(1+O26)</f>
        <v>2505.64757277207</v>
      </c>
      <c r="M26" s="122" t="n">
        <f aca="false">L26*(1+O26)</f>
        <v>2645.46139084459</v>
      </c>
      <c r="N26" s="122" t="n">
        <f aca="false">M26*(1+O26)</f>
        <v>2793.07674650621</v>
      </c>
      <c r="O26" s="110" t="n">
        <f aca="false">(T26+R26+Q26+S26+U26+V26+W26)/3</f>
        <v>0.0557994745916482</v>
      </c>
      <c r="Q26" s="54"/>
      <c r="R26" s="54"/>
      <c r="S26" s="54"/>
      <c r="U26" s="111" t="n">
        <f aca="false">+IFERROR(G26/F26-1,"n+m")</f>
        <v>-0.160060975609756</v>
      </c>
      <c r="V26" s="111" t="n">
        <f aca="false">+IFERROR(H26/G26-1,"n+m")</f>
        <v>-0.0937689050211736</v>
      </c>
      <c r="W26" s="116" t="n">
        <f aca="false">+IFERROR(I26/H26-1,"n+m")</f>
        <v>0.421228304405874</v>
      </c>
      <c r="X26" s="68"/>
      <c r="Y26" s="93"/>
    </row>
    <row r="27" customFormat="false" ht="13.8" hidden="false" customHeight="false" outlineLevel="0" collapsed="false">
      <c r="A27" s="9" t="s">
        <v>177</v>
      </c>
      <c r="B27" s="94" t="n">
        <f aca="false">+Historicals!B31</f>
        <v>3011</v>
      </c>
      <c r="C27" s="94" t="n">
        <f aca="false">+Historicals!C31</f>
        <v>3520</v>
      </c>
      <c r="D27" s="94" t="n">
        <f aca="false">+Historicals!D31</f>
        <v>3989</v>
      </c>
      <c r="E27" s="94" t="n">
        <f aca="false">+Historicals!E31</f>
        <v>4454</v>
      </c>
      <c r="F27" s="94" t="n">
        <f aca="false">+Historicals!F31</f>
        <v>4744</v>
      </c>
      <c r="G27" s="94" t="n">
        <f aca="false">+Historicals!G31</f>
        <v>4866</v>
      </c>
      <c r="H27" s="94" t="n">
        <f aca="false">+Historicals!H31</f>
        <v>4904</v>
      </c>
      <c r="I27" s="95" t="n">
        <f aca="false">+Historicals!I31</f>
        <v>4791</v>
      </c>
      <c r="J27" s="122" t="n">
        <f aca="false">I27*(1+O27)</f>
        <v>5129.415444703</v>
      </c>
      <c r="K27" s="122" t="n">
        <f aca="false">J27*(1+O27)</f>
        <v>5491.73508753031</v>
      </c>
      <c r="L27" s="122" t="n">
        <f aca="false">K27*(1+O27)</f>
        <v>5879.64741728144</v>
      </c>
      <c r="M27" s="122" t="n">
        <f aca="false">L27*(1+O27)</f>
        <v>6294.96019027584</v>
      </c>
      <c r="N27" s="122" t="n">
        <f aca="false">M27*(1+O27)</f>
        <v>6739.60885489281</v>
      </c>
      <c r="O27" s="110" t="n">
        <f aca="false">(T27+W27+S27+Q27+R27+U27+V27)/7</f>
        <v>0.0706356595080366</v>
      </c>
      <c r="Q27" s="111" t="n">
        <f aca="false">+IFERROR(C27/B27-1,"n+m")</f>
        <v>0.169046828296247</v>
      </c>
      <c r="R27" s="111" t="n">
        <f aca="false">+IFERROR(D27/C27-1,"n+m")</f>
        <v>0.133238636363636</v>
      </c>
      <c r="S27" s="111" t="n">
        <f aca="false">+IFERROR(E27/D27-1,"n+m")</f>
        <v>0.116570569064929</v>
      </c>
      <c r="T27" s="111" t="n">
        <f aca="false">+IFERROR(F27/E27-1,"n+m")</f>
        <v>0.0651100134710372</v>
      </c>
      <c r="U27" s="111" t="n">
        <f aca="false">+IFERROR(G27/F27-1,"n+m")</f>
        <v>0.025716694772344</v>
      </c>
      <c r="V27" s="111" t="n">
        <f aca="false">+IFERROR(H27/G27-1,"n+m")</f>
        <v>0.00780928894369093</v>
      </c>
      <c r="W27" s="116" t="n">
        <f aca="false">+IFERROR(I27/H27-1,"n+m")</f>
        <v>-0.023042414355628</v>
      </c>
      <c r="X27" s="68"/>
      <c r="Y27" s="75"/>
    </row>
    <row r="28" customFormat="false" ht="13.8" hidden="false" customHeight="false" outlineLevel="0" collapsed="false">
      <c r="A28" s="9" t="s">
        <v>178</v>
      </c>
      <c r="B28" s="94" t="n">
        <f aca="false">+Historicals!B33</f>
        <v>281</v>
      </c>
      <c r="C28" s="94" t="n">
        <f aca="false">+Historicals!C33</f>
        <v>281</v>
      </c>
      <c r="D28" s="94" t="n">
        <f aca="false">+Historicals!D33</f>
        <v>283</v>
      </c>
      <c r="E28" s="94" t="n">
        <f aca="false">+Historicals!E33</f>
        <v>285</v>
      </c>
      <c r="F28" s="94" t="n">
        <f aca="false">+Historicals!F33</f>
        <v>283</v>
      </c>
      <c r="G28" s="94" t="n">
        <f aca="false">+Historicals!G33</f>
        <v>274</v>
      </c>
      <c r="H28" s="94" t="n">
        <f aca="false">+Historicals!H33</f>
        <v>269</v>
      </c>
      <c r="I28" s="95" t="n">
        <f aca="false">+Historicals!I33</f>
        <v>286</v>
      </c>
      <c r="J28" s="12" t="n">
        <f aca="false">+SUM(B28:I28)/8</f>
        <v>280.25</v>
      </c>
      <c r="K28" s="12" t="n">
        <f aca="false">+SUM(C28:J28)/8</f>
        <v>280.15625</v>
      </c>
      <c r="L28" s="12" t="n">
        <f aca="false">+SUM(D28:K28)/8</f>
        <v>280.05078125</v>
      </c>
      <c r="M28" s="12" t="n">
        <f aca="false">+SUM(E28:L28)/8</f>
        <v>279.68212890625</v>
      </c>
      <c r="N28" s="12" t="n">
        <f aca="false">+SUM(F28:M28)/8</f>
        <v>279.017395019531</v>
      </c>
      <c r="O28" s="119"/>
      <c r="W28" s="68"/>
      <c r="X28" s="68"/>
      <c r="Y28" s="75"/>
    </row>
    <row r="29" customFormat="false" ht="13.8" hidden="false" customHeight="false" outlineLevel="0" collapsed="false">
      <c r="A29" s="9" t="s">
        <v>38</v>
      </c>
      <c r="B29" s="94" t="n">
        <f aca="false">+Historicals!B34</f>
        <v>131</v>
      </c>
      <c r="C29" s="94" t="n">
        <f aca="false">+Historicals!C34</f>
        <v>131</v>
      </c>
      <c r="D29" s="94" t="n">
        <f aca="false">+Historicals!D34</f>
        <v>139</v>
      </c>
      <c r="E29" s="94" t="n">
        <f aca="false">+Historicals!E34</f>
        <v>154</v>
      </c>
      <c r="F29" s="94" t="n">
        <f aca="false">+Historicals!F34</f>
        <v>154</v>
      </c>
      <c r="G29" s="94" t="n">
        <f aca="false">+Historicals!G34</f>
        <v>223</v>
      </c>
      <c r="H29" s="94" t="n">
        <f aca="false">+Historicals!H34</f>
        <v>242</v>
      </c>
      <c r="I29" s="95" t="n">
        <f aca="false">+Historicals!I34</f>
        <v>284</v>
      </c>
      <c r="J29" s="122" t="n">
        <f aca="false">I29*(1+O29)</f>
        <v>314.369389770039</v>
      </c>
      <c r="K29" s="122" t="n">
        <f aca="false">J29*(1+O29)</f>
        <v>347.986314170377</v>
      </c>
      <c r="L29" s="122" t="n">
        <f aca="false">K29*(1+O29)</f>
        <v>385.198046598826</v>
      </c>
      <c r="M29" s="122" t="n">
        <f aca="false">L29*(1+O29)</f>
        <v>426.388995950296</v>
      </c>
      <c r="N29" s="122" t="n">
        <f aca="false">M29*(1+O29)</f>
        <v>471.98467768153</v>
      </c>
      <c r="O29" s="110" t="n">
        <f aca="false">(T29+R29+Q29+S29+U29+V29+W29)/4</f>
        <v>0.106934471021266</v>
      </c>
      <c r="Q29" s="54"/>
      <c r="R29" s="111" t="n">
        <f aca="false">+IFERROR(D29/C29-1,"n+m")</f>
        <v>0.0610687022900764</v>
      </c>
      <c r="S29" s="111" t="n">
        <f aca="false">+IFERROR(E29/D29-1,"n+m")</f>
        <v>0.107913669064748</v>
      </c>
      <c r="T29" s="54"/>
      <c r="U29" s="54"/>
      <c r="V29" s="111" t="n">
        <f aca="false">+IFERROR(H29/G29-1,"n+m")</f>
        <v>0.0852017937219731</v>
      </c>
      <c r="W29" s="116" t="n">
        <f aca="false">+IFERROR(I29/H29-1,"n+m")</f>
        <v>0.173553719008265</v>
      </c>
      <c r="X29" s="68"/>
      <c r="Y29" s="123"/>
    </row>
    <row r="30" customFormat="false" ht="13.8" hidden="false" customHeight="false" outlineLevel="0" collapsed="false">
      <c r="A30" s="124" t="s">
        <v>36</v>
      </c>
      <c r="B30" s="94"/>
      <c r="C30" s="94"/>
      <c r="D30" s="94"/>
      <c r="E30" s="94"/>
      <c r="F30" s="94"/>
      <c r="G30" s="94" t="n">
        <f aca="false">+Historicals!G32</f>
        <v>3097</v>
      </c>
      <c r="H30" s="94" t="n">
        <f aca="false">+Historicals!H32</f>
        <v>3113</v>
      </c>
      <c r="I30" s="95" t="n">
        <f aca="false">+Historicals!I32</f>
        <v>2926</v>
      </c>
      <c r="J30" s="12" t="n">
        <f aca="false">+SUM(G30:I30)/3</f>
        <v>3045.33333333333</v>
      </c>
      <c r="K30" s="12" t="n">
        <f aca="false">+SUM(H30:J30)/3</f>
        <v>3028.11111111111</v>
      </c>
      <c r="L30" s="12" t="n">
        <f aca="false">+SUM(I30:K30)/3</f>
        <v>2999.81481481482</v>
      </c>
      <c r="M30" s="12" t="n">
        <f aca="false">+SUM(J30:L30)/3</f>
        <v>3024.41975308642</v>
      </c>
      <c r="N30" s="12" t="n">
        <f aca="false">+SUM(K30:M30)/3</f>
        <v>3017.44855967078</v>
      </c>
      <c r="O30" s="119"/>
      <c r="W30" s="68"/>
      <c r="X30" s="68"/>
      <c r="Y30" s="75"/>
    </row>
    <row r="31" customFormat="false" ht="13.8" hidden="false" customHeight="false" outlineLevel="0" collapsed="false">
      <c r="A31" s="9" t="s">
        <v>179</v>
      </c>
      <c r="B31" s="94" t="n">
        <f aca="false">+Historicals!B35</f>
        <v>2587</v>
      </c>
      <c r="C31" s="94" t="n">
        <f aca="false">+Historicals!C35</f>
        <v>2439</v>
      </c>
      <c r="D31" s="94" t="n">
        <f aca="false">+Historicals!D35</f>
        <v>2787</v>
      </c>
      <c r="E31" s="94" t="n">
        <f aca="false">+Historicals!E35</f>
        <v>2509</v>
      </c>
      <c r="F31" s="94" t="n">
        <f aca="false">+Historicals!F35</f>
        <v>2011</v>
      </c>
      <c r="G31" s="94" t="n">
        <f aca="false">+Historicals!G35</f>
        <v>2326</v>
      </c>
      <c r="H31" s="94" t="n">
        <f aca="false">+Historicals!H35</f>
        <v>2921</v>
      </c>
      <c r="I31" s="95" t="n">
        <f aca="false">+Historicals!I35</f>
        <v>3821</v>
      </c>
      <c r="J31" s="122" t="n">
        <f aca="false">I31*(1+O31)</f>
        <v>4098.18304823616</v>
      </c>
      <c r="K31" s="122" t="n">
        <f aca="false">J31*(1+O31)</f>
        <v>4395.47351396238</v>
      </c>
      <c r="L31" s="122" t="n">
        <f aca="false">K31*(1+O31)</f>
        <v>4714.33002980677</v>
      </c>
      <c r="M31" s="122" t="n">
        <f aca="false">L31*(1+O31)</f>
        <v>5056.31704055085</v>
      </c>
      <c r="N31" s="122" t="n">
        <f aca="false">M31*(1+O31)</f>
        <v>5423.11247895659</v>
      </c>
      <c r="O31" s="110" t="n">
        <f aca="false">(T31+R31+Q31+S31+U31+V31+W31)/7</f>
        <v>0.0725420173347719</v>
      </c>
      <c r="Q31" s="111" t="n">
        <f aca="false">+IFERROR(C31/B31-1,"n+m")</f>
        <v>-0.0572091225357557</v>
      </c>
      <c r="R31" s="111" t="n">
        <f aca="false">+IFERROR(D31/C31-1,"n+m")</f>
        <v>0.142681426814268</v>
      </c>
      <c r="S31" s="111" t="n">
        <f aca="false">+IFERROR(E31/D31-1,"n+m")</f>
        <v>-0.0997488338715464</v>
      </c>
      <c r="T31" s="111" t="n">
        <f aca="false">+IFERROR(F31/E31-1,"n+m")</f>
        <v>-0.198485452371463</v>
      </c>
      <c r="U31" s="111" t="n">
        <f aca="false">+IFERROR(G31/F31-1,"n+m")</f>
        <v>0.156638488314272</v>
      </c>
      <c r="V31" s="111" t="n">
        <f aca="false">+IFERROR(H31/G31-1,"n+m")</f>
        <v>0.255803955288048</v>
      </c>
      <c r="W31" s="116" t="n">
        <f aca="false">+IFERROR(I31/H31-1,"n+m")</f>
        <v>0.30811365970558</v>
      </c>
      <c r="X31" s="68"/>
      <c r="Y31" s="123"/>
    </row>
    <row r="32" customFormat="false" ht="13.8" hidden="false" customHeight="false" outlineLevel="0" collapsed="false">
      <c r="A32" s="22" t="s">
        <v>180</v>
      </c>
      <c r="B32" s="125" t="n">
        <f aca="false">B22+B26+B27+B28+B29+B30+B31+B24+B23</f>
        <v>20402</v>
      </c>
      <c r="C32" s="125" t="n">
        <f aca="false">C22+C26+C27+C28+C29+C30+C31+C24+C23</f>
        <v>19993</v>
      </c>
      <c r="D32" s="125" t="n">
        <f aca="false">D22+D26+D27+D28+D29+D30+D31+D24+D23</f>
        <v>22347</v>
      </c>
      <c r="E32" s="125" t="n">
        <f aca="false">E22+E26+E27+E28+E29+E30+E31+E24+E23</f>
        <v>21115</v>
      </c>
      <c r="F32" s="125" t="n">
        <f aca="false">F22+F26+F27+F28+F29+F30+F31+F24+F23</f>
        <v>21465</v>
      </c>
      <c r="G32" s="125" t="n">
        <f aca="false">G22+G26+G27+G28+G29+G30+G31+G24+G23</f>
        <v>29769</v>
      </c>
      <c r="H32" s="125" t="n">
        <f aca="false">H22+H26+H27+H28+H29+H30+H31+H24+H23</f>
        <v>36174</v>
      </c>
      <c r="I32" s="126" t="n">
        <f aca="false">I22+I26+I27+I28+I29+I30+I31+I24+I23</f>
        <v>39133</v>
      </c>
      <c r="J32" s="125" t="n">
        <f aca="false">J22+J26+J27+J28+J29+J30+J31+J24+J23</f>
        <v>37715.2030378781</v>
      </c>
      <c r="K32" s="125" t="n">
        <f aca="false">K22+K26+K27+K28+K29+K30+K31+K24+K23</f>
        <v>38791.0046152606</v>
      </c>
      <c r="L32" s="125" t="n">
        <f aca="false">L22+L26+L27+L28+L29+L30+L31+L24+L23</f>
        <v>39275.8536499415</v>
      </c>
      <c r="M32" s="125" t="n">
        <f aca="false">M22+M26+M27+M28+M29+M30+M31+M24+M23</f>
        <v>39751.9131327529</v>
      </c>
      <c r="N32" s="125" t="n">
        <f aca="false">N22+N26+N27+N28+N29+N30+N31+N24+N23</f>
        <v>40845.9599247091</v>
      </c>
      <c r="O32" s="114"/>
      <c r="Q32" s="54"/>
      <c r="R32" s="54"/>
      <c r="S32" s="54"/>
      <c r="T32" s="54"/>
      <c r="U32" s="54"/>
      <c r="V32" s="54"/>
      <c r="W32" s="71"/>
      <c r="X32" s="68"/>
      <c r="Y32" s="75"/>
    </row>
    <row r="33" customFormat="false" ht="13.8" hidden="false" customHeight="false" outlineLevel="0" collapsed="false">
      <c r="A33" s="9" t="s">
        <v>181</v>
      </c>
      <c r="B33" s="94" t="n">
        <f aca="false">B35+B34</f>
        <v>181</v>
      </c>
      <c r="C33" s="94" t="n">
        <f aca="false">C35+C34</f>
        <v>45</v>
      </c>
      <c r="D33" s="94" t="n">
        <f aca="false">D35+D34</f>
        <v>331</v>
      </c>
      <c r="E33" s="94" t="n">
        <f aca="false">E35+E34</f>
        <v>342</v>
      </c>
      <c r="F33" s="94" t="n">
        <f aca="false">F35+F34</f>
        <v>15</v>
      </c>
      <c r="G33" s="94" t="n">
        <f aca="false">G35+G34</f>
        <v>251</v>
      </c>
      <c r="H33" s="94" t="n">
        <f aca="false">H35+H34</f>
        <v>2</v>
      </c>
      <c r="I33" s="95" t="n">
        <f aca="false">I35+I34</f>
        <v>510</v>
      </c>
      <c r="J33" s="94" t="n">
        <f aca="false">J35+J34</f>
        <v>610</v>
      </c>
      <c r="K33" s="94" t="n">
        <f aca="false">K35+K34</f>
        <v>730</v>
      </c>
      <c r="L33" s="94" t="n">
        <f aca="false">L35+L34</f>
        <v>874</v>
      </c>
      <c r="M33" s="94" t="n">
        <f aca="false">M35+M34</f>
        <v>1046.8</v>
      </c>
      <c r="N33" s="94" t="n">
        <f aca="false">N35+N34</f>
        <v>1254.16</v>
      </c>
      <c r="O33" s="127"/>
      <c r="P33" s="89"/>
      <c r="Q33" s="89"/>
      <c r="R33" s="89"/>
      <c r="S33" s="89"/>
      <c r="T33" s="89"/>
      <c r="U33" s="89"/>
      <c r="V33" s="89"/>
      <c r="W33" s="91"/>
      <c r="X33" s="128" t="s">
        <v>182</v>
      </c>
      <c r="Y33" s="123"/>
    </row>
    <row r="34" customFormat="false" ht="13.8" hidden="false" customHeight="false" outlineLevel="0" collapsed="false">
      <c r="A34" s="19" t="s">
        <v>43</v>
      </c>
      <c r="B34" s="94" t="n">
        <f aca="false">+Historicals!B39</f>
        <v>107</v>
      </c>
      <c r="C34" s="94" t="n">
        <f aca="false">+Historicals!C39</f>
        <v>44</v>
      </c>
      <c r="D34" s="94" t="n">
        <f aca="false">+Historicals!D39</f>
        <v>6</v>
      </c>
      <c r="E34" s="94" t="n">
        <f aca="false">+Historicals!E39</f>
        <v>6</v>
      </c>
      <c r="F34" s="94" t="n">
        <f aca="false">+Historicals!F39</f>
        <v>6</v>
      </c>
      <c r="G34" s="94" t="n">
        <f aca="false">+Historicals!G39</f>
        <v>3</v>
      </c>
      <c r="H34" s="94" t="n">
        <f aca="false">+Historicals!H39</f>
        <v>0</v>
      </c>
      <c r="I34" s="95" t="n">
        <f aca="false">+Historicals!I39</f>
        <v>500</v>
      </c>
      <c r="J34" s="122" t="n">
        <f aca="false">I34*(1+O34)</f>
        <v>600</v>
      </c>
      <c r="K34" s="122" t="n">
        <f aca="false">J34*(1+O34)</f>
        <v>720</v>
      </c>
      <c r="L34" s="122" t="n">
        <f aca="false">K34*(1+O34)</f>
        <v>864</v>
      </c>
      <c r="M34" s="122" t="n">
        <f aca="false">L34*(1+O34)</f>
        <v>1036.8</v>
      </c>
      <c r="N34" s="122" t="n">
        <f aca="false">M34*(1+O34)</f>
        <v>1244.16</v>
      </c>
      <c r="O34" s="110" t="n">
        <v>0.2</v>
      </c>
      <c r="W34" s="68"/>
      <c r="X34" s="129" t="s">
        <v>183</v>
      </c>
      <c r="Y34" s="75"/>
    </row>
    <row r="35" customFormat="false" ht="13.8" hidden="false" customHeight="false" outlineLevel="0" collapsed="false">
      <c r="A35" s="19" t="s">
        <v>44</v>
      </c>
      <c r="B35" s="94" t="n">
        <f aca="false">+Historicals!B40</f>
        <v>74</v>
      </c>
      <c r="C35" s="94" t="n">
        <f aca="false">+Historicals!C40</f>
        <v>1</v>
      </c>
      <c r="D35" s="94" t="n">
        <f aca="false">+Historicals!D40</f>
        <v>325</v>
      </c>
      <c r="E35" s="94" t="n">
        <f aca="false">+Historicals!E40</f>
        <v>336</v>
      </c>
      <c r="F35" s="94" t="n">
        <f aca="false">+Historicals!F40</f>
        <v>9</v>
      </c>
      <c r="G35" s="94" t="n">
        <f aca="false">+Historicals!G40</f>
        <v>248</v>
      </c>
      <c r="H35" s="94" t="n">
        <f aca="false">+Historicals!H40</f>
        <v>2</v>
      </c>
      <c r="I35" s="95" t="n">
        <f aca="false">+Historicals!I40</f>
        <v>10</v>
      </c>
      <c r="J35" s="12" t="n">
        <f aca="false">I35</f>
        <v>10</v>
      </c>
      <c r="K35" s="12" t="n">
        <f aca="false">J35</f>
        <v>10</v>
      </c>
      <c r="L35" s="12" t="n">
        <f aca="false">K35</f>
        <v>10</v>
      </c>
      <c r="M35" s="12" t="n">
        <f aca="false">L35</f>
        <v>10</v>
      </c>
      <c r="N35" s="12" t="n">
        <f aca="false">M35</f>
        <v>10</v>
      </c>
      <c r="O35" s="119"/>
      <c r="W35" s="68"/>
      <c r="X35" s="129" t="s">
        <v>184</v>
      </c>
    </row>
    <row r="36" customFormat="false" ht="13.8" hidden="false" customHeight="false" outlineLevel="0" collapsed="false">
      <c r="A36" s="9" t="s">
        <v>185</v>
      </c>
      <c r="B36" s="9" t="n">
        <f aca="false">Historicals!B48+Historicals!B44+Historicals!B43+Historicals!B42</f>
        <v>5499</v>
      </c>
      <c r="C36" s="9" t="n">
        <f aca="false">Historicals!C48+Historicals!C44+Historicals!C43+Historicals!C42</f>
        <v>4892</v>
      </c>
      <c r="D36" s="9" t="n">
        <f aca="false">Historicals!D48+Historicals!D44+Historicals!D43+Historicals!D42</f>
        <v>5002</v>
      </c>
      <c r="E36" s="9" t="n">
        <f aca="false">Historicals!E48+Historicals!E44+Historicals!E43+Historicals!E42</f>
        <v>6635</v>
      </c>
      <c r="F36" s="9" t="n">
        <f aca="false">Historicals!F48+Historicals!F44+Historicals!F43+Historicals!F42</f>
        <v>8586</v>
      </c>
      <c r="G36" s="9" t="n">
        <f aca="false">Historicals!G48+Historicals!G44+Historicals!G43+Historicals!G42</f>
        <v>8469</v>
      </c>
      <c r="H36" s="9" t="n">
        <f aca="false">Historicals!H48+Historicals!H44+Historicals!H43+Historicals!H42</f>
        <v>9791</v>
      </c>
      <c r="I36" s="130" t="n">
        <f aca="false">Historicals!I48+Historicals!I44+Historicals!I43+Historicals!I42</f>
        <v>9475</v>
      </c>
      <c r="J36" s="122" t="n">
        <f aca="false">I36-(H36-I36)</f>
        <v>9159</v>
      </c>
      <c r="K36" s="122" t="n">
        <f aca="false">J36*(1+O36)</f>
        <v>9495.43248125082</v>
      </c>
      <c r="L36" s="122" t="n">
        <f aca="false">K36*(1+O36)</f>
        <v>9844.22295075806</v>
      </c>
      <c r="M36" s="122" t="n">
        <f aca="false">L36*(1+O36)</f>
        <v>10205.8253476693</v>
      </c>
      <c r="N36" s="122" t="n">
        <f aca="false">M36*(1+O36)</f>
        <v>10580.7102854276</v>
      </c>
      <c r="O36" s="110" t="n">
        <f aca="false">(T36+R36+Q36+S36+U36+V36+W36)/3</f>
        <v>0.0367324469102325</v>
      </c>
      <c r="U36" s="111" t="n">
        <f aca="false">+IFERROR(G36/F36-1,"n+m")</f>
        <v>-0.0136268343815513</v>
      </c>
      <c r="V36" s="111" t="n">
        <f aca="false">+IFERROR(H36/G36-1,"n+m")</f>
        <v>0.156098712953123</v>
      </c>
      <c r="W36" s="116" t="n">
        <f aca="false">+IFERROR(I36/H36-1,"n+m")</f>
        <v>-0.0322745378408743</v>
      </c>
      <c r="X36" s="129" t="s">
        <v>186</v>
      </c>
    </row>
    <row r="37" customFormat="false" ht="13.8" hidden="false" customHeight="false" outlineLevel="0" collapsed="false">
      <c r="A37" s="9" t="s">
        <v>50</v>
      </c>
      <c r="B37" s="94" t="n">
        <f aca="false">+Historicals!B46</f>
        <v>1079</v>
      </c>
      <c r="C37" s="94" t="n">
        <f aca="false">+Historicals!C46</f>
        <v>2010</v>
      </c>
      <c r="D37" s="94" t="n">
        <f aca="false">+Historicals!D46</f>
        <v>3471</v>
      </c>
      <c r="E37" s="94" t="n">
        <f aca="false">+Historicals!E46</f>
        <v>3468</v>
      </c>
      <c r="F37" s="94" t="n">
        <f aca="false">+Historicals!F46</f>
        <v>3464</v>
      </c>
      <c r="G37" s="94" t="n">
        <f aca="false">+Historicals!G46</f>
        <v>9406</v>
      </c>
      <c r="H37" s="94" t="n">
        <f aca="false">+Historicals!H46</f>
        <v>9413</v>
      </c>
      <c r="I37" s="95" t="n">
        <f aca="false">+Historicals!I46</f>
        <v>8920</v>
      </c>
      <c r="J37" s="122" t="n">
        <f aca="false">I37*(1+V37)</f>
        <v>8926.63831596853</v>
      </c>
      <c r="K37" s="122" t="n">
        <f aca="false">J37*(1+V37)</f>
        <v>8933.28157221048</v>
      </c>
      <c r="L37" s="122" t="n">
        <f aca="false">K37*(1+V37)</f>
        <v>8939.92977240243</v>
      </c>
      <c r="M37" s="122" t="n">
        <f aca="false">L37*(1+V37)</f>
        <v>8946.5829202237</v>
      </c>
      <c r="N37" s="122" t="n">
        <f aca="false">M37*(1+V37)</f>
        <v>8953.24101935633</v>
      </c>
      <c r="O37" s="114"/>
      <c r="Q37" s="54"/>
      <c r="R37" s="54"/>
      <c r="S37" s="54"/>
      <c r="T37" s="54"/>
      <c r="U37" s="54"/>
      <c r="V37" s="111" t="n">
        <f aca="false">+IFERROR(H37/G37-1,"n+m")</f>
        <v>0.000744205826068489</v>
      </c>
      <c r="W37" s="71"/>
      <c r="X37" s="129" t="s">
        <v>187</v>
      </c>
    </row>
    <row r="38" customFormat="false" ht="13.8" hidden="false" customHeight="false" outlineLevel="0" collapsed="false">
      <c r="A38" s="124" t="s">
        <v>51</v>
      </c>
      <c r="B38" s="94"/>
      <c r="C38" s="94"/>
      <c r="D38" s="94"/>
      <c r="E38" s="94"/>
      <c r="F38" s="94"/>
      <c r="G38" s="94" t="n">
        <f aca="false">+Historicals!G47</f>
        <v>2913</v>
      </c>
      <c r="H38" s="94" t="n">
        <f aca="false">+Historicals!H47</f>
        <v>2931</v>
      </c>
      <c r="I38" s="95" t="n">
        <f aca="false">+Historicals!I47</f>
        <v>2777</v>
      </c>
      <c r="J38" s="122" t="n">
        <f aca="false">I38*(1+V38)</f>
        <v>2794.1596292482</v>
      </c>
      <c r="K38" s="122" t="n">
        <f aca="false">J38*(1+V38)</f>
        <v>2811.4252912209</v>
      </c>
      <c r="L38" s="122" t="n">
        <f aca="false">K38*(1+V38)</f>
        <v>2828.79764111515</v>
      </c>
      <c r="M38" s="122" t="n">
        <f aca="false">L38*(1+V38)</f>
        <v>2846.27733817663</v>
      </c>
      <c r="N38" s="122" t="n">
        <f aca="false">M38*(1+V38)</f>
        <v>2863.86504572458</v>
      </c>
      <c r="O38" s="114"/>
      <c r="Q38" s="54"/>
      <c r="R38" s="54"/>
      <c r="S38" s="54"/>
      <c r="T38" s="54"/>
      <c r="U38" s="54"/>
      <c r="V38" s="111" t="n">
        <f aca="false">+IFERROR(H38/G38-1,"n+m")</f>
        <v>0.00617919670442846</v>
      </c>
      <c r="W38" s="71"/>
      <c r="X38" s="129" t="s">
        <v>188</v>
      </c>
    </row>
    <row r="39" customFormat="false" ht="13.8" hidden="false" customHeight="false" outlineLevel="0" collapsed="false">
      <c r="A39" s="9" t="s">
        <v>189</v>
      </c>
      <c r="I39" s="130"/>
      <c r="J39" s="12"/>
      <c r="K39" s="12"/>
      <c r="L39" s="12"/>
      <c r="M39" s="12"/>
      <c r="N39" s="12"/>
      <c r="O39" s="119"/>
      <c r="W39" s="68"/>
      <c r="X39" s="68"/>
    </row>
    <row r="40" customFormat="false" ht="13.8" hidden="false" customHeight="false" outlineLevel="0" collapsed="false">
      <c r="A40" s="9" t="s">
        <v>190</v>
      </c>
      <c r="B40" s="131" t="n">
        <f aca="false">B41+B42+B43+B44</f>
        <v>13439</v>
      </c>
      <c r="C40" s="131" t="n">
        <f aca="false">C41+C42+C43+C44</f>
        <v>9527</v>
      </c>
      <c r="D40" s="131" t="n">
        <f aca="false">D41+D42+D43+D44</f>
        <v>9673</v>
      </c>
      <c r="E40" s="131" t="n">
        <f aca="false">E41+E42+E43+E44</f>
        <v>6291</v>
      </c>
      <c r="F40" s="131" t="n">
        <f aca="false">F41+F42+F43+F44</f>
        <v>5454</v>
      </c>
      <c r="G40" s="131" t="n">
        <f aca="false">G41+G42+G43+G44</f>
        <v>5873</v>
      </c>
      <c r="H40" s="131" t="n">
        <f aca="false">H41+H42+H43+H44</f>
        <v>13331</v>
      </c>
      <c r="I40" s="132" t="n">
        <f aca="false">I41+I42+I43+I44</f>
        <v>12418</v>
      </c>
      <c r="J40" s="131" t="n">
        <f aca="false">J41+J42+J43+J44</f>
        <v>15711.5633020706</v>
      </c>
      <c r="K40" s="131" t="n">
        <f aca="false">K41+K42+K43+K44</f>
        <v>17223.423486548</v>
      </c>
      <c r="L40" s="131" t="n">
        <f aca="false">L41+L42+L43+L44</f>
        <v>18727.5692101686</v>
      </c>
      <c r="M40" s="131" t="n">
        <f aca="false">M41+M42+M43+M44</f>
        <v>20439.0575965092</v>
      </c>
      <c r="N40" s="131" t="n">
        <f aca="false">N41+N42+N43+N44</f>
        <v>22259.3947250177</v>
      </c>
      <c r="O40" s="119"/>
      <c r="W40" s="68"/>
      <c r="X40" s="129" t="s">
        <v>191</v>
      </c>
    </row>
    <row r="41" customFormat="false" ht="13.8" hidden="false" customHeight="false" outlineLevel="0" collapsed="false">
      <c r="A41" s="19" t="s">
        <v>192</v>
      </c>
      <c r="B41" s="94" t="n">
        <f aca="false">+Historicals!B54</f>
        <v>3</v>
      </c>
      <c r="C41" s="94" t="n">
        <f aca="false">+Historicals!C54</f>
        <v>3</v>
      </c>
      <c r="D41" s="94" t="n">
        <f aca="false">+Historicals!D54</f>
        <v>3</v>
      </c>
      <c r="E41" s="94" t="n">
        <f aca="false">+Historicals!E54</f>
        <v>3</v>
      </c>
      <c r="F41" s="94" t="n">
        <f aca="false">+Historicals!F54</f>
        <v>3</v>
      </c>
      <c r="G41" s="94" t="n">
        <f aca="false">+Historicals!G54</f>
        <v>3</v>
      </c>
      <c r="H41" s="94" t="n">
        <f aca="false">+Historicals!H54</f>
        <v>3</v>
      </c>
      <c r="I41" s="95" t="n">
        <f aca="false">+Historicals!I54</f>
        <v>3</v>
      </c>
      <c r="J41" s="12"/>
      <c r="K41" s="12" t="n">
        <f aca="false">J41</f>
        <v>0</v>
      </c>
      <c r="L41" s="12" t="n">
        <f aca="false">K41</f>
        <v>0</v>
      </c>
      <c r="M41" s="12" t="n">
        <f aca="false">L41</f>
        <v>0</v>
      </c>
      <c r="N41" s="12" t="n">
        <f aca="false">M41</f>
        <v>0</v>
      </c>
      <c r="O41" s="119"/>
      <c r="W41" s="68"/>
      <c r="X41" s="129" t="s">
        <v>193</v>
      </c>
    </row>
    <row r="42" customFormat="false" ht="13.8" hidden="false" customHeight="false" outlineLevel="0" collapsed="false">
      <c r="A42" s="31" t="s">
        <v>59</v>
      </c>
      <c r="B42" s="94" t="n">
        <f aca="false">+Historicals!B55</f>
        <v>6773</v>
      </c>
      <c r="C42" s="94" t="n">
        <f aca="false">+Historicals!C55</f>
        <v>7786</v>
      </c>
      <c r="D42" s="94" t="n">
        <f aca="false">+Historicals!D55</f>
        <v>5710</v>
      </c>
      <c r="E42" s="94" t="n">
        <f aca="false">+Historicals!E55</f>
        <v>6384</v>
      </c>
      <c r="F42" s="94" t="n">
        <f aca="false">+Historicals!F55</f>
        <v>7163</v>
      </c>
      <c r="G42" s="94" t="n">
        <f aca="false">+Historicals!G55</f>
        <v>8299</v>
      </c>
      <c r="H42" s="94" t="n">
        <f aca="false">+Historicals!H55</f>
        <v>9965</v>
      </c>
      <c r="I42" s="95" t="n">
        <f aca="false">+Historicals!I55</f>
        <v>11484</v>
      </c>
      <c r="J42" s="122" t="n">
        <f aca="false">I42*(1+O42)</f>
        <v>12395.2090792797</v>
      </c>
      <c r="K42" s="122" t="n">
        <f aca="false">J42*(1+O42)</f>
        <v>13378.718923638</v>
      </c>
      <c r="L42" s="122" t="n">
        <f aca="false">K42*(1+O42)</f>
        <v>14440.2663071586</v>
      </c>
      <c r="M42" s="122" t="n">
        <f aca="false">L42*(1+O42)</f>
        <v>15586.0431938097</v>
      </c>
      <c r="N42" s="122" t="n">
        <f aca="false">M42*(1+O42)</f>
        <v>16822.7328549247</v>
      </c>
      <c r="O42" s="110" t="n">
        <f aca="false">(T42+R42+Q42+S42+U42+V42+W42)/8</f>
        <v>0.0793459664994554</v>
      </c>
      <c r="Q42" s="111" t="n">
        <f aca="false">+IFERROR(C42/B42-1,"n+m")</f>
        <v>0.149564447069245</v>
      </c>
      <c r="R42" s="111" t="n">
        <f aca="false">+IFERROR(D42/C42-1,"n+m")</f>
        <v>-0.266632417159003</v>
      </c>
      <c r="S42" s="111" t="n">
        <f aca="false">+IFERROR(E42/D42-1,"n+m")</f>
        <v>0.118038528896673</v>
      </c>
      <c r="T42" s="111" t="n">
        <f aca="false">+IFERROR(F42/E42-1,"n+m")</f>
        <v>0.12202380952381</v>
      </c>
      <c r="U42" s="111" t="n">
        <f aca="false">+IFERROR(G42/F42-1,"n+m")</f>
        <v>0.158592768393131</v>
      </c>
      <c r="V42" s="111" t="n">
        <f aca="false">+IFERROR(H42/G42-1,"n+m")</f>
        <v>0.2007470779612</v>
      </c>
      <c r="W42" s="116" t="n">
        <f aca="false">+IFERROR(I42/H42-1,"n+m")</f>
        <v>0.152433517310587</v>
      </c>
      <c r="X42" s="68"/>
    </row>
    <row r="43" customFormat="false" ht="13.8" hidden="false" customHeight="false" outlineLevel="0" collapsed="false">
      <c r="A43" s="19" t="s">
        <v>194</v>
      </c>
      <c r="B43" s="94" t="n">
        <f aca="false">+Historicals!B57+B72</f>
        <v>5417</v>
      </c>
      <c r="C43" s="94" t="n">
        <f aca="false">+Historicals!C57+C72</f>
        <v>1420</v>
      </c>
      <c r="D43" s="94" t="n">
        <f aca="false">+Historicals!D57+D72</f>
        <v>4173</v>
      </c>
      <c r="E43" s="12" t="n">
        <f aca="false">+Historicals!E57+E72</f>
        <v>-4</v>
      </c>
      <c r="F43" s="12" t="n">
        <f aca="false">+Historicals!F57+F72</f>
        <v>-1943</v>
      </c>
      <c r="G43" s="12" t="n">
        <f aca="false">+Historicals!G57+G72</f>
        <v>-2373</v>
      </c>
      <c r="H43" s="12" t="n">
        <f aca="false">+Historicals!H57+H72</f>
        <v>3743</v>
      </c>
      <c r="I43" s="133" t="n">
        <f aca="false">+Historicals!I57+I72</f>
        <v>613</v>
      </c>
      <c r="J43" s="12" t="n">
        <f aca="false">(J15+J72)</f>
        <v>3193.35422279086</v>
      </c>
      <c r="K43" s="12" t="n">
        <f aca="false">(K15+K72)</f>
        <v>3624.20456290993</v>
      </c>
      <c r="L43" s="12" t="n">
        <f aca="false">(L15+L72)</f>
        <v>4115.55290300995</v>
      </c>
      <c r="M43" s="12" t="n">
        <f aca="false">(M15+M72)</f>
        <v>4656.8894026995</v>
      </c>
      <c r="N43" s="12" t="n">
        <f aca="false">(N15+N72)</f>
        <v>5252.72437009301</v>
      </c>
      <c r="O43" s="70"/>
      <c r="W43" s="68"/>
      <c r="X43" s="129" t="s">
        <v>195</v>
      </c>
    </row>
    <row r="44" customFormat="false" ht="13.8" hidden="false" customHeight="false" outlineLevel="0" collapsed="false">
      <c r="A44" s="19" t="s">
        <v>196</v>
      </c>
      <c r="B44" s="94" t="n">
        <f aca="false">+Historicals!B56</f>
        <v>1246</v>
      </c>
      <c r="C44" s="94" t="n">
        <f aca="false">+Historicals!C56</f>
        <v>318</v>
      </c>
      <c r="D44" s="12" t="n">
        <f aca="false">+Historicals!D56</f>
        <v>-213</v>
      </c>
      <c r="E44" s="12" t="n">
        <f aca="false">+Historicals!E56</f>
        <v>-92</v>
      </c>
      <c r="F44" s="94" t="n">
        <f aca="false">+Historicals!F56</f>
        <v>231</v>
      </c>
      <c r="G44" s="12" t="n">
        <f aca="false">+Historicals!G56</f>
        <v>-56</v>
      </c>
      <c r="H44" s="12" t="n">
        <f aca="false">+Historicals!H56</f>
        <v>-380</v>
      </c>
      <c r="I44" s="133" t="n">
        <f aca="false">+Historicals!I56</f>
        <v>318</v>
      </c>
      <c r="J44" s="12" t="n">
        <f aca="false">+SUM(C44:I44)-3</f>
        <v>123</v>
      </c>
      <c r="K44" s="12" t="n">
        <f aca="false">+SUM(I44:J44)/2</f>
        <v>220.5</v>
      </c>
      <c r="L44" s="12" t="n">
        <f aca="false">+SUM(J44:K44)/2</f>
        <v>171.75</v>
      </c>
      <c r="M44" s="12" t="n">
        <f aca="false">+SUM(K44:L44)/2</f>
        <v>196.125</v>
      </c>
      <c r="N44" s="12" t="n">
        <f aca="false">+SUM(L44:M44)/2</f>
        <v>183.9375</v>
      </c>
      <c r="O44" s="70"/>
      <c r="W44" s="68"/>
      <c r="X44" s="106" t="s">
        <v>197</v>
      </c>
    </row>
    <row r="45" customFormat="false" ht="13.8" hidden="false" customHeight="false" outlineLevel="0" collapsed="false">
      <c r="A45" s="22" t="s">
        <v>198</v>
      </c>
      <c r="B45" s="125" t="n">
        <f aca="false">B40+B37+B36+B33</f>
        <v>20198</v>
      </c>
      <c r="C45" s="125" t="n">
        <f aca="false">C40+C37+C36+C33</f>
        <v>16474</v>
      </c>
      <c r="D45" s="125" t="n">
        <f aca="false">D40+D37+D36+D33</f>
        <v>18477</v>
      </c>
      <c r="E45" s="125" t="n">
        <f aca="false">E40+E37+E36+E33</f>
        <v>16736</v>
      </c>
      <c r="F45" s="125" t="n">
        <f aca="false">F40+F37+F36+F33</f>
        <v>17519</v>
      </c>
      <c r="G45" s="125" t="n">
        <f aca="false">G40+G38+G37+G36+G33</f>
        <v>26912</v>
      </c>
      <c r="H45" s="125" t="n">
        <f aca="false">H40+H38+H37+H36+H33</f>
        <v>35468</v>
      </c>
      <c r="I45" s="126" t="n">
        <f aca="false">I40+I38+I37+I36+I33</f>
        <v>34100</v>
      </c>
      <c r="J45" s="125" t="n">
        <f aca="false">J40+J38+J37+J36+J33</f>
        <v>37201.3612472873</v>
      </c>
      <c r="K45" s="125" t="n">
        <f aca="false">K40+K38+K37+K36+K33</f>
        <v>39193.5628312302</v>
      </c>
      <c r="L45" s="125" t="n">
        <f aca="false">L40+L38+L37+L36+L33</f>
        <v>41214.5195744442</v>
      </c>
      <c r="M45" s="125" t="n">
        <f aca="false">M40+M38+M37+M36+M33</f>
        <v>43484.5432025788</v>
      </c>
      <c r="N45" s="125" t="n">
        <f aca="false">N40+N38+N37+N36+N33</f>
        <v>45911.3710755263</v>
      </c>
      <c r="O45" s="79"/>
      <c r="Q45" s="54"/>
      <c r="R45" s="54"/>
      <c r="S45" s="54"/>
      <c r="T45" s="54"/>
      <c r="U45" s="54"/>
      <c r="V45" s="54"/>
      <c r="W45" s="71"/>
      <c r="X45" s="68"/>
    </row>
    <row r="46" customFormat="false" ht="13.8" hidden="false" customHeight="false" outlineLevel="0" collapsed="false">
      <c r="A46" s="134" t="s">
        <v>199</v>
      </c>
      <c r="B46" s="135" t="n">
        <f aca="false">B45-B32</f>
        <v>-204</v>
      </c>
      <c r="C46" s="135" t="n">
        <f aca="false">+C45-C32</f>
        <v>-3519</v>
      </c>
      <c r="D46" s="135" t="n">
        <f aca="false">+D45-D32</f>
        <v>-3870</v>
      </c>
      <c r="E46" s="135" t="n">
        <f aca="false">+E45-E32</f>
        <v>-4379</v>
      </c>
      <c r="F46" s="135" t="n">
        <f aca="false">+F45-F32</f>
        <v>-3946</v>
      </c>
      <c r="G46" s="135" t="n">
        <f aca="false">+G45-G32</f>
        <v>-2857</v>
      </c>
      <c r="H46" s="135" t="n">
        <f aca="false">+H45-H32</f>
        <v>-706</v>
      </c>
      <c r="I46" s="136" t="n">
        <f aca="false">+I45-I32</f>
        <v>-5033</v>
      </c>
      <c r="J46" s="135" t="n">
        <f aca="false">+J45-J32</f>
        <v>-513.841790590799</v>
      </c>
      <c r="K46" s="135" t="n">
        <f aca="false">+K45-K32</f>
        <v>402.558215969511</v>
      </c>
      <c r="L46" s="135" t="n">
        <f aca="false">+L45-L32</f>
        <v>1938.66592450276</v>
      </c>
      <c r="M46" s="135" t="n">
        <f aca="false">+M45-M32</f>
        <v>3732.6300698259</v>
      </c>
      <c r="N46" s="135" t="n">
        <f aca="false">+N45-N32</f>
        <v>5065.4111508172</v>
      </c>
      <c r="O46" s="70"/>
      <c r="W46" s="68"/>
      <c r="X46" s="68"/>
    </row>
    <row r="47" customFormat="false" ht="13.8" hidden="false" customHeight="false" outlineLevel="0" collapsed="false">
      <c r="A47" s="107" t="s">
        <v>200</v>
      </c>
      <c r="B47" s="52" t="n">
        <v>2015</v>
      </c>
      <c r="C47" s="52"/>
      <c r="D47" s="52"/>
      <c r="E47" s="52"/>
      <c r="F47" s="52"/>
      <c r="G47" s="52"/>
      <c r="H47" s="52"/>
      <c r="I47" s="52"/>
      <c r="J47" s="64"/>
      <c r="K47" s="64"/>
      <c r="L47" s="64"/>
      <c r="M47" s="64"/>
      <c r="N47" s="64"/>
      <c r="O47" s="137" t="s">
        <v>201</v>
      </c>
      <c r="P47" s="67" t="n">
        <v>2015</v>
      </c>
      <c r="Q47" s="66" t="n">
        <v>2016</v>
      </c>
      <c r="R47" s="66" t="n">
        <v>2017</v>
      </c>
      <c r="S47" s="66" t="n">
        <v>2018</v>
      </c>
      <c r="T47" s="66" t="n">
        <v>2019</v>
      </c>
      <c r="U47" s="66" t="n">
        <v>2020</v>
      </c>
      <c r="V47" s="66" t="n">
        <v>2021</v>
      </c>
      <c r="W47" s="138" t="n">
        <v>2022</v>
      </c>
      <c r="X47" s="68"/>
    </row>
    <row r="48" customFormat="false" ht="13.8" hidden="false" customHeight="false" outlineLevel="0" collapsed="false">
      <c r="A48" s="8" t="s">
        <v>148</v>
      </c>
      <c r="B48" s="21" t="n">
        <f aca="false">'Segmental forecast'!B11</f>
        <v>4233</v>
      </c>
      <c r="C48" s="21" t="n">
        <f aca="false">'Segmental forecast'!C11</f>
        <v>4642</v>
      </c>
      <c r="D48" s="21" t="n">
        <f aca="false">'Segmental forecast'!D11</f>
        <v>4945</v>
      </c>
      <c r="E48" s="21" t="n">
        <f aca="false">'Segmental forecast'!E11</f>
        <v>4379</v>
      </c>
      <c r="F48" s="21" t="n">
        <f aca="false">'Segmental forecast'!F11</f>
        <v>4850</v>
      </c>
      <c r="G48" s="21" t="n">
        <f aca="false">'Segmental forecast'!G11</f>
        <v>2976</v>
      </c>
      <c r="H48" s="21" t="n">
        <f aca="false">'Segmental forecast'!H11</f>
        <v>6923</v>
      </c>
      <c r="I48" s="21" t="n">
        <f aca="false">'Segmental forecast'!I11</f>
        <v>6856</v>
      </c>
      <c r="J48" s="139" t="n">
        <f aca="false">J7</f>
        <v>7190.3489155328</v>
      </c>
      <c r="K48" s="61" t="n">
        <f aca="false">K7</f>
        <v>7541.00313989261</v>
      </c>
      <c r="L48" s="61" t="n">
        <f aca="false">L7</f>
        <v>7908.75783969608</v>
      </c>
      <c r="M48" s="61" t="n">
        <f aca="false">M7</f>
        <v>8294.44695972437</v>
      </c>
      <c r="N48" s="61" t="n">
        <f aca="false">N7</f>
        <v>8698.94511403128</v>
      </c>
      <c r="O48" s="70"/>
      <c r="W48" s="68"/>
      <c r="X48" s="68"/>
    </row>
    <row r="49" customFormat="false" ht="13.8" hidden="false" customHeight="false" outlineLevel="0" collapsed="false">
      <c r="A49" s="9" t="s">
        <v>146</v>
      </c>
      <c r="B49" s="12" t="n">
        <f aca="false">'Segmental forecast'!B8</f>
        <v>606</v>
      </c>
      <c r="C49" s="12" t="n">
        <f aca="false">'Segmental forecast'!C8</f>
        <v>649</v>
      </c>
      <c r="D49" s="12" t="n">
        <f aca="false">'Segmental forecast'!D8</f>
        <v>706</v>
      </c>
      <c r="E49" s="12" t="n">
        <f aca="false">'Segmental forecast'!E8</f>
        <v>747</v>
      </c>
      <c r="F49" s="12" t="n">
        <f aca="false">'Segmental forecast'!F8</f>
        <v>705</v>
      </c>
      <c r="G49" s="12" t="n">
        <f aca="false">'Segmental forecast'!G8</f>
        <v>721</v>
      </c>
      <c r="H49" s="12" t="n">
        <f aca="false">'Segmental forecast'!H8</f>
        <v>744</v>
      </c>
      <c r="I49" s="12" t="n">
        <f aca="false">'Segmental forecast'!I8</f>
        <v>717</v>
      </c>
      <c r="J49" s="140" t="n">
        <f aca="false">J6</f>
        <v>751.966186178095</v>
      </c>
      <c r="K49" s="120" t="n">
        <f aca="false">K6</f>
        <v>788.637580411757</v>
      </c>
      <c r="L49" s="120" t="n">
        <f aca="false">L6</f>
        <v>827.097341170083</v>
      </c>
      <c r="M49" s="120" t="n">
        <f aca="false">M6</f>
        <v>867.432682339903</v>
      </c>
      <c r="N49" s="120" t="n">
        <f aca="false">N6</f>
        <v>909.735070997729</v>
      </c>
      <c r="O49" s="70"/>
      <c r="W49" s="68"/>
      <c r="X49" s="68"/>
    </row>
    <row r="50" customFormat="false" ht="13.8" hidden="false" customHeight="false" outlineLevel="0" collapsed="false">
      <c r="A50" s="9" t="s">
        <v>202</v>
      </c>
      <c r="B50" s="94" t="n">
        <f aca="false">+Historicals!B104</f>
        <v>1262</v>
      </c>
      <c r="C50" s="94" t="n">
        <f aca="false">+Historicals!C104</f>
        <v>748</v>
      </c>
      <c r="D50" s="94" t="n">
        <f aca="false">+Historicals!D104</f>
        <v>703</v>
      </c>
      <c r="E50" s="94" t="n">
        <f aca="false">+Historicals!E104</f>
        <v>529</v>
      </c>
      <c r="F50" s="94" t="n">
        <f aca="false">+Historicals!F104</f>
        <v>757</v>
      </c>
      <c r="G50" s="94" t="n">
        <f aca="false">+Historicals!G104</f>
        <v>1028</v>
      </c>
      <c r="H50" s="94" t="n">
        <f aca="false">+Historicals!H104</f>
        <v>1177</v>
      </c>
      <c r="I50" s="94" t="n">
        <f aca="false">+Historicals!I104</f>
        <v>1231</v>
      </c>
      <c r="J50" s="141" t="n">
        <f aca="false">I50*(1+O50)</f>
        <v>1277.5764396912</v>
      </c>
      <c r="K50" s="122" t="n">
        <f aca="false">J50*(1+O50)</f>
        <v>1325.91515780181</v>
      </c>
      <c r="L50" s="122" t="n">
        <f aca="false">K50*(1+O50)</f>
        <v>1376.08283236152</v>
      </c>
      <c r="M50" s="122" t="n">
        <f aca="false">L50*(1+O50)</f>
        <v>1428.14866424745</v>
      </c>
      <c r="N50" s="122" t="n">
        <f aca="false">M50*(1+O50)</f>
        <v>1482.18447263931</v>
      </c>
      <c r="O50" s="110" t="n">
        <f aca="false">(T50+R50+Q50+S50+U50+V50+W50)/7</f>
        <v>0.0378362629497939</v>
      </c>
      <c r="Q50" s="111" t="n">
        <f aca="false">+IFERROR(C50/B50-1,"n+m")</f>
        <v>-0.407290015847861</v>
      </c>
      <c r="R50" s="111" t="n">
        <f aca="false">+IFERROR(D50/C50-1,"n+m")</f>
        <v>-0.0601604278074867</v>
      </c>
      <c r="S50" s="111" t="n">
        <f aca="false">+IFERROR(E50/D50-1,"n+m")</f>
        <v>-0.2475106685633</v>
      </c>
      <c r="T50" s="111" t="n">
        <f aca="false">+IFERROR(F50/E50-1,"n+m")</f>
        <v>0.431001890359168</v>
      </c>
      <c r="U50" s="111" t="n">
        <f aca="false">+IFERROR(G50/F50-1,"n+m")</f>
        <v>0.357992073976222</v>
      </c>
      <c r="V50" s="111" t="n">
        <f aca="false">+IFERROR(H50/G50-1,"n+m")</f>
        <v>0.144941634241245</v>
      </c>
      <c r="W50" s="116" t="n">
        <f aca="false">+IFERROR(I50/H50-1,"n+m")</f>
        <v>0.0458793542905693</v>
      </c>
      <c r="X50" s="71"/>
    </row>
    <row r="51" customFormat="false" ht="13.8" hidden="false" customHeight="false" outlineLevel="0" collapsed="false">
      <c r="A51" s="8" t="s">
        <v>203</v>
      </c>
      <c r="B51" s="131" t="n">
        <f aca="false">B48-B50</f>
        <v>2971</v>
      </c>
      <c r="C51" s="131" t="n">
        <f aca="false">C48-C50</f>
        <v>3894</v>
      </c>
      <c r="D51" s="131" t="n">
        <f aca="false">D48-D50</f>
        <v>4242</v>
      </c>
      <c r="E51" s="131" t="n">
        <f aca="false">E48-E50</f>
        <v>3850</v>
      </c>
      <c r="F51" s="131" t="n">
        <f aca="false">F48-F50</f>
        <v>4093</v>
      </c>
      <c r="G51" s="131" t="n">
        <f aca="false">G48-G50</f>
        <v>1948</v>
      </c>
      <c r="H51" s="131" t="n">
        <f aca="false">H48-H50</f>
        <v>5746</v>
      </c>
      <c r="I51" s="131" t="n">
        <f aca="false">I48-I50</f>
        <v>5625</v>
      </c>
      <c r="J51" s="142" t="n">
        <f aca="false">J48-J50</f>
        <v>5912.77247584161</v>
      </c>
      <c r="K51" s="131" t="n">
        <f aca="false">K48-K50</f>
        <v>6215.0879820908</v>
      </c>
      <c r="L51" s="131" t="n">
        <f aca="false">L48-L50</f>
        <v>6532.67500733456</v>
      </c>
      <c r="M51" s="131" t="n">
        <f aca="false">M48-M50</f>
        <v>6866.29829547692</v>
      </c>
      <c r="N51" s="131" t="n">
        <f aca="false">N48-N50</f>
        <v>7216.76064139197</v>
      </c>
      <c r="O51" s="70"/>
      <c r="W51" s="68"/>
      <c r="X51" s="68"/>
    </row>
    <row r="52" customFormat="false" ht="13.8" hidden="false" customHeight="false" outlineLevel="0" collapsed="false">
      <c r="A52" s="9" t="s">
        <v>162</v>
      </c>
      <c r="B52" s="94" t="n">
        <f aca="false">+Historicals!B103</f>
        <v>53</v>
      </c>
      <c r="C52" s="94" t="n">
        <f aca="false">+Historicals!C103</f>
        <v>70</v>
      </c>
      <c r="D52" s="94" t="n">
        <f aca="false">+Historicals!D103</f>
        <v>98</v>
      </c>
      <c r="E52" s="94" t="n">
        <f aca="false">+Historicals!E103</f>
        <v>125</v>
      </c>
      <c r="F52" s="94" t="n">
        <f aca="false">+Historicals!F103</f>
        <v>153</v>
      </c>
      <c r="G52" s="94" t="n">
        <f aca="false">+Historicals!G103</f>
        <v>140</v>
      </c>
      <c r="H52" s="94" t="n">
        <f aca="false">+Historicals!H103</f>
        <v>293</v>
      </c>
      <c r="I52" s="94" t="n">
        <f aca="false">+Historicals!I103</f>
        <v>290</v>
      </c>
      <c r="J52" s="141" t="n">
        <f aca="false">J22*(O52)</f>
        <v>376.960525617199</v>
      </c>
      <c r="K52" s="122" t="n">
        <f aca="false">K22*(O52)</f>
        <v>327.884095820303</v>
      </c>
      <c r="L52" s="122" t="n">
        <f aca="false">L22*(O52)</f>
        <v>298.326320634896</v>
      </c>
      <c r="M52" s="122" t="n">
        <f aca="false">M22*(O52)</f>
        <v>273.272348729384</v>
      </c>
      <c r="N52" s="122" t="n">
        <f aca="false">N22*(O52)</f>
        <v>252.15038213303</v>
      </c>
      <c r="O52" s="110" t="n">
        <f aca="false">(T52+R52+Q52+S52+U52+V52+W52+X52+P52)/2</f>
        <v>0.034770836578668</v>
      </c>
      <c r="P52" s="143"/>
      <c r="Q52" s="143"/>
      <c r="R52" s="111" t="n">
        <f aca="false">ABS(D52/C83)</f>
        <v>0.00781000956327702</v>
      </c>
      <c r="S52" s="111" t="n">
        <f aca="false">ABS(E52/D83)</f>
        <v>0.00923668070642134</v>
      </c>
      <c r="T52" s="111" t="n">
        <f aca="false">ABS(F52/E83)</f>
        <v>0.0131567632642532</v>
      </c>
      <c r="U52" s="111" t="n">
        <f aca="false">ABS(G52/F83)</f>
        <v>0.0110297014102261</v>
      </c>
      <c r="V52" s="111" t="n">
        <f aca="false">ABS(H52/G83)</f>
        <v>0.0163787802560233</v>
      </c>
      <c r="W52" s="111" t="n">
        <f aca="false">ABS(I52/H83)</f>
        <v>0.0119297379571352</v>
      </c>
      <c r="X52" s="71"/>
    </row>
    <row r="53" customFormat="false" ht="13.8" hidden="false" customHeight="false" outlineLevel="0" collapsed="false">
      <c r="A53" s="9" t="s">
        <v>204</v>
      </c>
      <c r="B53" s="12" t="n">
        <f aca="false">Historicals!N23-B24</f>
        <v>-113</v>
      </c>
      <c r="C53" s="12" t="n">
        <f aca="false">B24-C24</f>
        <v>-324</v>
      </c>
      <c r="D53" s="12" t="n">
        <f aca="false">C24-D24</f>
        <v>-796</v>
      </c>
      <c r="E53" s="12" t="n">
        <f aca="false">D24-E24</f>
        <v>204</v>
      </c>
      <c r="F53" s="12" t="n">
        <f aca="false">E24-F24</f>
        <v>-802</v>
      </c>
      <c r="G53" s="12" t="n">
        <f aca="false">F24-G24</f>
        <v>-586</v>
      </c>
      <c r="H53" s="12" t="n">
        <f aca="false">G24-H24</f>
        <v>-613</v>
      </c>
      <c r="I53" s="12" t="n">
        <f aca="false">H24-I24</f>
        <v>-1248</v>
      </c>
      <c r="J53" s="144" t="n">
        <f aca="false">I24-J24</f>
        <v>786.762919334105</v>
      </c>
      <c r="K53" s="12" t="n">
        <f aca="false">J24-K24</f>
        <v>-893.445227234583</v>
      </c>
      <c r="L53" s="12" t="n">
        <f aca="false">K24-L24</f>
        <v>-479.660109855851</v>
      </c>
      <c r="M53" s="12" t="n">
        <f aca="false">L24-M24</f>
        <v>-503.051859790892</v>
      </c>
      <c r="N53" s="12" t="n">
        <f aca="false">M24-N24</f>
        <v>-527.584363259071</v>
      </c>
      <c r="O53" s="145"/>
      <c r="W53" s="68"/>
      <c r="X53" s="68"/>
    </row>
    <row r="54" customFormat="false" ht="13.8" hidden="false" customHeight="false" outlineLevel="0" collapsed="false">
      <c r="A54" s="9" t="s">
        <v>149</v>
      </c>
      <c r="B54" s="12" t="n">
        <f aca="false">-'Segmental forecast'!B14</f>
        <v>-963</v>
      </c>
      <c r="C54" s="12" t="n">
        <f aca="false">-'Segmental forecast'!C14</f>
        <v>-1143</v>
      </c>
      <c r="D54" s="12" t="n">
        <f aca="false">-'Segmental forecast'!D14</f>
        <v>-1105</v>
      </c>
      <c r="E54" s="12" t="n">
        <f aca="false">-'Segmental forecast'!E14</f>
        <v>-1028</v>
      </c>
      <c r="F54" s="12" t="n">
        <f aca="false">-'Segmental forecast'!F14</f>
        <v>-1119</v>
      </c>
      <c r="G54" s="12" t="n">
        <f aca="false">-'Segmental forecast'!G14</f>
        <v>-1086</v>
      </c>
      <c r="H54" s="12" t="n">
        <f aca="false">-'Segmental forecast'!H14</f>
        <v>-695</v>
      </c>
      <c r="I54" s="12" t="n">
        <f aca="false">-'Segmental forecast'!I14</f>
        <v>-758</v>
      </c>
      <c r="J54" s="141" t="n">
        <f aca="false">I54*(1+O54)</f>
        <v>-787.519684881577</v>
      </c>
      <c r="K54" s="122" t="n">
        <f aca="false">J54*(1+O54)</f>
        <v>-818.188989546146</v>
      </c>
      <c r="L54" s="122" t="n">
        <f aca="false">K54*(1+O54)</f>
        <v>-850.052684988069</v>
      </c>
      <c r="M54" s="122" t="n">
        <f aca="false">L54*(1+O54)</f>
        <v>-883.157285771165</v>
      </c>
      <c r="N54" s="122" t="n">
        <f aca="false">M54*(1+O54)</f>
        <v>-917.551117930576</v>
      </c>
      <c r="O54" s="110" t="n">
        <f aca="false">(T54+R54+Q54+S54+U54+V54+W54)/6</f>
        <v>0.0389441753055106</v>
      </c>
      <c r="Q54" s="111" t="n">
        <f aca="false">+IFERROR(C54/B54-1,"n+m")</f>
        <v>0.186915887850467</v>
      </c>
      <c r="R54" s="111" t="n">
        <f aca="false">+IFERROR(D54/C54-1,"n+m")</f>
        <v>-0.0332458442694663</v>
      </c>
      <c r="S54" s="111" t="n">
        <f aca="false">+IFERROR(E54/D54-1,"n+m")</f>
        <v>-0.069683257918552</v>
      </c>
      <c r="T54" s="111" t="n">
        <f aca="false">+IFERROR(F54/E54-1,"n+m")</f>
        <v>0.08852140077821</v>
      </c>
      <c r="U54" s="111" t="n">
        <f aca="false">+IFERROR(G54/F54-1,"n+m")</f>
        <v>-0.0294906166219839</v>
      </c>
      <c r="V54" s="54"/>
      <c r="W54" s="116" t="n">
        <f aca="false">+IFERROR(I54/H54-1,"n+m")</f>
        <v>0.0906474820143886</v>
      </c>
      <c r="X54" s="71"/>
    </row>
    <row r="55" customFormat="false" ht="13.8" hidden="false" customHeight="false" outlineLevel="0" collapsed="false">
      <c r="A55" s="19" t="s">
        <v>114</v>
      </c>
      <c r="B55" s="146" t="n">
        <f aca="false">'Segmental forecast'!B45</f>
        <v>208</v>
      </c>
      <c r="C55" s="12" t="n">
        <f aca="false">'Segmental forecast'!C45</f>
        <v>242</v>
      </c>
      <c r="D55" s="12" t="n">
        <f aca="false">'Segmental forecast'!D45</f>
        <v>223</v>
      </c>
      <c r="E55" s="12" t="n">
        <f aca="false">'Segmental forecast'!E45</f>
        <v>196</v>
      </c>
      <c r="F55" s="12" t="n">
        <f aca="false">'Segmental forecast'!F45</f>
        <v>117</v>
      </c>
      <c r="G55" s="12" t="n">
        <f aca="false">'Segmental forecast'!G45</f>
        <v>110</v>
      </c>
      <c r="H55" s="12" t="n">
        <f aca="false">'Segmental forecast'!H45</f>
        <v>98</v>
      </c>
      <c r="I55" s="12" t="n">
        <f aca="false">'Segmental forecast'!I45</f>
        <v>146</v>
      </c>
      <c r="J55" s="141" t="n">
        <f aca="false">I55*(1+O54)</f>
        <v>151.685849594605</v>
      </c>
      <c r="K55" s="122" t="n">
        <f aca="false">J55*(1+O54)</f>
        <v>157.593129912582</v>
      </c>
      <c r="L55" s="122" t="n">
        <f aca="false">K55*(1+O54)</f>
        <v>163.730464390842</v>
      </c>
      <c r="M55" s="122" t="n">
        <f aca="false">L55*(1+O54)</f>
        <v>170.106812298931</v>
      </c>
      <c r="N55" s="147" t="n">
        <f aca="false">M55*(1+O54)</f>
        <v>176.731481817763</v>
      </c>
      <c r="Q55" s="54"/>
      <c r="R55" s="54"/>
      <c r="S55" s="54"/>
      <c r="T55" s="54"/>
      <c r="U55" s="54"/>
      <c r="V55" s="54"/>
      <c r="W55" s="71"/>
      <c r="X55" s="71"/>
    </row>
    <row r="56" customFormat="false" ht="13.8" hidden="false" customHeight="false" outlineLevel="0" collapsed="false">
      <c r="A56" s="19" t="s">
        <v>118</v>
      </c>
      <c r="B56" s="12" t="n">
        <f aca="false">'Segmental forecast'!B76</f>
        <v>236</v>
      </c>
      <c r="C56" s="12" t="n">
        <f aca="false">'Segmental forecast'!C76</f>
        <v>232</v>
      </c>
      <c r="D56" s="12" t="n">
        <f aca="false">'Segmental forecast'!D76</f>
        <v>173</v>
      </c>
      <c r="E56" s="12" t="n">
        <f aca="false">'Segmental forecast'!E76</f>
        <v>240</v>
      </c>
      <c r="F56" s="12" t="n">
        <f aca="false">'Segmental forecast'!F76</f>
        <v>233</v>
      </c>
      <c r="G56" s="12" t="n">
        <f aca="false">'Segmental forecast'!G76</f>
        <v>139</v>
      </c>
      <c r="H56" s="12" t="n">
        <f aca="false">'Segmental forecast'!H76</f>
        <v>153</v>
      </c>
      <c r="I56" s="12" t="n">
        <f aca="false">'Segmental forecast'!I76</f>
        <v>197</v>
      </c>
      <c r="J56" s="141" t="n">
        <f aca="false">I56*(1+O54)</f>
        <v>204.672002535186</v>
      </c>
      <c r="K56" s="122" t="n">
        <f aca="false">J56*(1+O54)</f>
        <v>212.642784882046</v>
      </c>
      <c r="L56" s="122" t="n">
        <f aca="false">K56*(1+O54)</f>
        <v>220.923982773944</v>
      </c>
      <c r="M56" s="122" t="n">
        <f aca="false">L56*(1+O54)</f>
        <v>229.527685088284</v>
      </c>
      <c r="N56" s="147" t="n">
        <f aca="false">M56*(1+O54)</f>
        <v>238.46645149383</v>
      </c>
      <c r="Q56" s="54"/>
      <c r="R56" s="54"/>
      <c r="S56" s="54"/>
      <c r="T56" s="54"/>
      <c r="U56" s="54"/>
      <c r="V56" s="54"/>
      <c r="W56" s="71"/>
      <c r="X56" s="71"/>
    </row>
    <row r="57" customFormat="false" ht="13.8" hidden="false" customHeight="false" outlineLevel="0" collapsed="false">
      <c r="A57" s="19" t="s">
        <v>119</v>
      </c>
      <c r="B57" s="12" t="n">
        <f aca="false">'Segmental forecast'!B107</f>
        <v>69</v>
      </c>
      <c r="C57" s="12" t="n">
        <f aca="false">'Segmental forecast'!C107</f>
        <v>44</v>
      </c>
      <c r="D57" s="12" t="n">
        <f aca="false">'Segmental forecast'!D107</f>
        <v>51</v>
      </c>
      <c r="E57" s="12" t="n">
        <f aca="false">'Segmental forecast'!E107</f>
        <v>76</v>
      </c>
      <c r="F57" s="12" t="n">
        <f aca="false">'Segmental forecast'!F107</f>
        <v>49</v>
      </c>
      <c r="G57" s="12" t="n">
        <f aca="false">'Segmental forecast'!G107</f>
        <v>28</v>
      </c>
      <c r="H57" s="12" t="n">
        <f aca="false">'Segmental forecast'!H107</f>
        <v>94</v>
      </c>
      <c r="I57" s="12" t="n">
        <f aca="false">'Segmental forecast'!I107</f>
        <v>78</v>
      </c>
      <c r="J57" s="141" t="n">
        <f aca="false">I57*(1+O54)</f>
        <v>81.0376456738298</v>
      </c>
      <c r="K57" s="122" t="n">
        <f aca="false">J57*(1+O54)</f>
        <v>84.1935899532973</v>
      </c>
      <c r="L57" s="122" t="n">
        <f aca="false">K57*(1+O54)</f>
        <v>87.4724398800388</v>
      </c>
      <c r="M57" s="122" t="n">
        <f aca="false">L57*(1+O54)</f>
        <v>90.8789819131278</v>
      </c>
      <c r="N57" s="147" t="n">
        <f aca="false">M57*(1+O54)</f>
        <v>94.418188916339</v>
      </c>
      <c r="Q57" s="54"/>
      <c r="R57" s="54"/>
      <c r="S57" s="54"/>
      <c r="T57" s="54"/>
      <c r="U57" s="54"/>
      <c r="V57" s="54"/>
      <c r="W57" s="71"/>
      <c r="X57" s="71"/>
    </row>
    <row r="58" customFormat="false" ht="13.8" hidden="false" customHeight="false" outlineLevel="0" collapsed="false">
      <c r="A58" s="19" t="s">
        <v>120</v>
      </c>
      <c r="B58" s="12" t="n">
        <f aca="false">'Segmental forecast'!B138</f>
        <v>52</v>
      </c>
      <c r="C58" s="12" t="n">
        <f aca="false">'Segmental forecast'!C138</f>
        <v>64</v>
      </c>
      <c r="D58" s="12" t="n">
        <f aca="false">'Segmental forecast'!D138</f>
        <v>59</v>
      </c>
      <c r="E58" s="12" t="n">
        <f aca="false">'Segmental forecast'!E138</f>
        <v>49</v>
      </c>
      <c r="F58" s="12" t="n">
        <f aca="false">'Segmental forecast'!F138</f>
        <v>47</v>
      </c>
      <c r="G58" s="12" t="n">
        <f aca="false">'Segmental forecast'!G138</f>
        <v>41</v>
      </c>
      <c r="H58" s="12" t="n">
        <f aca="false">'Segmental forecast'!H138</f>
        <v>54</v>
      </c>
      <c r="I58" s="12" t="n">
        <f aca="false">'Segmental forecast'!I138</f>
        <v>56</v>
      </c>
      <c r="J58" s="141" t="n">
        <f aca="false">I58*(1+O54)</f>
        <v>58.1808738171086</v>
      </c>
      <c r="K58" s="122" t="n">
        <f aca="false">J58*(1+O54)</f>
        <v>60.4466799664699</v>
      </c>
      <c r="L58" s="122" t="n">
        <f aca="false">K58*(1+O54)</f>
        <v>62.8007260677202</v>
      </c>
      <c r="M58" s="122" t="n">
        <f aca="false">L58*(1+O54)</f>
        <v>65.2464485530148</v>
      </c>
      <c r="N58" s="147" t="n">
        <f aca="false">M58*(1+O54)</f>
        <v>67.7874176835254</v>
      </c>
      <c r="Q58" s="54"/>
      <c r="R58" s="54"/>
      <c r="S58" s="54"/>
      <c r="T58" s="54"/>
      <c r="U58" s="54"/>
      <c r="V58" s="54"/>
      <c r="W58" s="71"/>
      <c r="X58" s="71"/>
    </row>
    <row r="59" customFormat="false" ht="13.8" hidden="false" customHeight="false" outlineLevel="0" collapsed="false">
      <c r="A59" s="19" t="s">
        <v>121</v>
      </c>
      <c r="B59" s="12" t="n">
        <f aca="false">'Segmental forecast'!B159</f>
        <v>225</v>
      </c>
      <c r="C59" s="12" t="n">
        <f aca="false">'Segmental forecast'!C159</f>
        <v>258</v>
      </c>
      <c r="D59" s="12" t="n">
        <f aca="false">'Segmental forecast'!D159</f>
        <v>278</v>
      </c>
      <c r="E59" s="12" t="n">
        <f aca="false">'Segmental forecast'!E159</f>
        <v>286</v>
      </c>
      <c r="F59" s="12" t="n">
        <f aca="false">'Segmental forecast'!F159</f>
        <v>278</v>
      </c>
      <c r="G59" s="12" t="n">
        <f aca="false">'Segmental forecast'!G159</f>
        <v>438</v>
      </c>
      <c r="H59" s="12" t="n">
        <f aca="false">'Segmental forecast'!H159</f>
        <v>278</v>
      </c>
      <c r="I59" s="12" t="n">
        <f aca="false">'Segmental forecast'!I159</f>
        <v>222</v>
      </c>
      <c r="J59" s="141" t="n">
        <f aca="false">I59*(1+O54)</f>
        <v>230.645606917823</v>
      </c>
      <c r="K59" s="122" t="n">
        <f aca="false">J59*(1+O54)</f>
        <v>239.627909867077</v>
      </c>
      <c r="L59" s="122" t="n">
        <f aca="false">K59*(1+O54)</f>
        <v>248.960021197034</v>
      </c>
      <c r="M59" s="122" t="n">
        <f aca="false">L59*(1+O54)</f>
        <v>258.655563906594</v>
      </c>
      <c r="N59" s="147" t="n">
        <f aca="false">M59*(1+O54)</f>
        <v>268.728691531119</v>
      </c>
      <c r="Q59" s="54"/>
      <c r="R59" s="54"/>
      <c r="S59" s="54"/>
      <c r="T59" s="54"/>
      <c r="U59" s="54"/>
      <c r="V59" s="54"/>
      <c r="W59" s="71"/>
      <c r="X59" s="71"/>
    </row>
    <row r="60" customFormat="false" ht="13.8" hidden="false" customHeight="false" outlineLevel="0" collapsed="false">
      <c r="A60" s="19" t="s">
        <v>123</v>
      </c>
      <c r="B60" s="12" t="n">
        <f aca="false">'Segmental forecast'!B194</f>
        <v>69</v>
      </c>
      <c r="C60" s="12" t="n">
        <f aca="false">'Segmental forecast'!C194</f>
        <v>39</v>
      </c>
      <c r="D60" s="12" t="n">
        <f aca="false">'Segmental forecast'!D194</f>
        <v>30</v>
      </c>
      <c r="E60" s="12" t="n">
        <f aca="false">'Segmental forecast'!E194</f>
        <v>22</v>
      </c>
      <c r="F60" s="12" t="n">
        <f aca="false">'Segmental forecast'!F194</f>
        <v>18</v>
      </c>
      <c r="G60" s="12" t="n">
        <f aca="false">'Segmental forecast'!G194</f>
        <v>12</v>
      </c>
      <c r="H60" s="12" t="n">
        <f aca="false">'Segmental forecast'!H194</f>
        <v>7</v>
      </c>
      <c r="I60" s="12" t="n">
        <f aca="false">'Segmental forecast'!I194</f>
        <v>9</v>
      </c>
      <c r="J60" s="141" t="n">
        <f aca="false">I60*(1+O54)</f>
        <v>9.3504975777496</v>
      </c>
      <c r="K60" s="122" t="n">
        <f aca="false">J60*(1+O54)</f>
        <v>9.71464499461123</v>
      </c>
      <c r="L60" s="122" t="n">
        <f aca="false">K60*(1+O54)</f>
        <v>10.0929738323122</v>
      </c>
      <c r="M60" s="122" t="n">
        <f aca="false">L60*(1+O54)</f>
        <v>10.4860363745917</v>
      </c>
      <c r="N60" s="147" t="n">
        <f aca="false">M60*(1+O54)</f>
        <v>10.8944064134237</v>
      </c>
      <c r="Q60" s="54"/>
      <c r="R60" s="54"/>
      <c r="S60" s="54"/>
      <c r="T60" s="54"/>
      <c r="U60" s="54"/>
      <c r="V60" s="54"/>
      <c r="W60" s="71"/>
      <c r="X60" s="71"/>
    </row>
    <row r="61" customFormat="false" ht="13.8" hidden="false" customHeight="false" outlineLevel="0" collapsed="false">
      <c r="A61" s="19" t="s">
        <v>125</v>
      </c>
      <c r="B61" s="12" t="n">
        <f aca="false">'Segmental forecast'!B215</f>
        <v>144</v>
      </c>
      <c r="C61" s="12" t="n">
        <f aca="false">'Segmental forecast'!C215</f>
        <v>312</v>
      </c>
      <c r="D61" s="12" t="n">
        <f aca="false">'Segmental forecast'!D215</f>
        <v>387</v>
      </c>
      <c r="E61" s="12" t="n">
        <f aca="false">'Segmental forecast'!E215</f>
        <v>325</v>
      </c>
      <c r="F61" s="12" t="n">
        <f aca="false">'Segmental forecast'!F215</f>
        <v>333</v>
      </c>
      <c r="G61" s="12" t="n">
        <f aca="false">'Segmental forecast'!G215</f>
        <v>356</v>
      </c>
      <c r="H61" s="12" t="n">
        <f aca="false">'Segmental forecast'!H215</f>
        <v>107</v>
      </c>
      <c r="I61" s="12" t="n">
        <f aca="false">'Segmental forecast'!I215</f>
        <v>50</v>
      </c>
      <c r="J61" s="141" t="n">
        <f aca="false">I61*(1+O54)</f>
        <v>51.9472087652755</v>
      </c>
      <c r="K61" s="122" t="n">
        <f aca="false">J61*(1+O54)</f>
        <v>53.9702499700624</v>
      </c>
      <c r="L61" s="122" t="n">
        <f aca="false">K61*(1+O54)</f>
        <v>56.0720768461787</v>
      </c>
      <c r="M61" s="122" t="n">
        <f aca="false">L61*(1+O54)</f>
        <v>58.2557576366204</v>
      </c>
      <c r="N61" s="147" t="n">
        <f aca="false">M61*(1+O54)</f>
        <v>60.5244800745763</v>
      </c>
      <c r="Q61" s="54"/>
      <c r="R61" s="54"/>
      <c r="S61" s="54"/>
      <c r="T61" s="54"/>
      <c r="U61" s="54"/>
      <c r="V61" s="54"/>
      <c r="W61" s="71"/>
      <c r="X61" s="71"/>
    </row>
    <row r="62" customFormat="false" ht="13.8" hidden="false" customHeight="false" outlineLevel="0" collapsed="false">
      <c r="A62" s="148" t="s">
        <v>135</v>
      </c>
      <c r="B62" s="149" t="n">
        <f aca="false">'Segmental forecast'!B224</f>
        <v>-40</v>
      </c>
      <c r="C62" s="149" t="n">
        <f aca="false">'Segmental forecast'!C224</f>
        <v>-48</v>
      </c>
      <c r="D62" s="149" t="n">
        <f aca="false">'Segmental forecast'!D224</f>
        <v>-96</v>
      </c>
      <c r="E62" s="149" t="n">
        <f aca="false">'Segmental forecast'!E224</f>
        <v>-166</v>
      </c>
      <c r="F62" s="149" t="n">
        <f aca="false">'Segmental forecast'!F224</f>
        <v>44</v>
      </c>
      <c r="G62" s="149" t="n">
        <f aca="false">'Segmental forecast'!G224</f>
        <v>-38</v>
      </c>
      <c r="H62" s="149" t="n">
        <f aca="false">'Segmental forecast'!H224</f>
        <v>-96</v>
      </c>
      <c r="I62" s="149" t="n">
        <f aca="false">'Segmental forecast'!I224</f>
        <v>0</v>
      </c>
      <c r="J62" s="141"/>
      <c r="K62" s="122"/>
      <c r="L62" s="122"/>
      <c r="M62" s="122"/>
      <c r="N62" s="147"/>
      <c r="Q62" s="54"/>
      <c r="R62" s="54"/>
      <c r="S62" s="54"/>
      <c r="T62" s="54"/>
      <c r="U62" s="54"/>
      <c r="V62" s="54"/>
      <c r="W62" s="71"/>
      <c r="X62" s="71"/>
    </row>
    <row r="63" customFormat="false" ht="13.8" hidden="false" customHeight="false" outlineLevel="0" collapsed="false">
      <c r="A63" s="134" t="s">
        <v>199</v>
      </c>
      <c r="B63" s="149" t="n">
        <f aca="false">SUM(B55:B62)+B54</f>
        <v>0</v>
      </c>
      <c r="C63" s="149" t="n">
        <f aca="false">SUM(C55:C62)+C54</f>
        <v>0</v>
      </c>
      <c r="D63" s="149" t="n">
        <f aca="false">SUM(D55:D62)+D54</f>
        <v>0</v>
      </c>
      <c r="E63" s="149" t="n">
        <f aca="false">SUM(E55:E62)+E54</f>
        <v>0</v>
      </c>
      <c r="F63" s="149" t="n">
        <f aca="false">SUM(F55:F62)+F54</f>
        <v>0</v>
      </c>
      <c r="G63" s="149" t="n">
        <f aca="false">SUM(G55:G62)+G54</f>
        <v>0</v>
      </c>
      <c r="H63" s="149" t="n">
        <f aca="false">SUM(H55:H62)+H54</f>
        <v>0</v>
      </c>
      <c r="I63" s="149" t="n">
        <f aca="false">SUM(I55:I62)+I54</f>
        <v>0</v>
      </c>
      <c r="J63" s="150" t="n">
        <f aca="false">SUM(J55:J62)+J54</f>
        <v>0</v>
      </c>
      <c r="K63" s="149" t="n">
        <f aca="false">SUM(K55:K62)+K54</f>
        <v>0</v>
      </c>
      <c r="L63" s="149" t="n">
        <f aca="false">SUM(L55:L62)+L54</f>
        <v>0</v>
      </c>
      <c r="M63" s="149" t="n">
        <f aca="false">SUM(M55:M62)+M54</f>
        <v>0</v>
      </c>
      <c r="N63" s="151" t="n">
        <f aca="false">SUM(N55:N62)+N54</f>
        <v>0</v>
      </c>
      <c r="Q63" s="54"/>
      <c r="R63" s="54"/>
      <c r="S63" s="54"/>
      <c r="T63" s="54"/>
      <c r="U63" s="54"/>
      <c r="V63" s="54"/>
      <c r="W63" s="71"/>
      <c r="X63" s="71"/>
    </row>
    <row r="64" customFormat="false" ht="13.8" hidden="false" customHeight="false" outlineLevel="0" collapsed="false">
      <c r="A64" s="8" t="s">
        <v>205</v>
      </c>
      <c r="B64" s="15" t="n">
        <f aca="false">B51-B50+B49-B54-B53</f>
        <v>3391</v>
      </c>
      <c r="C64" s="15" t="n">
        <f aca="false">C51-C50+C49-C54-C53</f>
        <v>5262</v>
      </c>
      <c r="D64" s="15" t="n">
        <f aca="false">D51-D50+D49-D54-D53</f>
        <v>6146</v>
      </c>
      <c r="E64" s="15" t="n">
        <f aca="false">E51-E50+E49-E54-E53</f>
        <v>4892</v>
      </c>
      <c r="F64" s="15" t="n">
        <f aca="false">F51-F50+F49-F54-F53</f>
        <v>5962</v>
      </c>
      <c r="G64" s="15" t="n">
        <f aca="false">G51-G50+G49-G54-G53</f>
        <v>3313</v>
      </c>
      <c r="H64" s="15" t="n">
        <f aca="false">H51-H50+H49-H54-H53</f>
        <v>6621</v>
      </c>
      <c r="I64" s="15" t="n">
        <f aca="false">I51-I50+I49-I54-I53</f>
        <v>7117</v>
      </c>
      <c r="J64" s="152" t="n">
        <f aca="false">J51-J50+J49-J54-J53</f>
        <v>5387.91898787598</v>
      </c>
      <c r="K64" s="15" t="n">
        <f aca="false">K51-K50+K49-K54-K53</f>
        <v>7389.44462148147</v>
      </c>
      <c r="L64" s="15" t="n">
        <f aca="false">L51-L50+L49-L54-L53</f>
        <v>7313.40231098704</v>
      </c>
      <c r="M64" s="15" t="n">
        <f aca="false">M51-M50+M49-M54-M53</f>
        <v>7691.79145913143</v>
      </c>
      <c r="N64" s="15" t="n">
        <f aca="false">N51-N50+N49-N54-N53</f>
        <v>8089.44672094003</v>
      </c>
      <c r="O64" s="153"/>
      <c r="W64" s="68"/>
      <c r="X64" s="68"/>
    </row>
    <row r="65" customFormat="false" ht="13.8" hidden="false" customHeight="false" outlineLevel="0" collapsed="false">
      <c r="A65" s="9" t="s">
        <v>206</v>
      </c>
      <c r="B65" s="12" t="n">
        <f aca="false">+Historicals!B76-(B51+B53+B49)</f>
        <v>1144</v>
      </c>
      <c r="C65" s="12" t="n">
        <f aca="false">+Historicals!C76-(C51+C53+C49)</f>
        <v>-820</v>
      </c>
      <c r="D65" s="12" t="n">
        <f aca="false">+Historicals!D76-(D51+D53+D49)</f>
        <v>-306</v>
      </c>
      <c r="E65" s="12" t="n">
        <f aca="false">+Historicals!E76-(E51+E53+E49)</f>
        <v>154</v>
      </c>
      <c r="F65" s="12" t="n">
        <f aca="false">+Historicals!F76-(F51+F53+F49)</f>
        <v>1907</v>
      </c>
      <c r="G65" s="12" t="n">
        <f aca="false">+Historicals!G76-(G51+G53+G49)</f>
        <v>402</v>
      </c>
      <c r="H65" s="12" t="n">
        <f aca="false">+Historicals!H76-(H51+H53+H49)</f>
        <v>780</v>
      </c>
      <c r="I65" s="12" t="n">
        <f aca="false">+Historicals!I76-(I51+I53+I49)</f>
        <v>94</v>
      </c>
      <c r="J65" s="144" t="n">
        <f aca="false">+SUM(G65:I65)/8</f>
        <v>159.5</v>
      </c>
      <c r="K65" s="12" t="n">
        <f aca="false">+SUM(G65:J65)/8</f>
        <v>179.4375</v>
      </c>
      <c r="L65" s="12" t="n">
        <f aca="false">+SUM(G65:K65)/8</f>
        <v>201.8671875</v>
      </c>
      <c r="M65" s="12" t="n">
        <f aca="false">+SUM(G65:L65)/8</f>
        <v>227.1005859375</v>
      </c>
      <c r="N65" s="12" t="n">
        <f aca="false">+SUM(G65:M65)/8</f>
        <v>255.488159179688</v>
      </c>
      <c r="O65" s="70"/>
      <c r="W65" s="68"/>
      <c r="X65" s="68"/>
    </row>
    <row r="66" customFormat="false" ht="13.8" hidden="false" customHeight="false" outlineLevel="0" collapsed="false">
      <c r="A66" s="34" t="s">
        <v>207</v>
      </c>
      <c r="B66" s="154" t="n">
        <f aca="false">B51+B53+B49+B65</f>
        <v>4608</v>
      </c>
      <c r="C66" s="154" t="n">
        <f aca="false">C51+C53+C49+C65</f>
        <v>3399</v>
      </c>
      <c r="D66" s="154" t="n">
        <f aca="false">D51+D53+D49+D65</f>
        <v>3846</v>
      </c>
      <c r="E66" s="154" t="n">
        <f aca="false">E51+E53+E49+E65</f>
        <v>4955</v>
      </c>
      <c r="F66" s="154" t="n">
        <f aca="false">F51+F53+F49+F65</f>
        <v>5903</v>
      </c>
      <c r="G66" s="154" t="n">
        <f aca="false">G51+G53+G49+G65</f>
        <v>2485</v>
      </c>
      <c r="H66" s="154" t="n">
        <f aca="false">H51+H53+H49+H65</f>
        <v>6657</v>
      </c>
      <c r="I66" s="154" t="n">
        <f aca="false">I51+I53+I49+I65</f>
        <v>5188</v>
      </c>
      <c r="J66" s="155" t="n">
        <f aca="false">J51+J53+J49+J65</f>
        <v>7611.00158135381</v>
      </c>
      <c r="K66" s="154" t="n">
        <f aca="false">K51+K53+K49+K65</f>
        <v>6289.71783526797</v>
      </c>
      <c r="L66" s="154" t="n">
        <f aca="false">L51+L53+L49+L65</f>
        <v>7081.97942614879</v>
      </c>
      <c r="M66" s="154" t="n">
        <f aca="false">M51+M53+M49+M65</f>
        <v>7457.77970396343</v>
      </c>
      <c r="N66" s="154" t="n">
        <f aca="false">N51+N53+N49+N65</f>
        <v>7854.39950831032</v>
      </c>
      <c r="O66" s="70"/>
      <c r="W66" s="68"/>
      <c r="X66" s="68"/>
    </row>
    <row r="67" customFormat="false" ht="13.8" hidden="false" customHeight="false" outlineLevel="0" collapsed="false">
      <c r="A67" s="9" t="s">
        <v>208</v>
      </c>
      <c r="B67" s="12"/>
      <c r="C67" s="12"/>
      <c r="D67" s="12"/>
      <c r="E67" s="12"/>
      <c r="F67" s="12"/>
      <c r="G67" s="12"/>
      <c r="H67" s="12"/>
      <c r="I67" s="133"/>
      <c r="J67" s="12"/>
      <c r="K67" s="12"/>
      <c r="L67" s="12"/>
      <c r="M67" s="12"/>
      <c r="N67" s="12"/>
      <c r="O67" s="70"/>
      <c r="W67" s="68"/>
      <c r="X67" s="68"/>
    </row>
    <row r="68" customFormat="false" ht="13.8" hidden="false" customHeight="false" outlineLevel="0" collapsed="false">
      <c r="A68" s="9" t="s">
        <v>209</v>
      </c>
      <c r="B68" s="12" t="n">
        <f aca="false">SUM(Historicals!B78:B81)+Historicals!B83+Historicals!B84+B31-Historicals!K35</f>
        <v>1796</v>
      </c>
      <c r="C68" s="12" t="n">
        <f aca="false">SUM(Historicals!C78:C81)+Historicals!C83+Historicals!C84+C31-B31</f>
        <v>-39</v>
      </c>
      <c r="D68" s="12" t="n">
        <f aca="false">SUM(Historicals!D78:D81)+Historicals!D83+Historicals!D84+D31-C31</f>
        <v>445</v>
      </c>
      <c r="E68" s="12" t="n">
        <f aca="false">SUM(Historicals!E78:E81)+Historicals!E83+Historicals!E84+E31-D31</f>
        <v>1026</v>
      </c>
      <c r="F68" s="12" t="n">
        <f aca="false">SUM(Historicals!F78:F81)+Historicals!F83+Historicals!F84+F31-E31</f>
        <v>357</v>
      </c>
      <c r="G68" s="12" t="n">
        <f aca="false">SUM(Historicals!G78:G81)+Historicals!G83+Historicals!G84+G31-F31</f>
        <v>373</v>
      </c>
      <c r="H68" s="12" t="n">
        <f aca="false">SUM(Historicals!H78:H81)+Historicals!H83+Historicals!H84+H31-G31</f>
        <v>-2510</v>
      </c>
      <c r="I68" s="133" t="n">
        <f aca="false">SUM(Historicals!I78:I81)+Historicals!I83+Historicals!I84+I31-H31</f>
        <v>134</v>
      </c>
      <c r="J68" s="12" t="n">
        <f aca="false">SUM(Historicals!J78:J81)+Historicals!J83+Historicals!J84+J31-I31</f>
        <v>277.183048236164</v>
      </c>
      <c r="K68" s="12" t="n">
        <f aca="false">SUM(Historicals!K78:K81)+Historicals!K83+Historicals!K84+K31-J31</f>
        <v>297.290465726216</v>
      </c>
      <c r="L68" s="12" t="n">
        <f aca="false">SUM(Historicals!L78:L81)+Historicals!L83+Historicals!L84+L31-K31</f>
        <v>318.85651584439</v>
      </c>
      <c r="M68" s="12" t="n">
        <f aca="false">SUM(Historicals!M78:M81)+Historicals!M83+Historicals!M84+M31-L31</f>
        <v>341.987010744078</v>
      </c>
      <c r="N68" s="12" t="n">
        <f aca="false">SUM(Historicals!N78:N81)+Historicals!N83+Historicals!N84+N31-M31</f>
        <v>366.795438405742</v>
      </c>
      <c r="O68" s="70"/>
      <c r="W68" s="68"/>
      <c r="X68" s="68"/>
    </row>
    <row r="69" customFormat="false" ht="13.8" hidden="false" customHeight="false" outlineLevel="0" collapsed="false">
      <c r="A69" s="34" t="s">
        <v>210</v>
      </c>
      <c r="B69" s="156" t="n">
        <f aca="false">B68+B67+B54</f>
        <v>833</v>
      </c>
      <c r="C69" s="156" t="n">
        <f aca="false">C68+C67+C54</f>
        <v>-1182</v>
      </c>
      <c r="D69" s="156" t="n">
        <f aca="false">D68+D67+D54</f>
        <v>-660</v>
      </c>
      <c r="E69" s="156" t="n">
        <f aca="false">E68+E67+E54</f>
        <v>-2</v>
      </c>
      <c r="F69" s="156" t="n">
        <f aca="false">F68+F67+F54</f>
        <v>-762</v>
      </c>
      <c r="G69" s="156" t="n">
        <f aca="false">G68+G67+G54</f>
        <v>-713</v>
      </c>
      <c r="H69" s="156" t="n">
        <f aca="false">H68+H67+H54</f>
        <v>-3205</v>
      </c>
      <c r="I69" s="157" t="n">
        <f aca="false">I68+I67+I54</f>
        <v>-624</v>
      </c>
      <c r="J69" s="156" t="n">
        <f aca="false">J68+J67+J54</f>
        <v>-510.336636645413</v>
      </c>
      <c r="K69" s="156" t="n">
        <f aca="false">K68+K67+K54</f>
        <v>-520.89852381993</v>
      </c>
      <c r="L69" s="156" t="n">
        <f aca="false">L68+L67+L54</f>
        <v>-531.19616914368</v>
      </c>
      <c r="M69" s="156" t="n">
        <f aca="false">M68+M67+M54</f>
        <v>-541.170275027086</v>
      </c>
      <c r="N69" s="156" t="n">
        <f aca="false">N68+N67+N54</f>
        <v>-550.755679524834</v>
      </c>
      <c r="O69" s="158"/>
      <c r="P69" s="159"/>
      <c r="Q69" s="159"/>
      <c r="R69" s="159"/>
      <c r="S69" s="159"/>
      <c r="T69" s="159"/>
      <c r="U69" s="159"/>
      <c r="V69" s="159"/>
      <c r="W69" s="160"/>
      <c r="X69" s="160"/>
    </row>
    <row r="70" customFormat="false" ht="13.8" hidden="false" customHeight="false" outlineLevel="0" collapsed="false">
      <c r="A70" s="124" t="s">
        <v>211</v>
      </c>
      <c r="B70" s="12" t="n">
        <v>514</v>
      </c>
      <c r="C70" s="12" t="n">
        <v>507</v>
      </c>
      <c r="D70" s="12" t="n">
        <v>489</v>
      </c>
      <c r="E70" s="12" t="n">
        <v>733</v>
      </c>
      <c r="F70" s="12" t="n">
        <v>700</v>
      </c>
      <c r="G70" s="12" t="n">
        <v>885</v>
      </c>
      <c r="H70" s="12" t="n">
        <v>1172</v>
      </c>
      <c r="I70" s="133" t="n">
        <v>1151</v>
      </c>
      <c r="J70" s="122" t="n">
        <f aca="false">I70*(1+O70)</f>
        <v>1315.09208731241</v>
      </c>
      <c r="K70" s="122" t="n">
        <f aca="false">J70*(1+O70)</f>
        <v>1502.57793059229</v>
      </c>
      <c r="L70" s="122" t="n">
        <f aca="false">K70*(1+O70)</f>
        <v>1716.79265603143</v>
      </c>
      <c r="M70" s="122" t="n">
        <f aca="false">L70*(1+O70)</f>
        <v>1961.54686142746</v>
      </c>
      <c r="N70" s="147" t="n">
        <f aca="false">M70*(1+O70)</f>
        <v>2241.19440169918</v>
      </c>
      <c r="O70" s="161" t="n">
        <f aca="false">R70/4</f>
        <v>0.14256480218281</v>
      </c>
      <c r="Q70" s="162" t="n">
        <f aca="false">I70-E70</f>
        <v>418</v>
      </c>
      <c r="R70" s="161" t="n">
        <f aca="false">Q70/E70</f>
        <v>0.570259208731242</v>
      </c>
      <c r="S70" s="163"/>
      <c r="T70" s="164" t="n">
        <f aca="false">N70-J70</f>
        <v>926.102314386761</v>
      </c>
      <c r="U70" s="165" t="n">
        <f aca="false">T70/J70</f>
        <v>0.704211000371379</v>
      </c>
      <c r="W70" s="166"/>
      <c r="X70" s="167" t="s">
        <v>212</v>
      </c>
    </row>
    <row r="71" customFormat="false" ht="13.8" hidden="false" customHeight="false" outlineLevel="0" collapsed="false">
      <c r="A71" s="9" t="s">
        <v>97</v>
      </c>
      <c r="B71" s="12" t="n">
        <v>218</v>
      </c>
      <c r="C71" s="12" t="n">
        <v>-3238</v>
      </c>
      <c r="D71" s="12" t="n">
        <v>-3223</v>
      </c>
      <c r="E71" s="12" t="n">
        <v>-4254</v>
      </c>
      <c r="F71" s="12" t="n">
        <v>-4286</v>
      </c>
      <c r="G71" s="12" t="n">
        <v>-3067</v>
      </c>
      <c r="H71" s="12" t="n">
        <v>-608</v>
      </c>
      <c r="I71" s="133" t="n">
        <v>-4014</v>
      </c>
      <c r="J71" s="122" t="n">
        <v>-4500</v>
      </c>
      <c r="K71" s="122" t="n">
        <v>-4500</v>
      </c>
      <c r="L71" s="122" t="n">
        <v>-4500</v>
      </c>
      <c r="M71" s="122" t="n">
        <v>-4500</v>
      </c>
      <c r="N71" s="147" t="n">
        <v>-4500</v>
      </c>
      <c r="Q71" s="168" t="s">
        <v>213</v>
      </c>
      <c r="R71" s="169"/>
      <c r="T71" s="170" t="s">
        <v>214</v>
      </c>
      <c r="U71" s="171"/>
      <c r="W71" s="166"/>
      <c r="X71" s="172" t="s">
        <v>215</v>
      </c>
    </row>
    <row r="72" customFormat="false" ht="13.8" hidden="false" customHeight="false" outlineLevel="0" collapsed="false">
      <c r="A72" s="9" t="s">
        <v>216</v>
      </c>
      <c r="B72" s="122" t="n">
        <f aca="false">B70+B71</f>
        <v>732</v>
      </c>
      <c r="C72" s="122" t="n">
        <f aca="false">C70+C71</f>
        <v>-2731</v>
      </c>
      <c r="D72" s="122" t="n">
        <f aca="false">D70+D71</f>
        <v>-2734</v>
      </c>
      <c r="E72" s="122" t="n">
        <f aca="false">E70+E71</f>
        <v>-3521</v>
      </c>
      <c r="F72" s="122" t="n">
        <f aca="false">F70+F71</f>
        <v>-3586</v>
      </c>
      <c r="G72" s="122" t="n">
        <f aca="false">G70+G71</f>
        <v>-2182</v>
      </c>
      <c r="H72" s="122" t="n">
        <f aca="false">H70+H71</f>
        <v>564</v>
      </c>
      <c r="I72" s="147" t="n">
        <f aca="false">I70+I71</f>
        <v>-2863</v>
      </c>
      <c r="J72" s="122" t="n">
        <f aca="false">J70+J71</f>
        <v>-3184.90791268759</v>
      </c>
      <c r="K72" s="122" t="n">
        <f aca="false">K70+K71</f>
        <v>-2997.42206940771</v>
      </c>
      <c r="L72" s="122" t="n">
        <f aca="false">L70+L71</f>
        <v>-2783.20734396857</v>
      </c>
      <c r="M72" s="122" t="n">
        <f aca="false">M70+M71</f>
        <v>-2538.45313857254</v>
      </c>
      <c r="N72" s="147" t="n">
        <f aca="false">N70+N71</f>
        <v>-2258.80559830083</v>
      </c>
      <c r="O72" s="70"/>
      <c r="Q72" s="54"/>
      <c r="R72" s="54"/>
      <c r="S72" s="54"/>
      <c r="T72" s="54"/>
      <c r="U72" s="54"/>
      <c r="W72" s="166"/>
      <c r="X72" s="129" t="s">
        <v>217</v>
      </c>
    </row>
    <row r="73" customFormat="false" ht="13.8" hidden="false" customHeight="false" outlineLevel="0" collapsed="false">
      <c r="A73" s="84" t="s">
        <v>143</v>
      </c>
      <c r="B73" s="54" t="n">
        <f aca="false">+IFERROR(B72/Historicals!K91-1,"nm")</f>
        <v>0.911227154046997</v>
      </c>
      <c r="C73" s="54" t="n">
        <f aca="false">+IFERROR(C72/B72-1,"nm")</f>
        <v>-4.73087431693989</v>
      </c>
      <c r="D73" s="54" t="n">
        <f aca="false">+IFERROR(D72/C72-1,"nm")</f>
        <v>0.00109849871841816</v>
      </c>
      <c r="E73" s="54" t="n">
        <f aca="false">+IFERROR(E72/D72-1,"nm")</f>
        <v>0.287856620336503</v>
      </c>
      <c r="F73" s="54" t="n">
        <f aca="false">+IFERROR(F72/E72-1,"nm")</f>
        <v>0.0184606645839249</v>
      </c>
      <c r="G73" s="54" t="n">
        <f aca="false">+IFERROR(G72/F72-1,"nm")</f>
        <v>-0.391522587841606</v>
      </c>
      <c r="H73" s="54" t="n">
        <f aca="false">+IFERROR(H72/G72-1,"nm")</f>
        <v>-1.25847846012832</v>
      </c>
      <c r="I73" s="71" t="n">
        <f aca="false">+IFERROR(I72/H72-1,"nm")</f>
        <v>-6.07624113475177</v>
      </c>
      <c r="J73" s="54" t="n">
        <f aca="false">+IFERROR(J71/I72-1,"nm")</f>
        <v>0.571777855396437</v>
      </c>
      <c r="K73" s="54" t="n">
        <f aca="false">+IFERROR(K71/J71-1,"nm")</f>
        <v>0</v>
      </c>
      <c r="L73" s="54" t="n">
        <f aca="false">+IFERROR(L71/K71-1,"nm")</f>
        <v>0</v>
      </c>
      <c r="M73" s="54" t="n">
        <f aca="false">+IFERROR(M71/L71-1,"nm")</f>
        <v>0</v>
      </c>
      <c r="N73" s="54" t="n">
        <f aca="false">+IFERROR(N71/M71-1,"nm")</f>
        <v>0</v>
      </c>
      <c r="O73" s="70"/>
      <c r="W73" s="68"/>
      <c r="X73" s="129"/>
    </row>
    <row r="74" customFormat="false" ht="13.8" hidden="false" customHeight="false" outlineLevel="0" collapsed="false">
      <c r="A74" s="9" t="s">
        <v>218</v>
      </c>
      <c r="B74" s="12" t="n">
        <f aca="false">+Historicals!B93</f>
        <v>-2534</v>
      </c>
      <c r="C74" s="12" t="n">
        <f aca="false">+Historicals!C93</f>
        <v>-1022</v>
      </c>
      <c r="D74" s="12" t="n">
        <f aca="false">+Historicals!D93</f>
        <v>-1133</v>
      </c>
      <c r="E74" s="12" t="n">
        <f aca="false">+Historicals!E93</f>
        <v>-1243</v>
      </c>
      <c r="F74" s="12" t="n">
        <f aca="false">+Historicals!F93</f>
        <v>-1332</v>
      </c>
      <c r="G74" s="12" t="n">
        <f aca="false">+Historicals!G93</f>
        <v>-1452</v>
      </c>
      <c r="H74" s="12" t="n">
        <f aca="false">+Historicals!H93</f>
        <v>-1638</v>
      </c>
      <c r="I74" s="133" t="n">
        <f aca="false">+Historicals!I93</f>
        <v>-1837</v>
      </c>
      <c r="J74" s="122" t="n">
        <f aca="false">I74*(1+O74)</f>
        <v>-2003.97620651295</v>
      </c>
      <c r="K74" s="122" t="n">
        <f aca="false">J74*(1+O74)</f>
        <v>-2186.12990542734</v>
      </c>
      <c r="L74" s="122" t="n">
        <f aca="false">K74*(1+O74)</f>
        <v>-2384.84067219531</v>
      </c>
      <c r="M74" s="122" t="n">
        <f aca="false">L74*(1+O74)</f>
        <v>-2601.61348035043</v>
      </c>
      <c r="N74" s="122" t="n">
        <f aca="false">M74*(1+O74)</f>
        <v>-2838.09009970909</v>
      </c>
      <c r="O74" s="110" t="n">
        <f aca="false">(T74+R74+S74+U74+V74+W74)/6</f>
        <v>0.0908961385481474</v>
      </c>
      <c r="P74" s="54"/>
      <c r="Q74" s="54"/>
      <c r="R74" s="111" t="n">
        <f aca="false">+IFERROR(D74/C74-1,"n+m")</f>
        <v>0.108610567514677</v>
      </c>
      <c r="S74" s="111" t="n">
        <f aca="false">+IFERROR(E74/D74-1,"n+m")</f>
        <v>0.0970873786407767</v>
      </c>
      <c r="T74" s="54"/>
      <c r="U74" s="111" t="n">
        <f aca="false">+IFERROR(G74/F74-1,"n+m")</f>
        <v>0.0900900900900901</v>
      </c>
      <c r="V74" s="111" t="n">
        <f aca="false">+IFERROR(H74/G74-1,"n+m")</f>
        <v>0.128099173553719</v>
      </c>
      <c r="W74" s="116" t="n">
        <f aca="false">+IFERROR(I74/H74-1,"n+m")</f>
        <v>0.121489621489622</v>
      </c>
      <c r="X74" s="129" t="s">
        <v>219</v>
      </c>
    </row>
    <row r="75" customFormat="false" ht="13.8" hidden="false" customHeight="false" outlineLevel="0" collapsed="false">
      <c r="A75" s="9" t="s">
        <v>220</v>
      </c>
      <c r="B75" s="12" t="n">
        <f aca="false">+SUM(Historicals!B87:B90)</f>
        <v>-89</v>
      </c>
      <c r="C75" s="94" t="n">
        <f aca="false">+SUM(Historicals!C87:C90)</f>
        <v>801</v>
      </c>
      <c r="D75" s="94" t="n">
        <f aca="false">+SUM(Historicals!D87:D90)</f>
        <v>1748</v>
      </c>
      <c r="E75" s="12" t="n">
        <f aca="false">+SUM(Historicals!E87:E90)</f>
        <v>-16</v>
      </c>
      <c r="F75" s="12" t="n">
        <f aca="false">+SUM(Historicals!F87:F90)</f>
        <v>-325</v>
      </c>
      <c r="G75" s="94" t="n">
        <f aca="false">+SUM(Historicals!G87:G90)</f>
        <v>6183</v>
      </c>
      <c r="H75" s="12" t="n">
        <f aca="false">+SUM(Historicals!H87:H90)</f>
        <v>-249</v>
      </c>
      <c r="I75" s="95" t="n">
        <f aca="false">+SUM(Historicals!I87:I90)</f>
        <v>15</v>
      </c>
      <c r="J75" s="12" t="n">
        <f aca="false">(F75+H75)/2</f>
        <v>-287</v>
      </c>
      <c r="K75" s="12" t="n">
        <f aca="false">(H75+J75)/2</f>
        <v>-268</v>
      </c>
      <c r="L75" s="12" t="n">
        <f aca="false">(J75+K75)/2</f>
        <v>-277.5</v>
      </c>
      <c r="M75" s="12" t="n">
        <f aca="false">(K75+L75)/2</f>
        <v>-272.75</v>
      </c>
      <c r="N75" s="12" t="n">
        <f aca="false">(L75+M75)/2</f>
        <v>-275.125</v>
      </c>
      <c r="O75" s="70"/>
      <c r="W75" s="68"/>
      <c r="X75" s="173" t="s">
        <v>221</v>
      </c>
    </row>
    <row r="76" customFormat="false" ht="13.8" hidden="false" customHeight="false" outlineLevel="0" collapsed="false">
      <c r="A76" s="9" t="s">
        <v>222</v>
      </c>
      <c r="B76" s="12" t="n">
        <f aca="false">+Historicals!B94</f>
        <v>-899</v>
      </c>
      <c r="C76" s="12" t="n">
        <f aca="false">+Historicals!C94</f>
        <v>-22</v>
      </c>
      <c r="D76" s="12" t="n">
        <f aca="false">+Historicals!D94</f>
        <v>-29</v>
      </c>
      <c r="E76" s="12" t="n">
        <f aca="false">+Historicals!E94</f>
        <v>-55</v>
      </c>
      <c r="F76" s="12" t="n">
        <f aca="false">+Historicals!F94</f>
        <v>-50</v>
      </c>
      <c r="G76" s="12" t="n">
        <f aca="false">+Historicals!G94</f>
        <v>-58</v>
      </c>
      <c r="H76" s="12" t="n">
        <f aca="false">+Historicals!H94</f>
        <v>-136</v>
      </c>
      <c r="I76" s="133" t="n">
        <f aca="false">+Historicals!I94</f>
        <v>-151</v>
      </c>
      <c r="J76" s="122" t="n">
        <f aca="false">I76*(1+W76)</f>
        <v>-167.654411764706</v>
      </c>
      <c r="K76" s="122" t="n">
        <f aca="false">J76*(1+W76)</f>
        <v>-186.145707179931</v>
      </c>
      <c r="L76" s="122" t="n">
        <f aca="false">K76*(1+W76)</f>
        <v>-206.676483707129</v>
      </c>
      <c r="M76" s="122" t="n">
        <f aca="false">L76*(1+W76)</f>
        <v>-229.471684116004</v>
      </c>
      <c r="N76" s="122" t="n">
        <f aca="false">M76*(1+W76)</f>
        <v>-254.781061040563</v>
      </c>
      <c r="O76" s="79"/>
      <c r="Q76" s="54"/>
      <c r="R76" s="54"/>
      <c r="S76" s="54"/>
      <c r="T76" s="54"/>
      <c r="U76" s="54"/>
      <c r="V76" s="54"/>
      <c r="W76" s="116" t="n">
        <f aca="false">+IFERROR(I76/H76-1,"n+m")</f>
        <v>0.110294117647059</v>
      </c>
      <c r="X76" s="68"/>
    </row>
    <row r="77" customFormat="false" ht="13.8" hidden="false" customHeight="false" outlineLevel="0" collapsed="false">
      <c r="A77" s="34" t="s">
        <v>223</v>
      </c>
      <c r="B77" s="156" t="n">
        <f aca="false">B72+B74+B75+B76</f>
        <v>-2790</v>
      </c>
      <c r="C77" s="156" t="n">
        <f aca="false">C72+C74+C75+C76</f>
        <v>-2974</v>
      </c>
      <c r="D77" s="156" t="n">
        <f aca="false">D72+D74+D75+D76</f>
        <v>-2148</v>
      </c>
      <c r="E77" s="156" t="n">
        <f aca="false">E72+E74+E75+E76</f>
        <v>-4835</v>
      </c>
      <c r="F77" s="156" t="n">
        <f aca="false">F72+F74+F75+F76</f>
        <v>-5293</v>
      </c>
      <c r="G77" s="156" t="n">
        <f aca="false">G72+G74+G75+G76</f>
        <v>2491</v>
      </c>
      <c r="H77" s="156" t="n">
        <f aca="false">H72+H74+H75+H76</f>
        <v>-1459</v>
      </c>
      <c r="I77" s="157" t="n">
        <f aca="false">I72+I74+I75+I76</f>
        <v>-4836</v>
      </c>
      <c r="J77" s="156" t="n">
        <f aca="false">J71+J74+J75+J76</f>
        <v>-6958.63061827765</v>
      </c>
      <c r="K77" s="156" t="n">
        <f aca="false">K71+K74+K75+K76</f>
        <v>-7140.27561260727</v>
      </c>
      <c r="L77" s="156" t="n">
        <f aca="false">L71+L74+L75+L76</f>
        <v>-7369.01715590244</v>
      </c>
      <c r="M77" s="156" t="n">
        <f aca="false">M71+M74+M75+M76</f>
        <v>-7603.83516446644</v>
      </c>
      <c r="N77" s="156" t="n">
        <f aca="false">N71+N74+N75+N76</f>
        <v>-7867.99616074966</v>
      </c>
      <c r="O77" s="70"/>
      <c r="Q77" s="76"/>
      <c r="R77" s="166" t="s">
        <v>224</v>
      </c>
      <c r="U77" s="76"/>
      <c r="W77" s="68"/>
      <c r="X77" s="129" t="s">
        <v>225</v>
      </c>
    </row>
    <row r="78" customFormat="false" ht="13.8" hidden="false" customHeight="false" outlineLevel="0" collapsed="false">
      <c r="A78" s="9" t="s">
        <v>226</v>
      </c>
      <c r="B78" s="12" t="n">
        <f aca="false">+Historicals!B96</f>
        <v>-83</v>
      </c>
      <c r="C78" s="12" t="n">
        <f aca="false">+Historicals!C96</f>
        <v>-105</v>
      </c>
      <c r="D78" s="12" t="n">
        <f aca="false">+Historicals!D96</f>
        <v>-20</v>
      </c>
      <c r="E78" s="12" t="n">
        <f aca="false">+Historicals!E96</f>
        <v>45</v>
      </c>
      <c r="F78" s="12" t="n">
        <f aca="false">+Historicals!F96</f>
        <v>-129</v>
      </c>
      <c r="G78" s="12" t="n">
        <f aca="false">+Historicals!G96</f>
        <v>-66</v>
      </c>
      <c r="H78" s="12" t="n">
        <f aca="false">+Historicals!H96</f>
        <v>143</v>
      </c>
      <c r="I78" s="133" t="n">
        <f aca="false">+Historicals!I96</f>
        <v>-143</v>
      </c>
      <c r="J78" s="12" t="n">
        <f aca="false">+SUM(B78:I78)/8</f>
        <v>-44.75</v>
      </c>
      <c r="K78" s="12" t="n">
        <f aca="false">+SUM(C78:J78)/8</f>
        <v>-39.96875</v>
      </c>
      <c r="L78" s="12" t="n">
        <f aca="false">+SUM(D78:K78)/8</f>
        <v>-31.83984375</v>
      </c>
      <c r="M78" s="12" t="n">
        <f aca="false">+SUM(E78:L78)/8</f>
        <v>-33.31982421875</v>
      </c>
      <c r="N78" s="12" t="n">
        <f aca="false">+SUM(F78:M78)/8</f>
        <v>-43.1098022460938</v>
      </c>
      <c r="O78" s="70"/>
      <c r="W78" s="68"/>
      <c r="X78" s="129" t="s">
        <v>227</v>
      </c>
    </row>
    <row r="79" customFormat="false" ht="13.8" hidden="false" customHeight="false" outlineLevel="0" collapsed="false">
      <c r="A79" s="34" t="s">
        <v>228</v>
      </c>
      <c r="B79" s="33" t="n">
        <f aca="false">B66+B69+B77+B78</f>
        <v>2568</v>
      </c>
      <c r="C79" s="33" t="n">
        <f aca="false">C66+C69+C77+C78</f>
        <v>-862</v>
      </c>
      <c r="D79" s="33" t="n">
        <f aca="false">D66+D69+D77+D78</f>
        <v>1018</v>
      </c>
      <c r="E79" s="33" t="n">
        <f aca="false">E66+E69+E77+E78</f>
        <v>163</v>
      </c>
      <c r="F79" s="33" t="n">
        <f aca="false">F66+F69+F77+F78</f>
        <v>-281</v>
      </c>
      <c r="G79" s="33" t="n">
        <f aca="false">G66+G69+G77+G78</f>
        <v>4197</v>
      </c>
      <c r="H79" s="33" t="n">
        <f aca="false">H66+H69+H77+H78</f>
        <v>2136</v>
      </c>
      <c r="I79" s="174" t="n">
        <f aca="false">I66+I69+I77+I78</f>
        <v>-415</v>
      </c>
      <c r="J79" s="33" t="n">
        <f aca="false">J66+J69+J77+J78</f>
        <v>97.2843264307412</v>
      </c>
      <c r="K79" s="33" t="n">
        <f aca="false">K66+K69+K77+K78</f>
        <v>-1411.42505115922</v>
      </c>
      <c r="L79" s="33" t="n">
        <f aca="false">L66+L69+L77+L78</f>
        <v>-850.073742647327</v>
      </c>
      <c r="M79" s="33" t="n">
        <f aca="false">M66+M69+M77+M78</f>
        <v>-720.545559748843</v>
      </c>
      <c r="N79" s="33" t="n">
        <f aca="false">N66+N69+N77+N78</f>
        <v>-607.46213421027</v>
      </c>
      <c r="O79" s="70"/>
      <c r="W79" s="68"/>
      <c r="X79" s="172" t="s">
        <v>229</v>
      </c>
    </row>
    <row r="80" customFormat="false" ht="13.8" hidden="false" customHeight="false" outlineLevel="0" collapsed="false">
      <c r="A80" s="9" t="s">
        <v>230</v>
      </c>
      <c r="B80" s="94" t="n">
        <f aca="false">+Historicals!B98</f>
        <v>2220</v>
      </c>
      <c r="C80" s="175" t="n">
        <f aca="false">B81</f>
        <v>4788</v>
      </c>
      <c r="D80" s="175" t="n">
        <f aca="false">C81</f>
        <v>3926</v>
      </c>
      <c r="E80" s="175" t="n">
        <f aca="false">D81</f>
        <v>4944</v>
      </c>
      <c r="F80" s="175" t="n">
        <f aca="false">E81</f>
        <v>5107</v>
      </c>
      <c r="G80" s="175" t="n">
        <f aca="false">F81</f>
        <v>4826</v>
      </c>
      <c r="H80" s="175" t="n">
        <f aca="false">G81</f>
        <v>9023</v>
      </c>
      <c r="I80" s="176" t="n">
        <f aca="false">H81</f>
        <v>11159</v>
      </c>
      <c r="J80" s="175" t="n">
        <f aca="false">I81</f>
        <v>10744</v>
      </c>
      <c r="K80" s="175" t="n">
        <f aca="false">J81</f>
        <v>10841.2843264307</v>
      </c>
      <c r="L80" s="175" t="n">
        <f aca="false">K81</f>
        <v>9429.85927527152</v>
      </c>
      <c r="M80" s="175" t="n">
        <f aca="false">L81</f>
        <v>8579.78553262419</v>
      </c>
      <c r="N80" s="175" t="n">
        <f aca="false">M81</f>
        <v>7859.23997287535</v>
      </c>
      <c r="O80" s="70"/>
      <c r="W80" s="68"/>
      <c r="X80" s="129" t="s">
        <v>231</v>
      </c>
    </row>
    <row r="81" customFormat="false" ht="13.8" hidden="false" customHeight="false" outlineLevel="0" collapsed="false">
      <c r="A81" s="177" t="s">
        <v>232</v>
      </c>
      <c r="B81" s="178" t="n">
        <f aca="false">B79+B80</f>
        <v>4788</v>
      </c>
      <c r="C81" s="178" t="n">
        <f aca="false">C79+C80</f>
        <v>3926</v>
      </c>
      <c r="D81" s="178" t="n">
        <f aca="false">D79+D80</f>
        <v>4944</v>
      </c>
      <c r="E81" s="178" t="n">
        <f aca="false">E79+E80</f>
        <v>5107</v>
      </c>
      <c r="F81" s="178" t="n">
        <f aca="false">F79+F80</f>
        <v>4826</v>
      </c>
      <c r="G81" s="178" t="n">
        <f aca="false">G79+G80</f>
        <v>9023</v>
      </c>
      <c r="H81" s="178" t="n">
        <f aca="false">H79+H80</f>
        <v>11159</v>
      </c>
      <c r="I81" s="179" t="n">
        <f aca="false">I79+I80</f>
        <v>10744</v>
      </c>
      <c r="J81" s="178" t="n">
        <f aca="false">J79+J80</f>
        <v>10841.2843264307</v>
      </c>
      <c r="K81" s="178" t="n">
        <f aca="false">K79+K80</f>
        <v>9429.85927527152</v>
      </c>
      <c r="L81" s="178" t="n">
        <f aca="false">L79+L80</f>
        <v>8579.78553262419</v>
      </c>
      <c r="M81" s="178" t="n">
        <f aca="false">M79+M80</f>
        <v>7859.23997287535</v>
      </c>
      <c r="N81" s="178" t="n">
        <f aca="false">N79+N80</f>
        <v>7251.77783866508</v>
      </c>
      <c r="O81" s="70"/>
      <c r="P81" s="76"/>
      <c r="W81" s="68"/>
      <c r="X81" s="129" t="s">
        <v>233</v>
      </c>
    </row>
    <row r="82" customFormat="false" ht="13.8" hidden="false" customHeight="false" outlineLevel="0" collapsed="false">
      <c r="A82" s="8"/>
      <c r="B82" s="180" t="n">
        <f aca="false">+B81-B22</f>
        <v>0</v>
      </c>
      <c r="C82" s="180" t="n">
        <f aca="false">+C81-C22</f>
        <v>0</v>
      </c>
      <c r="D82" s="180" t="n">
        <f aca="false">+D81-D22</f>
        <v>0</v>
      </c>
      <c r="E82" s="180" t="n">
        <f aca="false">+E81-E22</f>
        <v>0</v>
      </c>
      <c r="F82" s="180" t="n">
        <f aca="false">+F81-F22</f>
        <v>0</v>
      </c>
      <c r="G82" s="180" t="n">
        <f aca="false">+G81-G22</f>
        <v>0</v>
      </c>
      <c r="H82" s="180" t="n">
        <f aca="false">+H81-H22</f>
        <v>0</v>
      </c>
      <c r="I82" s="181" t="n">
        <f aca="false">+I81-I22</f>
        <v>0</v>
      </c>
      <c r="J82" s="180" t="n">
        <f aca="false">+J81-J22</f>
        <v>0</v>
      </c>
      <c r="K82" s="180" t="n">
        <f aca="false">+K81-K22</f>
        <v>0</v>
      </c>
      <c r="L82" s="180" t="n">
        <f aca="false">+L81-L22</f>
        <v>0</v>
      </c>
      <c r="M82" s="180" t="n">
        <f aca="false">+M81-M22</f>
        <v>0</v>
      </c>
      <c r="N82" s="180" t="n">
        <f aca="false">+N81-N22</f>
        <v>0</v>
      </c>
      <c r="O82" s="70"/>
      <c r="W82" s="68"/>
      <c r="X82" s="182"/>
    </row>
    <row r="83" customFormat="false" ht="13.8" hidden="false" customHeight="false" outlineLevel="0" collapsed="false">
      <c r="A83" s="8" t="s">
        <v>234</v>
      </c>
      <c r="B83" s="61" t="n">
        <f aca="false">B22-B45</f>
        <v>-15410</v>
      </c>
      <c r="C83" s="61" t="n">
        <f aca="false">C22-C45</f>
        <v>-12548</v>
      </c>
      <c r="D83" s="61" t="n">
        <f aca="false">D22-D45</f>
        <v>-13533</v>
      </c>
      <c r="E83" s="61" t="n">
        <f aca="false">E22-E45</f>
        <v>-11629</v>
      </c>
      <c r="F83" s="61" t="n">
        <f aca="false">F22-F45</f>
        <v>-12693</v>
      </c>
      <c r="G83" s="61" t="n">
        <f aca="false">G22-G45</f>
        <v>-17889</v>
      </c>
      <c r="H83" s="61" t="n">
        <f aca="false">H22-H45</f>
        <v>-24309</v>
      </c>
      <c r="I83" s="183" t="n">
        <f aca="false">I22-I45</f>
        <v>-23356</v>
      </c>
      <c r="J83" s="61" t="n">
        <f aca="false">J22-J45</f>
        <v>-26360.0769208566</v>
      </c>
      <c r="K83" s="61" t="n">
        <f aca="false">K22-K45</f>
        <v>-29763.7035559586</v>
      </c>
      <c r="L83" s="61" t="n">
        <f aca="false">L22-L45</f>
        <v>-32634.73404182</v>
      </c>
      <c r="M83" s="61" t="n">
        <f aca="false">M22-M45</f>
        <v>-35625.3032297034</v>
      </c>
      <c r="N83" s="183" t="n">
        <f aca="false">N22-N45</f>
        <v>-38659.5932368612</v>
      </c>
      <c r="W83" s="68"/>
      <c r="X83" s="184" t="s">
        <v>235</v>
      </c>
    </row>
    <row r="84" customFormat="false" ht="13.8" hidden="false" customHeight="false" outlineLevel="0" collapsed="false">
      <c r="B84" s="9" t="n">
        <f aca="false">B37+B36+B38+B40+B33-(B22+B31+B30+B29+B28+B27+B26+B23)</f>
        <v>5360</v>
      </c>
      <c r="C84" s="9" t="n">
        <f aca="false">C37+C36+C38+C40+C33-(C22+C31+C30+C29+C28+C27+C26+C23)</f>
        <v>2369</v>
      </c>
      <c r="D84" s="9" t="n">
        <f aca="false">D37+D36+D38+D40+D33-(D22+D31+D30+D29+D28+D27+D26+D23)</f>
        <v>2814</v>
      </c>
      <c r="E84" s="9" t="n">
        <f aca="false">E37+E36+E38+E40+E33-(E22+E31+E30+E29+E28+E27+E26+E23)</f>
        <v>2101</v>
      </c>
      <c r="F84" s="9" t="n">
        <f aca="false">F37+F36+F38+F40+F33-(F22+F31+F30+F29+F28+F27+F26+F23)</f>
        <v>3336</v>
      </c>
      <c r="G84" s="9" t="n">
        <f aca="false">G37+G36+G38+G40+G33-(G22+G31+G30+G29+G28+G27+G26+G23)</f>
        <v>5011</v>
      </c>
      <c r="H84" s="9" t="n">
        <f aca="false">H37+H36+H38+H40+H33-(H22+H31+H30+H29+H28+H27+H26+H23)</f>
        <v>7775</v>
      </c>
      <c r="I84" s="130" t="n">
        <f aca="false">I37+I36+I38+I40+I33-(I22+I31+I30+I29+I28+I27+I26+I23)</f>
        <v>4696</v>
      </c>
      <c r="J84" s="12" t="n">
        <f aca="false">J37+J36+J38+J40+J33-(J22+J31+J30+J29+J28+J27+J26+J23)</f>
        <v>8428.3952900751</v>
      </c>
      <c r="K84" s="12" t="n">
        <f aca="false">K37+K36+K38+K40+K33-(K22+K31+K30+K29+K28+K27+K26+K23)</f>
        <v>10238.24052387</v>
      </c>
      <c r="L84" s="12" t="n">
        <f aca="false">L37+L36+L38+L40+L33-(L22+L31+L30+L29+L28+L27+L26+L23)</f>
        <v>12254.0083422591</v>
      </c>
      <c r="M84" s="12" t="n">
        <f aca="false">M37+M36+M38+M40+M33-(M22+M31+M30+M29+M28+M27+M26+M23)</f>
        <v>14551.0243473731</v>
      </c>
      <c r="N84" s="12" t="n">
        <f aca="false">N37+N36+N38+N40+N33-(N22+N31+N30+N29+N28+N27+N26+N23)</f>
        <v>16411.3897916235</v>
      </c>
      <c r="O84" s="70"/>
      <c r="W84" s="68"/>
      <c r="X84" s="185" t="s">
        <v>236</v>
      </c>
    </row>
    <row r="85" customFormat="false" ht="13.8" hidden="false" customHeight="false" outlineLevel="0" collapsed="false">
      <c r="A85" s="9" t="s">
        <v>237</v>
      </c>
      <c r="C85" s="9" t="n">
        <f aca="false">C24-B24</f>
        <v>324</v>
      </c>
      <c r="D85" s="9" t="n">
        <f aca="false">D24-C24</f>
        <v>796</v>
      </c>
      <c r="E85" s="9" t="n">
        <f aca="false">E24-D24</f>
        <v>-204</v>
      </c>
      <c r="F85" s="9" t="n">
        <f aca="false">F24-E24</f>
        <v>802</v>
      </c>
      <c r="G85" s="9" t="n">
        <f aca="false">G24-F24</f>
        <v>586</v>
      </c>
      <c r="H85" s="9" t="n">
        <f aca="false">H24-G24</f>
        <v>613</v>
      </c>
      <c r="I85" s="130" t="n">
        <f aca="false">I24-H24</f>
        <v>1248</v>
      </c>
      <c r="J85" s="12" t="n">
        <f aca="false">J24-I24</f>
        <v>-786.762919334105</v>
      </c>
      <c r="K85" s="12" t="n">
        <f aca="false">K24-J24</f>
        <v>893.445227234583</v>
      </c>
      <c r="L85" s="12" t="n">
        <f aca="false">L24-K24</f>
        <v>479.660109855851</v>
      </c>
      <c r="M85" s="12" t="n">
        <f aca="false">M24-L24</f>
        <v>503.051859790892</v>
      </c>
      <c r="N85" s="12" t="n">
        <f aca="false">N24-M24</f>
        <v>527.584363259071</v>
      </c>
      <c r="O85" s="70"/>
      <c r="X85" s="185" t="s">
        <v>238</v>
      </c>
    </row>
    <row r="86" customFormat="false" ht="13.8" hidden="false" customHeight="false" outlineLevel="0" collapsed="false">
      <c r="I86" s="130"/>
      <c r="O86" s="70"/>
      <c r="X86" s="185" t="s">
        <v>239</v>
      </c>
    </row>
    <row r="87" customFormat="false" ht="13.8" hidden="false" customHeight="false" outlineLevel="0" collapsed="false">
      <c r="A87" s="9" t="s">
        <v>240</v>
      </c>
      <c r="B87" s="186" t="n">
        <v>112.693331153846</v>
      </c>
      <c r="I87" s="130"/>
      <c r="O87" s="70"/>
      <c r="X87" s="184" t="s">
        <v>241</v>
      </c>
    </row>
    <row r="88" customFormat="false" ht="13.8" hidden="false" customHeight="false" outlineLevel="0" collapsed="false">
      <c r="I88" s="130"/>
      <c r="O88" s="70"/>
      <c r="P88" s="76"/>
      <c r="X88" s="185" t="s">
        <v>242</v>
      </c>
    </row>
    <row r="89" customFormat="false" ht="13.8" hidden="false" customHeight="false" outlineLevel="0" collapsed="false">
      <c r="A89" s="187"/>
      <c r="B89" s="94"/>
      <c r="C89" s="187"/>
      <c r="D89" s="187"/>
      <c r="E89" s="187"/>
      <c r="F89" s="187"/>
      <c r="G89" s="187"/>
      <c r="H89" s="187"/>
      <c r="I89" s="172"/>
      <c r="J89" s="187"/>
      <c r="K89" s="187"/>
      <c r="L89" s="187"/>
      <c r="M89" s="187"/>
      <c r="N89" s="172"/>
      <c r="O89" s="74"/>
      <c r="P89" s="74"/>
      <c r="Q89" s="74"/>
      <c r="R89" s="74"/>
      <c r="S89" s="74"/>
      <c r="T89" s="74"/>
      <c r="U89" s="74"/>
      <c r="V89" s="74"/>
      <c r="W89" s="74"/>
      <c r="X89" s="182"/>
    </row>
    <row r="90" customFormat="false" ht="13.8" hidden="false" customHeight="false" outlineLevel="0" collapsed="false">
      <c r="I90" s="130"/>
      <c r="N90" s="130"/>
      <c r="X90" s="167" t="s">
        <v>243</v>
      </c>
    </row>
    <row r="91" customFormat="false" ht="13.8" hidden="false" customHeight="false" outlineLevel="0" collapsed="false">
      <c r="I91" s="130"/>
      <c r="N91" s="130"/>
      <c r="X91" s="182"/>
    </row>
    <row r="92" customFormat="false" ht="13.8" hidden="false" customHeight="false" outlineLevel="0" collapsed="false">
      <c r="I92" s="130"/>
      <c r="N92" s="130"/>
      <c r="X92" s="184" t="s">
        <v>244</v>
      </c>
    </row>
    <row r="93" customFormat="false" ht="13.8" hidden="false" customHeight="false" outlineLevel="0" collapsed="false">
      <c r="I93" s="130"/>
      <c r="N93" s="130"/>
      <c r="X93" s="184" t="s">
        <v>245</v>
      </c>
    </row>
    <row r="94" customFormat="false" ht="13.8" hidden="false" customHeight="false" outlineLevel="0" collapsed="false">
      <c r="I94" s="130"/>
      <c r="N94" s="130"/>
      <c r="X94" s="182"/>
    </row>
    <row r="95" customFormat="false" ht="13.8" hidden="false" customHeight="false" outlineLevel="0" collapsed="false">
      <c r="I95" s="130"/>
      <c r="N95" s="130"/>
      <c r="X95" s="184" t="s">
        <v>246</v>
      </c>
    </row>
    <row r="96" customFormat="false" ht="13.8" hidden="false" customHeight="false" outlineLevel="0" collapsed="false">
      <c r="A96" s="13"/>
      <c r="B96" s="13"/>
      <c r="C96" s="13"/>
      <c r="D96" s="13"/>
      <c r="E96" s="13"/>
      <c r="F96" s="13"/>
      <c r="G96" s="13"/>
      <c r="H96" s="13"/>
      <c r="I96" s="188"/>
      <c r="J96" s="13"/>
      <c r="K96" s="13"/>
      <c r="L96" s="13"/>
      <c r="M96" s="13"/>
      <c r="N96" s="188"/>
      <c r="O96" s="159"/>
      <c r="P96" s="159"/>
      <c r="Q96" s="159"/>
      <c r="R96" s="159"/>
      <c r="S96" s="159"/>
      <c r="T96" s="159"/>
      <c r="U96" s="159"/>
      <c r="V96" s="159"/>
      <c r="W96" s="13"/>
      <c r="X96" s="189" t="s">
        <v>247</v>
      </c>
    </row>
    <row r="97" customFormat="false" ht="13.8" hidden="false" customHeight="false" outlineLevel="0" collapsed="false">
      <c r="X97" s="166"/>
    </row>
    <row r="98" customFormat="false" ht="13.8" hidden="false" customHeight="false" outlineLevel="0" collapsed="false">
      <c r="X98" s="16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3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U2" activeCellId="0" sqref="U2"/>
    </sheetView>
  </sheetViews>
  <sheetFormatPr defaultColWidth="8.88671875" defaultRowHeight="13.8" zeroHeight="false" outlineLevelRow="0" outlineLevelCol="0"/>
  <cols>
    <col collapsed="false" customWidth="true" hidden="false" outlineLevel="0" max="1" min="1" style="166" width="42.67"/>
    <col collapsed="false" customWidth="true" hidden="false" outlineLevel="0" max="8" min="2" style="166" width="10.56"/>
    <col collapsed="false" customWidth="true" hidden="false" outlineLevel="0" max="9" min="9" style="166" width="12.11"/>
    <col collapsed="false" customWidth="true" hidden="false" outlineLevel="0" max="10" min="10" style="166" width="11.56"/>
    <col collapsed="false" customWidth="true" hidden="false" outlineLevel="0" max="14" min="11" style="166" width="10.56"/>
    <col collapsed="false" customWidth="false" hidden="false" outlineLevel="0" max="20" min="15" style="166" width="8.88"/>
    <col collapsed="false" customWidth="true" hidden="false" outlineLevel="0" max="21" min="21" style="166" width="102.15"/>
    <col collapsed="false" customWidth="false" hidden="false" outlineLevel="0" max="22" min="22" style="166" width="8.88"/>
    <col collapsed="false" customWidth="true" hidden="false" outlineLevel="0" max="16384" min="16384" style="0" width="11.53"/>
  </cols>
  <sheetData>
    <row r="1" customFormat="false" ht="60" hidden="false" customHeight="true" outlineLevel="0" collapsed="false">
      <c r="A1" s="190" t="s">
        <v>248</v>
      </c>
      <c r="B1" s="191" t="n">
        <v>2015</v>
      </c>
      <c r="C1" s="191" t="n">
        <f aca="false">+B1+1</f>
        <v>2016</v>
      </c>
      <c r="D1" s="191" t="n">
        <f aca="false">+C1+1</f>
        <v>2017</v>
      </c>
      <c r="E1" s="191" t="n">
        <f aca="false">+D1+1</f>
        <v>2018</v>
      </c>
      <c r="F1" s="191" t="n">
        <f aca="false">+E1+1</f>
        <v>2019</v>
      </c>
      <c r="G1" s="191" t="n">
        <f aca="false">+F1+1</f>
        <v>2020</v>
      </c>
      <c r="H1" s="191" t="n">
        <f aca="false">+G1+1</f>
        <v>2021</v>
      </c>
      <c r="I1" s="191" t="n">
        <f aca="false">+H1+1</f>
        <v>2022</v>
      </c>
      <c r="J1" s="192" t="n">
        <f aca="false">+I1+1</f>
        <v>2023</v>
      </c>
      <c r="K1" s="192" t="n">
        <f aca="false">+J1+1</f>
        <v>2024</v>
      </c>
      <c r="L1" s="192" t="n">
        <f aca="false">+K1+1</f>
        <v>2025</v>
      </c>
      <c r="M1" s="192" t="n">
        <f aca="false">+L1+1</f>
        <v>2026</v>
      </c>
      <c r="N1" s="192" t="n">
        <f aca="false">+M1+1</f>
        <v>2027</v>
      </c>
      <c r="O1" s="192" t="n">
        <f aca="false">+N1+1</f>
        <v>2028</v>
      </c>
      <c r="P1" s="192" t="n">
        <f aca="false">+O1+1</f>
        <v>2029</v>
      </c>
      <c r="Q1" s="192" t="n">
        <f aca="false">+P1+1</f>
        <v>2030</v>
      </c>
      <c r="R1" s="192" t="n">
        <f aca="false">+Q1+1</f>
        <v>2031</v>
      </c>
      <c r="S1" s="192" t="n">
        <f aca="false">+R1+1</f>
        <v>2032</v>
      </c>
      <c r="T1" s="193" t="s">
        <v>249</v>
      </c>
      <c r="U1" s="194" t="s">
        <v>0</v>
      </c>
      <c r="V1" s="74"/>
    </row>
    <row r="2" customFormat="false" ht="13.8" hidden="false" customHeight="false" outlineLevel="0" collapsed="false">
      <c r="A2" s="195" t="s">
        <v>250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6"/>
      <c r="P2" s="196"/>
      <c r="Q2" s="196"/>
      <c r="R2" s="196"/>
      <c r="S2" s="196"/>
      <c r="T2" s="196"/>
      <c r="U2" s="195"/>
      <c r="V2" s="74"/>
    </row>
    <row r="3" customFormat="false" ht="13.8" hidden="false" customHeight="false" outlineLevel="0" collapsed="false">
      <c r="A3" s="166" t="s">
        <v>251</v>
      </c>
      <c r="B3" s="197" t="n">
        <f aca="false">'Average Share Price'!B17</f>
        <v>52.8575</v>
      </c>
      <c r="C3" s="197" t="n">
        <f aca="false">'Average Share Price'!C17</f>
        <v>50.4625</v>
      </c>
      <c r="D3" s="197" t="n">
        <f aca="false">'Average Share Price'!D17</f>
        <v>54.0166666666667</v>
      </c>
      <c r="E3" s="197" t="n">
        <f aca="false">'Average Share Price'!E17</f>
        <v>69.535</v>
      </c>
      <c r="F3" s="197" t="n">
        <f aca="false">'Average Share Price'!F17</f>
        <v>81.5391666666667</v>
      </c>
      <c r="G3" s="197" t="n">
        <f aca="false">'Average Share Price'!G17</f>
        <v>103.73</v>
      </c>
      <c r="H3" s="197" t="n">
        <f aca="false">'Average Share Price'!H17</f>
        <v>140.533333333333</v>
      </c>
      <c r="I3" s="197" t="n">
        <f aca="false">'Average Share Price'!I17</f>
        <v>105.860833333333</v>
      </c>
      <c r="J3" s="197" t="n">
        <f aca="false">'Average Share Price'!J17</f>
        <v>100.240833333333</v>
      </c>
      <c r="K3" s="198"/>
      <c r="L3" s="198"/>
      <c r="M3" s="198"/>
      <c r="N3" s="198"/>
    </row>
    <row r="4" customFormat="false" ht="13.8" hidden="false" customHeight="false" outlineLevel="0" collapsed="false">
      <c r="A4" s="166" t="s">
        <v>252</v>
      </c>
      <c r="B4" s="199" t="n">
        <f aca="false">'Average Share Price'!B19+'Three Statements'!B83</f>
        <v>78084.346</v>
      </c>
      <c r="C4" s="199" t="n">
        <f aca="false">'Average Share Price'!C19+'Three Statements'!C83</f>
        <v>75382.90625</v>
      </c>
      <c r="D4" s="199" t="n">
        <f aca="false">'Average Share Price'!D19+'Three Statements'!D83</f>
        <v>77863.2</v>
      </c>
      <c r="E4" s="199" t="n">
        <f aca="false">'Average Share Price'!E19+'Three Statements'!E83</f>
        <v>103736.5185</v>
      </c>
      <c r="F4" s="199" t="n">
        <f aca="false">'Average Share Price'!F19+'Three Statements'!F83</f>
        <v>119269.987333333</v>
      </c>
      <c r="G4" s="199" t="n">
        <f aca="false">'Average Share Price'!G19+'Three Statements'!G83</f>
        <v>147207.668</v>
      </c>
      <c r="H4" s="199" t="n">
        <f aca="false">'Average Share Price'!H19+'Three Statements'!H83</f>
        <v>201865.346666667</v>
      </c>
      <c r="I4" s="199" t="n">
        <f aca="false">'Average Share Price'!I19+'Three Statements'!I83</f>
        <v>147164.630333333</v>
      </c>
      <c r="J4" s="199" t="n">
        <f aca="false">'Average Share Price'!J19+'Three Statements'!J83</f>
        <v>132274.878566356</v>
      </c>
      <c r="K4" s="199"/>
      <c r="L4" s="199"/>
      <c r="M4" s="199"/>
      <c r="N4" s="199"/>
    </row>
    <row r="5" customFormat="false" ht="13.8" hidden="false" customHeight="false" outlineLevel="0" collapsed="false">
      <c r="A5" s="166" t="s">
        <v>253</v>
      </c>
      <c r="B5" s="200" t="n">
        <f aca="false">'Average Share Price'!B17/'Three Statements'!B17</f>
        <v>27.8197368421053</v>
      </c>
      <c r="C5" s="200" t="n">
        <f aca="false">'Average Share Price'!C17/'Three Statements'!C17</f>
        <v>22.8337104072398</v>
      </c>
      <c r="D5" s="200" t="n">
        <f aca="false">'Average Share Price'!D17/'Three Statements'!D17</f>
        <v>21.1002604166667</v>
      </c>
      <c r="E5" s="200" t="n">
        <f aca="false">'Average Share Price'!E17/'Three Statements'!E17</f>
        <v>58.4327731092437</v>
      </c>
      <c r="F5" s="200" t="n">
        <f aca="false">'Average Share Price'!F17/'Three Statements'!F17</f>
        <v>31.9761437908497</v>
      </c>
      <c r="G5" s="200" t="n">
        <f aca="false">'Average Share Price'!G17/'Three Statements'!G17</f>
        <v>63.638036809816</v>
      </c>
      <c r="H5" s="200" t="n">
        <f aca="false">'Average Share Price'!H17/'Three Statements'!H17</f>
        <v>38.6080586080586</v>
      </c>
      <c r="I5" s="200" t="n">
        <f aca="false">'Average Share Price'!I17/'Three Statements'!I17</f>
        <v>27.6399042645779</v>
      </c>
      <c r="J5" s="200" t="n">
        <f aca="false">'Average Share Price'!J17/'Three Statements'!J17</f>
        <v>24.8711878122446</v>
      </c>
      <c r="K5" s="200"/>
      <c r="L5" s="200"/>
      <c r="M5" s="200"/>
      <c r="N5" s="200"/>
    </row>
    <row r="6" customFormat="false" ht="13.8" hidden="false" customHeight="false" outlineLevel="0" collapsed="false">
      <c r="A6" s="166" t="s">
        <v>254</v>
      </c>
      <c r="B6" s="201" t="n">
        <f aca="false">'Three Statements'!B16/'Three Statements'!B40*1000</f>
        <v>131.616935783912</v>
      </c>
      <c r="C6" s="201" t="n">
        <f aca="false">'Three Statements'!C16/'Three Statements'!C40*1000</f>
        <v>182.90122808859</v>
      </c>
      <c r="D6" s="201" t="n">
        <f aca="false">'Three Statements'!D16/'Three Statements'!D40*1000</f>
        <v>174.919880078569</v>
      </c>
      <c r="E6" s="201" t="n">
        <f aca="false">'Three Statements'!E16/'Three Statements'!E40*1000</f>
        <v>263.725957717374</v>
      </c>
      <c r="F6" s="201" t="n">
        <f aca="false">'Three Statements'!F16/'Three Statements'!F40*1000</f>
        <v>296.736340300697</v>
      </c>
      <c r="G6" s="201" t="n">
        <f aca="false">'Three Statements'!G16/'Three Statements'!G40*1000</f>
        <v>271.002894602418</v>
      </c>
      <c r="H6" s="201" t="n">
        <f aca="false">'Three Statements'!H16/'Three Statements'!H40*1000</f>
        <v>120.726127072238</v>
      </c>
      <c r="I6" s="201" t="n">
        <f aca="false">'Three Statements'!I16/'Three Statements'!I40*1000</f>
        <v>129.714929940409</v>
      </c>
      <c r="J6" s="201" t="n">
        <f aca="false">'Three Statements'!J16/'Three Statements'!J40*1000</f>
        <v>100.724431093636</v>
      </c>
      <c r="K6" s="200"/>
      <c r="L6" s="200"/>
      <c r="M6" s="200"/>
      <c r="N6" s="200"/>
    </row>
    <row r="7" customFormat="false" ht="13.8" hidden="false" customHeight="false" outlineLevel="0" collapsed="false">
      <c r="A7" s="166" t="s">
        <v>255</v>
      </c>
      <c r="B7" s="202" t="n">
        <f aca="false">B3/B6</f>
        <v>0.401601052973768</v>
      </c>
      <c r="C7" s="202" t="n">
        <f aca="false">C3/C6</f>
        <v>0.275900279770445</v>
      </c>
      <c r="D7" s="202" t="n">
        <f aca="false">D3/D6</f>
        <v>0.308808047675335</v>
      </c>
      <c r="E7" s="202" t="n">
        <f aca="false">E3/E6</f>
        <v>0.263663844855645</v>
      </c>
      <c r="F7" s="202" t="n">
        <f aca="false">F3/F6</f>
        <v>0.274786588606031</v>
      </c>
      <c r="G7" s="202" t="n">
        <f aca="false">G3/G6</f>
        <v>0.382763439306359</v>
      </c>
      <c r="H7" s="202" t="n">
        <f aca="false">H3/H6</f>
        <v>1.16406727144692</v>
      </c>
      <c r="I7" s="202" t="n">
        <f aca="false">I3/I6</f>
        <v>0.816103692782055</v>
      </c>
      <c r="J7" s="202" t="n">
        <f aca="false">J3/J6</f>
        <v>0.99519880375544</v>
      </c>
      <c r="K7" s="200"/>
      <c r="L7" s="200"/>
      <c r="M7" s="200"/>
      <c r="N7" s="200"/>
    </row>
    <row r="8" customFormat="false" ht="13.8" hidden="false" customHeight="false" outlineLevel="0" collapsed="false">
      <c r="A8" s="166" t="s">
        <v>256</v>
      </c>
      <c r="B8" s="200" t="n">
        <f aca="false">B4/'Three Statements'!B5</f>
        <v>16.1364633188675</v>
      </c>
      <c r="C8" s="200" t="n">
        <f aca="false">C4/'Three Statements'!C5</f>
        <v>14.2473835286335</v>
      </c>
      <c r="D8" s="200" t="n">
        <f aca="false">D4/'Three Statements'!D5</f>
        <v>13.7786586444877</v>
      </c>
      <c r="E8" s="200" t="n">
        <f aca="false">E4/'Three Statements'!E5</f>
        <v>20.2373231564573</v>
      </c>
      <c r="F8" s="200" t="n">
        <f aca="false">F4/'Three Statements'!F5</f>
        <v>21.4707447944795</v>
      </c>
      <c r="G8" s="200" t="n">
        <f aca="false">G4/'Three Statements'!G5</f>
        <v>39.818141195564</v>
      </c>
      <c r="H8" s="200" t="n">
        <f aca="false">H4/'Three Statements'!H5</f>
        <v>26.3291178644407</v>
      </c>
      <c r="I8" s="200" t="n">
        <f aca="false">I4/'Three Statements'!I5</f>
        <v>19.4328047449272</v>
      </c>
      <c r="J8" s="200" t="n">
        <f aca="false">J4/'Three Statements'!J5</f>
        <v>16.654448592434</v>
      </c>
      <c r="K8" s="200"/>
      <c r="L8" s="200"/>
      <c r="M8" s="200"/>
      <c r="N8" s="200"/>
    </row>
    <row r="9" customFormat="false" ht="13.8" hidden="false" customHeight="false" outlineLevel="0" collapsed="false">
      <c r="A9" s="166" t="s">
        <v>257</v>
      </c>
      <c r="B9" s="200" t="n">
        <f aca="false">B4/'Three Statements'!B64</f>
        <v>23.0269377764671</v>
      </c>
      <c r="C9" s="200" t="n">
        <f aca="false">C4/'Three Statements'!C64</f>
        <v>14.325903886355</v>
      </c>
      <c r="D9" s="200" t="n">
        <f aca="false">D4/'Three Statements'!D64</f>
        <v>12.6689228766678</v>
      </c>
      <c r="E9" s="200" t="n">
        <f aca="false">E4/'Three Statements'!E64</f>
        <v>21.2053390228945</v>
      </c>
      <c r="F9" s="200" t="n">
        <f aca="false">F4/'Three Statements'!F64</f>
        <v>20.0050297439338</v>
      </c>
      <c r="G9" s="200" t="n">
        <f aca="false">G4/'Three Statements'!G64</f>
        <v>44.4333437971627</v>
      </c>
      <c r="H9" s="200" t="n">
        <f aca="false">H4/'Three Statements'!H64</f>
        <v>30.4886492473443</v>
      </c>
      <c r="I9" s="200" t="n">
        <f aca="false">I4/'Three Statements'!I64</f>
        <v>20.6779022528219</v>
      </c>
      <c r="J9" s="200" t="n">
        <f aca="false">J4/'Three Statements'!J64</f>
        <v>24.5502723526475</v>
      </c>
      <c r="K9" s="200"/>
      <c r="L9" s="200"/>
      <c r="M9" s="200"/>
      <c r="N9" s="200"/>
    </row>
    <row r="10" customFormat="false" ht="13.8" hidden="false" customHeight="false" outlineLevel="0" collapsed="false">
      <c r="A10" s="166" t="s">
        <v>258</v>
      </c>
      <c r="B10" s="203" t="n">
        <f aca="false">SUM('Three Statements'!B33+'Three Statements'!B36+'Three Statements'!B37)/'Three Statements'!B40</f>
        <v>0.502939206786219</v>
      </c>
      <c r="C10" s="203" t="n">
        <f aca="false">SUM('Three Statements'!C33+'Three Statements'!C36+'Three Statements'!C37)/'Three Statements'!C40</f>
        <v>0.729190721108429</v>
      </c>
      <c r="D10" s="203" t="n">
        <f aca="false">SUM('Three Statements'!D33+'Three Statements'!D36+'Three Statements'!D37)/'Three Statements'!D40</f>
        <v>0.910162307453737</v>
      </c>
      <c r="E10" s="203" t="n">
        <f aca="false">SUM('Three Statements'!E33+'Three Statements'!E36+'Three Statements'!E37)/'Three Statements'!E40</f>
        <v>1.66030837704657</v>
      </c>
      <c r="F10" s="203" t="n">
        <f aca="false">SUM('Three Statements'!F33+'Three Statements'!F36+'Three Statements'!F37)/'Three Statements'!F40</f>
        <v>2.21213788045471</v>
      </c>
      <c r="G10" s="203" t="n">
        <f aca="false">SUM('Three Statements'!G33+'Three Statements'!G36+'Three Statements'!G37)/'Three Statements'!G40</f>
        <v>3.08632726034395</v>
      </c>
      <c r="H10" s="203" t="n">
        <f aca="false">SUM('Three Statements'!H33+'Three Statements'!H36+'Three Statements'!H37)/'Three Statements'!H40</f>
        <v>1.4407021228715</v>
      </c>
      <c r="I10" s="203" t="n">
        <f aca="false">SUM('Three Statements'!I33+'Three Statements'!I36+'Three Statements'!I37)/'Three Statements'!I40</f>
        <v>1.52238685778708</v>
      </c>
      <c r="J10" s="203" t="n">
        <f aca="false">SUM('Three Statements'!J33+'Three Statements'!J36+'Three Statements'!J37)/'Three Statements'!J40</f>
        <v>1.18992858676925</v>
      </c>
      <c r="K10" s="203" t="n">
        <f aca="false">SUM('Three Statements'!K33+'Three Statements'!K36+'Three Statements'!K37)/'Three Statements'!K40</f>
        <v>1.11236387286331</v>
      </c>
      <c r="L10" s="203" t="n">
        <f aca="false">SUM('Three Statements'!L33+'Three Statements'!L36+'Three Statements'!L37)/'Three Statements'!L40</f>
        <v>1.04969056595378</v>
      </c>
      <c r="M10" s="203" t="n">
        <f aca="false">SUM('Three Statements'!M33+'Three Statements'!M36+'Three Statements'!M37)/'Three Statements'!M40</f>
        <v>0.988265147378559</v>
      </c>
      <c r="N10" s="203" t="n">
        <f aca="false">SUM('Three Statements'!N33+'Three Statements'!N36+'Three Statements'!N37)/'Three Statements'!N40</f>
        <v>0.933902810996915</v>
      </c>
    </row>
    <row r="11" customFormat="false" ht="13.8" hidden="false" customHeight="false" outlineLevel="0" collapsed="false">
      <c r="A11" s="166" t="s">
        <v>259</v>
      </c>
      <c r="B11" s="203" t="n">
        <f aca="false">SUM('Three Statements'!B33+'Three Statements'!B36+'Three Statements'!B37)/'Three Statements'!B24</f>
        <v>1.2147735442128</v>
      </c>
      <c r="C11" s="203" t="n">
        <f aca="false">SUM('Three Statements'!C33+'Three Statements'!C36+'Three Statements'!C37)/'Three Statements'!C24</f>
        <v>1.17985733695652</v>
      </c>
      <c r="D11" s="203" t="n">
        <f aca="false">SUM('Three Statements'!D33+'Three Statements'!D36+'Three Statements'!D37)/'Three Statements'!D24</f>
        <v>1.31717534410533</v>
      </c>
      <c r="E11" s="203" t="n">
        <f aca="false">SUM('Three Statements'!E33+'Three Statements'!E36+'Three Statements'!E37)/'Three Statements'!E24</f>
        <v>1.61188271604938</v>
      </c>
      <c r="F11" s="203" t="n">
        <f aca="false">SUM('Three Statements'!F33+'Three Statements'!F36+'Three Statements'!F37)/'Three Statements'!F24</f>
        <v>1.65682504806372</v>
      </c>
      <c r="G11" s="203" t="n">
        <f aca="false">SUM('Three Statements'!G33+'Three Statements'!G36+'Three Statements'!G37)/'Three Statements'!G24</f>
        <v>2.30376207422471</v>
      </c>
      <c r="H11" s="203" t="n">
        <f aca="false">SUM('Three Statements'!H33+'Three Statements'!H36+'Three Statements'!H37)/'Three Statements'!H24</f>
        <v>2.26459143968872</v>
      </c>
      <c r="I11" s="203" t="n">
        <f aca="false">SUM('Three Statements'!I33+'Three Statements'!I36+'Three Statements'!I37)/'Three Statements'!I24</f>
        <v>1.94315962586083</v>
      </c>
      <c r="J11" s="203" t="n">
        <f aca="false">SUM('Three Statements'!J33+'Three Statements'!J36+'Three Statements'!J37)/'Three Statements'!J24</f>
        <v>2.09071154648657</v>
      </c>
      <c r="K11" s="203" t="n">
        <f aca="false">SUM('Three Statements'!K33+'Three Statements'!K36+'Three Statements'!K37)/'Three Statements'!K24</f>
        <v>1.94787849522876</v>
      </c>
      <c r="L11" s="203" t="n">
        <f aca="false">SUM('Three Statements'!L33+'Three Statements'!L36+'Three Statements'!L37)/'Three Statements'!L24</f>
        <v>1.90571984205991</v>
      </c>
      <c r="M11" s="203" t="n">
        <f aca="false">SUM('Three Statements'!M33+'Three Statements'!M36+'Three Statements'!M37)/'Three Statements'!M24</f>
        <v>1.86711703693541</v>
      </c>
      <c r="N11" s="203" t="n">
        <f aca="false">SUM('Three Statements'!N33+'Three Statements'!N36+'Three Statements'!N37)/'Three Statements'!N24</f>
        <v>1.83220081430602</v>
      </c>
    </row>
    <row r="12" customFormat="false" ht="13.8" hidden="false" customHeight="false" outlineLevel="0" collapsed="false">
      <c r="A12" s="166" t="s">
        <v>260</v>
      </c>
      <c r="B12" s="203" t="n">
        <f aca="false">'Three Statements'!B15/'Three Statements'!B40</f>
        <v>0.247488652429496</v>
      </c>
      <c r="C12" s="203" t="n">
        <f aca="false">'Three Statements'!C15/'Three Statements'!C40</f>
        <v>0.40201532486617</v>
      </c>
      <c r="D12" s="203" t="n">
        <f aca="false">'Three Statements'!D15/'Three Statements'!D40</f>
        <v>0.448464798924842</v>
      </c>
      <c r="E12" s="203" t="n">
        <f aca="false">'Three Statements'!E15/'Three Statements'!E40</f>
        <v>0.327134000953743</v>
      </c>
      <c r="F12" s="203" t="n">
        <f aca="false">'Three Statements'!F15/'Three Statements'!F40</f>
        <v>0.766776677667767</v>
      </c>
      <c r="G12" s="203" t="n">
        <f aca="false">'Three Statements'!G15/'Three Statements'!G40</f>
        <v>0.456155286906181</v>
      </c>
      <c r="H12" s="203" t="n">
        <f aca="false">'Three Statements'!H15/'Three Statements'!H40</f>
        <v>0.451579026329608</v>
      </c>
      <c r="I12" s="203" t="n">
        <f aca="false">'Three Statements'!I15/'Three Statements'!I40</f>
        <v>0.510227089708488</v>
      </c>
      <c r="J12" s="203" t="n">
        <f aca="false">'Three Statements'!J15/'Three Statements'!J40</f>
        <v>0.405959738878299</v>
      </c>
      <c r="K12" s="203" t="n">
        <f aca="false">'Three Statements'!K15/'Three Statements'!K40</f>
        <v>0.384454730355399</v>
      </c>
      <c r="L12" s="203" t="n">
        <f aca="false">'Three Statements'!L15/'Three Statements'!L40</f>
        <v>0.368374569574821</v>
      </c>
      <c r="M12" s="203" t="n">
        <f aca="false">'Three Statements'!M15/'Three Statements'!M40</f>
        <v>0.352038860270199</v>
      </c>
      <c r="N12" s="203" t="n">
        <f aca="false">'Three Statements'!N15/'Three Statements'!N40</f>
        <v>0.337454367523816</v>
      </c>
    </row>
    <row r="16" customFormat="false" ht="13.8" hidden="false" customHeight="false" outlineLevel="0" collapsed="false">
      <c r="A16" s="204" t="s">
        <v>261</v>
      </c>
      <c r="B16" s="205" t="n">
        <f aca="false">'Three Statements'!B64</f>
        <v>3391</v>
      </c>
      <c r="C16" s="205" t="n">
        <f aca="false">'Three Statements'!C64</f>
        <v>5262</v>
      </c>
      <c r="D16" s="205" t="n">
        <f aca="false">'Three Statements'!D64</f>
        <v>6146</v>
      </c>
      <c r="E16" s="205" t="n">
        <f aca="false">'Three Statements'!E64</f>
        <v>4892</v>
      </c>
      <c r="F16" s="205" t="n">
        <f aca="false">'Three Statements'!F64</f>
        <v>5962</v>
      </c>
      <c r="G16" s="205" t="n">
        <f aca="false">'Three Statements'!G64</f>
        <v>3313</v>
      </c>
      <c r="H16" s="205" t="n">
        <f aca="false">'Three Statements'!H64</f>
        <v>6621</v>
      </c>
      <c r="I16" s="205" t="n">
        <f aca="false">'Three Statements'!I64</f>
        <v>7117</v>
      </c>
      <c r="J16" s="205" t="n">
        <f aca="false">'Three Statements'!J64</f>
        <v>5387.91898787598</v>
      </c>
      <c r="K16" s="205" t="n">
        <f aca="false">'Three Statements'!K64</f>
        <v>7389.44462148147</v>
      </c>
      <c r="L16" s="205" t="n">
        <f aca="false">'Three Statements'!L64</f>
        <v>7313.40231098704</v>
      </c>
      <c r="M16" s="205" t="n">
        <f aca="false">'Three Statements'!M64</f>
        <v>7691.79145913143</v>
      </c>
      <c r="N16" s="205" t="n">
        <f aca="false">'Three Statements'!N64</f>
        <v>8089.44672094003</v>
      </c>
      <c r="O16" s="204"/>
      <c r="P16" s="204"/>
      <c r="Q16" s="204"/>
      <c r="R16" s="204"/>
      <c r="S16" s="204"/>
      <c r="T16" s="204"/>
      <c r="U16" s="166" t="s">
        <v>262</v>
      </c>
    </row>
    <row r="17" customFormat="false" ht="13.8" hidden="false" customHeight="false" outlineLevel="0" collapsed="false">
      <c r="A17" s="206" t="s">
        <v>143</v>
      </c>
      <c r="B17" s="0"/>
      <c r="C17" s="54" t="n">
        <f aca="false">+IFERROR(C16/B16-1,"nm")</f>
        <v>0.551754644647597</v>
      </c>
      <c r="D17" s="54" t="n">
        <f aca="false">+IFERROR(D16/C16-1,"nm")</f>
        <v>0.167996959331053</v>
      </c>
      <c r="E17" s="54" t="n">
        <f aca="false">+IFERROR(E16/D16-1,"nm")</f>
        <v>-0.204035144809632</v>
      </c>
      <c r="F17" s="54" t="n">
        <f aca="false">+IFERROR(F16/E16-1,"nm")</f>
        <v>0.218724448078496</v>
      </c>
      <c r="G17" s="54" t="n">
        <f aca="false">+IFERROR(G16/F16-1,"nm")</f>
        <v>-0.444313988594431</v>
      </c>
      <c r="H17" s="54" t="n">
        <f aca="false">+IFERROR(H16/G16-1,"nm")</f>
        <v>0.998490793842439</v>
      </c>
      <c r="I17" s="54" t="n">
        <f aca="false">+IFERROR(I16/H16-1,"nm")</f>
        <v>0.0749131551125208</v>
      </c>
      <c r="J17" s="54" t="n">
        <f aca="false">+IFERROR(J16/I16-1,"nm")</f>
        <v>-0.242950823679082</v>
      </c>
      <c r="K17" s="54" t="n">
        <f aca="false">+IFERROR(K16/J16-1,"nm")</f>
        <v>0.371483988179736</v>
      </c>
      <c r="L17" s="54" t="n">
        <f aca="false">+IFERROR(L16/K16-1,"nm")</f>
        <v>-0.0102906665371534</v>
      </c>
      <c r="M17" s="54" t="n">
        <f aca="false">+IFERROR(M16/L16-1,"nm")</f>
        <v>0.051739140287131</v>
      </c>
      <c r="N17" s="54" t="n">
        <f aca="false">+IFERROR(N16/M16-1,"nm")</f>
        <v>0.0516986535479354</v>
      </c>
      <c r="O17" s="0"/>
      <c r="P17" s="0"/>
      <c r="Q17" s="0"/>
      <c r="R17" s="0"/>
      <c r="S17" s="0"/>
      <c r="T17" s="0"/>
      <c r="U17" s="206"/>
      <c r="V17" s="207"/>
    </row>
    <row r="18" customFormat="false" ht="13.8" hidden="false" customHeight="false" outlineLevel="0" collapsed="false">
      <c r="A18" s="166" t="s">
        <v>263</v>
      </c>
      <c r="J18" s="199"/>
      <c r="K18" s="199"/>
      <c r="L18" s="199"/>
      <c r="M18" s="199"/>
      <c r="N18" s="199"/>
      <c r="U18" s="166" t="s">
        <v>264</v>
      </c>
    </row>
    <row r="19" customFormat="false" ht="13.8" hidden="false" customHeight="false" outlineLevel="0" collapsed="false">
      <c r="A19" s="19" t="s">
        <v>265</v>
      </c>
      <c r="B19" s="208" t="n">
        <v>0.8</v>
      </c>
      <c r="C19" s="208" t="n">
        <v>0.62</v>
      </c>
      <c r="D19" s="209" t="n">
        <v>0.47</v>
      </c>
      <c r="E19" s="209" t="n">
        <v>0.65</v>
      </c>
      <c r="F19" s="209" t="n">
        <v>0.69</v>
      </c>
      <c r="G19" s="209" t="n">
        <v>0.85</v>
      </c>
      <c r="H19" s="209" t="n">
        <v>0.85</v>
      </c>
      <c r="I19" s="209" t="n">
        <v>0.95</v>
      </c>
      <c r="J19" s="209" t="n">
        <v>1.09</v>
      </c>
      <c r="K19" s="210" t="n">
        <v>1.11</v>
      </c>
      <c r="L19" s="210"/>
      <c r="M19" s="210"/>
      <c r="N19" s="210"/>
      <c r="O19" s="210"/>
      <c r="P19" s="210"/>
      <c r="Q19" s="210"/>
      <c r="R19" s="210"/>
      <c r="S19" s="210"/>
      <c r="T19" s="210"/>
      <c r="U19" s="19" t="s">
        <v>266</v>
      </c>
      <c r="V19" s="210"/>
    </row>
    <row r="20" customFormat="false" ht="13.8" hidden="false" customHeight="false" outlineLevel="0" collapsed="false">
      <c r="A20" s="19" t="s">
        <v>267</v>
      </c>
      <c r="B20" s="211" t="n">
        <f aca="false">B21+B19*B22</f>
        <v>0.03484</v>
      </c>
      <c r="C20" s="211" t="n">
        <f aca="false">C21+C19*C22</f>
        <v>0.096074</v>
      </c>
      <c r="D20" s="211" t="n">
        <f aca="false">D21+D19*D22</f>
        <v>0.129967</v>
      </c>
      <c r="E20" s="211" t="n">
        <f aca="false">E21+E19*E22</f>
        <v>0.001905</v>
      </c>
      <c r="F20" s="211" t="n">
        <f aca="false">F21+F19*F22</f>
        <v>0.243449</v>
      </c>
      <c r="G20" s="211" t="n">
        <f aca="false">G21+G19*G22</f>
        <v>0.1647</v>
      </c>
      <c r="H20" s="211" t="n">
        <f aca="false">H21+H19*H22</f>
        <v>0.264195</v>
      </c>
      <c r="I20" s="211" t="n">
        <f aca="false">I21+I19*I22</f>
        <v>-0.1435</v>
      </c>
      <c r="J20" s="211" t="n">
        <f aca="false">J21+J19*J22</f>
        <v>0.322661</v>
      </c>
      <c r="K20" s="212"/>
      <c r="L20" s="203"/>
      <c r="M20" s="203"/>
      <c r="N20" s="203"/>
      <c r="O20" s="203"/>
      <c r="P20" s="203"/>
      <c r="Q20" s="203"/>
      <c r="R20" s="203"/>
      <c r="S20" s="203"/>
      <c r="T20" s="203"/>
      <c r="U20" s="19" t="s">
        <v>268</v>
      </c>
      <c r="V20" s="210"/>
    </row>
    <row r="21" customFormat="false" ht="13.8" hidden="false" customHeight="false" outlineLevel="0" collapsed="false">
      <c r="A21" s="19" t="s">
        <v>269</v>
      </c>
      <c r="B21" s="213" t="n">
        <v>0.0238</v>
      </c>
      <c r="C21" s="213" t="n">
        <v>0.0231</v>
      </c>
      <c r="D21" s="213" t="n">
        <v>0.0284</v>
      </c>
      <c r="E21" s="213" t="n">
        <v>0.0294</v>
      </c>
      <c r="F21" s="213" t="n">
        <v>0.0281</v>
      </c>
      <c r="G21" s="213" t="n">
        <v>0.0117</v>
      </c>
      <c r="H21" s="213" t="n">
        <v>0.0222</v>
      </c>
      <c r="I21" s="213" t="n">
        <v>0.0275</v>
      </c>
      <c r="J21" s="213" t="n">
        <v>0.0361</v>
      </c>
      <c r="K21" s="214" t="n">
        <v>4.34</v>
      </c>
      <c r="L21" s="203"/>
      <c r="M21" s="203"/>
      <c r="N21" s="203"/>
      <c r="O21" s="203"/>
      <c r="P21" s="203"/>
      <c r="Q21" s="203"/>
      <c r="R21" s="203"/>
      <c r="S21" s="203"/>
      <c r="T21" s="203"/>
      <c r="U21" s="215" t="s">
        <v>270</v>
      </c>
      <c r="V21" s="210"/>
    </row>
    <row r="22" customFormat="false" ht="13.8" hidden="false" customHeight="false" outlineLevel="0" collapsed="false">
      <c r="A22" s="19" t="s">
        <v>271</v>
      </c>
      <c r="B22" s="216" t="n">
        <v>0.0138</v>
      </c>
      <c r="C22" s="216" t="n">
        <v>0.1177</v>
      </c>
      <c r="D22" s="216" t="n">
        <v>0.2161</v>
      </c>
      <c r="E22" s="216" t="n">
        <v>-0.0423</v>
      </c>
      <c r="F22" s="216" t="n">
        <v>0.3121</v>
      </c>
      <c r="G22" s="216" t="n">
        <v>0.18</v>
      </c>
      <c r="H22" s="216" t="n">
        <v>0.2847</v>
      </c>
      <c r="I22" s="216" t="n">
        <v>-0.18</v>
      </c>
      <c r="J22" s="217" t="n">
        <v>0.2629</v>
      </c>
      <c r="K22" s="0"/>
      <c r="L22" s="203"/>
      <c r="M22" s="203"/>
      <c r="N22" s="203"/>
      <c r="O22" s="203"/>
      <c r="P22" s="203"/>
      <c r="Q22" s="203"/>
      <c r="R22" s="203"/>
      <c r="S22" s="203"/>
      <c r="T22" s="203"/>
      <c r="U22" s="19" t="s">
        <v>272</v>
      </c>
      <c r="V22" s="210"/>
    </row>
    <row r="23" customFormat="false" ht="13.8" hidden="false" customHeight="false" outlineLevel="0" collapsed="false">
      <c r="A23" s="19" t="s">
        <v>273</v>
      </c>
      <c r="B23" s="203" t="n">
        <f aca="false">'Three Statements'!B10/'Three Statements'!B45*100</f>
        <v>0.138627586889791</v>
      </c>
      <c r="C23" s="203" t="n">
        <f aca="false">'Three Statements'!C10/'Three Statements'!C45*100</f>
        <v>0.115333252397718</v>
      </c>
      <c r="D23" s="203" t="n">
        <f aca="false">'Three Statements'!D10/'Three Statements'!D45*100</f>
        <v>0.319315906261839</v>
      </c>
      <c r="E23" s="203" t="n">
        <f aca="false">'Three Statements'!E10/'Three Statements'!E45*100</f>
        <v>0.322657743785851</v>
      </c>
      <c r="F23" s="203" t="n">
        <f aca="false">'Three Statements'!F10/'Three Statements'!F45*100</f>
        <v>0.279696329699184</v>
      </c>
      <c r="G23" s="203" t="n">
        <f aca="false">'Three Statements'!G10/'Three Statements'!G45*100</f>
        <v>0.330707491082045</v>
      </c>
      <c r="H23" s="203" t="n">
        <f aca="false">'Three Statements'!H10/'Three Statements'!H45*100</f>
        <v>0.73869403405887</v>
      </c>
      <c r="I23" s="203" t="n">
        <f aca="false">'Three Statements'!I10/'Three Statements'!I45*100</f>
        <v>0.601173020527859</v>
      </c>
      <c r="J23" s="203" t="n">
        <f aca="false">'Three Statements'!J10/'Three Statements'!J45*100</f>
        <v>0.577928598479011</v>
      </c>
      <c r="K23" s="203" t="n">
        <f aca="false">'Three Statements'!K10/'Three Statements'!K45*100</f>
        <v>0.575304047672859</v>
      </c>
      <c r="L23" s="203" t="n">
        <f aca="false">'Three Statements'!L10/'Three Statements'!L45*100</f>
        <v>0.573774295428393</v>
      </c>
      <c r="M23" s="203" t="n">
        <f aca="false">'Three Statements'!M10/'Three Statements'!M45*100</f>
        <v>0.570342288909122</v>
      </c>
      <c r="N23" s="203" t="n">
        <f aca="false">'Three Statements'!N10/'Three Statements'!N45*100</f>
        <v>0.566538437295589</v>
      </c>
      <c r="O23" s="203"/>
      <c r="P23" s="203"/>
      <c r="Q23" s="203"/>
      <c r="R23" s="203"/>
      <c r="S23" s="203"/>
      <c r="T23" s="203"/>
      <c r="U23" s="166" t="s">
        <v>274</v>
      </c>
      <c r="V23" s="210"/>
    </row>
    <row r="24" customFormat="false" ht="13.8" hidden="false" customHeight="false" outlineLevel="0" collapsed="false">
      <c r="A24" s="19" t="s">
        <v>275</v>
      </c>
      <c r="B24" s="203" t="n">
        <f aca="false">'Three Statements'!B45/'Three Statements'!B32</f>
        <v>0.990000980296049</v>
      </c>
      <c r="C24" s="203" t="n">
        <f aca="false">'Three Statements'!C45/'Three Statements'!C32</f>
        <v>0.823988395938579</v>
      </c>
      <c r="D24" s="203" t="n">
        <f aca="false">'Three Statements'!D45/'Three Statements'!D32</f>
        <v>0.826822392267419</v>
      </c>
      <c r="E24" s="203" t="n">
        <f aca="false">'Three Statements'!E45/'Three Statements'!E32</f>
        <v>0.792611887283921</v>
      </c>
      <c r="F24" s="203" t="n">
        <f aca="false">'Three Statements'!F45/'Three Statements'!F32</f>
        <v>0.816165851385977</v>
      </c>
      <c r="G24" s="203" t="n">
        <f aca="false">'Three Statements'!G45/'Three Statements'!G32</f>
        <v>0.904027679801135</v>
      </c>
      <c r="H24" s="203" t="n">
        <f aca="false">'Three Statements'!H45/'Three Statements'!H32</f>
        <v>0.98048321999226</v>
      </c>
      <c r="I24" s="203" t="n">
        <f aca="false">'Three Statements'!I45/'Three Statements'!I32</f>
        <v>0.871387320164567</v>
      </c>
      <c r="J24" s="203" t="n">
        <f aca="false">'Three Statements'!J45/'Three Statements'!J32</f>
        <v>0.986375738450228</v>
      </c>
      <c r="K24" s="203" t="n">
        <f aca="false">'Three Statements'!K45/'Three Statements'!K32</f>
        <v>1.01037761769674</v>
      </c>
      <c r="L24" s="203" t="n">
        <f aca="false">'Three Statements'!L45/'Three Statements'!L32</f>
        <v>1.04936024922034</v>
      </c>
      <c r="M24" s="203" t="n">
        <f aca="false">'Three Statements'!M45/'Three Statements'!M32</f>
        <v>1.09389812403143</v>
      </c>
      <c r="N24" s="203" t="n">
        <f aca="false">'Three Statements'!N45/'Three Statements'!N32</f>
        <v>1.12401253784105</v>
      </c>
      <c r="O24" s="203"/>
      <c r="P24" s="203"/>
      <c r="Q24" s="203"/>
      <c r="R24" s="203"/>
      <c r="S24" s="203"/>
      <c r="T24" s="203"/>
      <c r="U24" s="166" t="s">
        <v>274</v>
      </c>
      <c r="V24" s="210"/>
    </row>
    <row r="25" customFormat="false" ht="13.8" hidden="false" customHeight="false" outlineLevel="0" collapsed="false">
      <c r="A25" s="166" t="s">
        <v>276</v>
      </c>
      <c r="J25" s="199"/>
      <c r="K25" s="0"/>
      <c r="L25" s="199"/>
      <c r="M25" s="199"/>
      <c r="N25" s="199"/>
      <c r="U25" s="166" t="s">
        <v>277</v>
      </c>
    </row>
    <row r="26" customFormat="false" ht="13.8" hidden="false" customHeight="false" outlineLevel="0" collapsed="false">
      <c r="F26" s="76"/>
      <c r="J26" s="199"/>
      <c r="K26" s="199"/>
      <c r="L26" s="199"/>
      <c r="M26" s="199"/>
      <c r="N26" s="199"/>
    </row>
    <row r="27" customFormat="false" ht="13.8" hidden="false" customHeight="false" outlineLevel="0" collapsed="false">
      <c r="A27" s="218" t="s">
        <v>278</v>
      </c>
      <c r="B27" s="219" t="n">
        <f aca="false">B16</f>
        <v>3391</v>
      </c>
      <c r="C27" s="219" t="n">
        <f aca="false">C16</f>
        <v>5262</v>
      </c>
      <c r="D27" s="219" t="n">
        <f aca="false">D16</f>
        <v>6146</v>
      </c>
      <c r="E27" s="219" t="n">
        <f aca="false">E16</f>
        <v>4892</v>
      </c>
      <c r="F27" s="219" t="n">
        <f aca="false">F16</f>
        <v>5962</v>
      </c>
      <c r="G27" s="219" t="n">
        <f aca="false">G16</f>
        <v>3313</v>
      </c>
      <c r="H27" s="219" t="n">
        <f aca="false">H16</f>
        <v>6621</v>
      </c>
      <c r="I27" s="219" t="n">
        <f aca="false">I16</f>
        <v>7117</v>
      </c>
      <c r="J27" s="219" t="n">
        <f aca="false">J16</f>
        <v>5387.91898787598</v>
      </c>
      <c r="K27" s="219" t="n">
        <f aca="false">K16</f>
        <v>7389.44462148147</v>
      </c>
      <c r="L27" s="219" t="n">
        <f aca="false">L16</f>
        <v>7313.40231098704</v>
      </c>
      <c r="M27" s="219" t="n">
        <f aca="false">M16</f>
        <v>7691.79145913143</v>
      </c>
      <c r="N27" s="219" t="n">
        <f aca="false">N16</f>
        <v>8089.44672094003</v>
      </c>
      <c r="O27" s="204"/>
      <c r="P27" s="204"/>
      <c r="Q27" s="204"/>
      <c r="R27" s="204"/>
      <c r="S27" s="204"/>
      <c r="T27" s="204"/>
      <c r="U27" s="220" t="s">
        <v>279</v>
      </c>
    </row>
    <row r="28" customFormat="false" ht="13.8" hidden="false" customHeight="false" outlineLevel="0" collapsed="false">
      <c r="A28" s="221" t="s">
        <v>280</v>
      </c>
      <c r="B28" s="0"/>
      <c r="J28" s="199"/>
      <c r="K28" s="199"/>
      <c r="L28" s="199"/>
      <c r="M28" s="199"/>
      <c r="N28" s="199"/>
      <c r="U28" s="222" t="s">
        <v>279</v>
      </c>
    </row>
    <row r="29" customFormat="false" ht="13.8" hidden="false" customHeight="false" outlineLevel="0" collapsed="false">
      <c r="A29" s="221" t="s">
        <v>281</v>
      </c>
      <c r="B29" s="0"/>
      <c r="U29" s="222" t="s">
        <v>282</v>
      </c>
    </row>
    <row r="30" customFormat="false" ht="13.8" hidden="false" customHeight="false" outlineLevel="0" collapsed="false">
      <c r="A30" s="221" t="s">
        <v>283</v>
      </c>
      <c r="B30" s="24" t="n">
        <f aca="false">'Three Statements'!B45</f>
        <v>20198</v>
      </c>
      <c r="C30" s="24" t="n">
        <f aca="false">'Three Statements'!C45</f>
        <v>16474</v>
      </c>
      <c r="D30" s="24" t="n">
        <f aca="false">'Three Statements'!D45</f>
        <v>18477</v>
      </c>
      <c r="E30" s="24" t="n">
        <f aca="false">'Three Statements'!E45</f>
        <v>16736</v>
      </c>
      <c r="F30" s="24" t="n">
        <f aca="false">'Three Statements'!F45</f>
        <v>17519</v>
      </c>
      <c r="G30" s="24" t="n">
        <f aca="false">'Three Statements'!G45</f>
        <v>26912</v>
      </c>
      <c r="H30" s="24" t="n">
        <f aca="false">'Three Statements'!H45</f>
        <v>35468</v>
      </c>
      <c r="I30" s="24" t="n">
        <f aca="false">'Three Statements'!I45</f>
        <v>34100</v>
      </c>
      <c r="J30" s="24" t="n">
        <f aca="false">'Three Statements'!J45</f>
        <v>37201.3612472873</v>
      </c>
      <c r="K30" s="24" t="n">
        <f aca="false">'Three Statements'!K45</f>
        <v>39193.5628312302</v>
      </c>
      <c r="L30" s="24" t="n">
        <f aca="false">'Three Statements'!L45</f>
        <v>41214.5195744442</v>
      </c>
      <c r="M30" s="24" t="n">
        <f aca="false">'Three Statements'!M45</f>
        <v>43484.5432025788</v>
      </c>
      <c r="N30" s="24" t="n">
        <f aca="false">'Three Statements'!N45</f>
        <v>45911.3710755263</v>
      </c>
    </row>
    <row r="31" customFormat="false" ht="13.8" hidden="false" customHeight="false" outlineLevel="0" collapsed="false">
      <c r="A31" s="221" t="s">
        <v>284</v>
      </c>
      <c r="B31" s="24" t="n">
        <f aca="false">B30-'Three Statements'!B33-'Three Statements'!B36-'Three Statements'!B37-'Three Statements'!B38</f>
        <v>13439</v>
      </c>
      <c r="C31" s="24" t="n">
        <f aca="false">C30-'Three Statements'!C33-'Three Statements'!C36-'Three Statements'!C37-'Three Statements'!C38</f>
        <v>9527</v>
      </c>
      <c r="D31" s="24" t="n">
        <f aca="false">D30-'Three Statements'!D33-'Three Statements'!D36-'Three Statements'!D37-'Three Statements'!D38</f>
        <v>9673</v>
      </c>
      <c r="E31" s="24" t="n">
        <f aca="false">E30-'Three Statements'!E33-'Three Statements'!E36-'Three Statements'!E37-'Three Statements'!E38</f>
        <v>6291</v>
      </c>
      <c r="F31" s="24" t="n">
        <f aca="false">F30-'Three Statements'!F33-'Three Statements'!F36-'Three Statements'!F37-'Three Statements'!F38</f>
        <v>5454</v>
      </c>
      <c r="G31" s="24" t="n">
        <f aca="false">G30-'Three Statements'!G33-'Three Statements'!G36-'Three Statements'!G37-'Three Statements'!G38</f>
        <v>5873</v>
      </c>
      <c r="H31" s="24" t="n">
        <f aca="false">H30-'Three Statements'!H33-'Three Statements'!H36-'Three Statements'!H37-'Three Statements'!H38</f>
        <v>13331</v>
      </c>
      <c r="I31" s="24" t="n">
        <f aca="false">I30-'Three Statements'!I33-'Three Statements'!I36-'Three Statements'!I37-'Three Statements'!I38</f>
        <v>12418</v>
      </c>
      <c r="J31" s="24" t="n">
        <f aca="false">J30-'Three Statements'!J33-'Three Statements'!J36-'Three Statements'!J37-'Three Statements'!J38</f>
        <v>15711.5633020706</v>
      </c>
      <c r="K31" s="24" t="n">
        <f aca="false">K30-'Three Statements'!K33-'Three Statements'!K36-'Three Statements'!K37-'Three Statements'!K38</f>
        <v>17223.423486548</v>
      </c>
      <c r="L31" s="24" t="n">
        <f aca="false">L30-'Three Statements'!L33-'Three Statements'!L36-'Three Statements'!L37-'Three Statements'!L38</f>
        <v>18727.5692101686</v>
      </c>
      <c r="M31" s="24" t="n">
        <f aca="false">M30-'Three Statements'!M33-'Three Statements'!M36-'Three Statements'!M37-'Three Statements'!M38</f>
        <v>20439.0575965092</v>
      </c>
      <c r="N31" s="24" t="n">
        <f aca="false">N30-'Three Statements'!N33-'Three Statements'!N36-'Three Statements'!N37-'Three Statements'!N38</f>
        <v>22259.3947250177</v>
      </c>
    </row>
    <row r="32" customFormat="false" ht="13.8" hidden="false" customHeight="false" outlineLevel="0" collapsed="false">
      <c r="A32" s="223" t="s">
        <v>285</v>
      </c>
      <c r="B32" s="30" t="n">
        <f aca="false">B31/'Three Statements'!B16</f>
        <v>7.59780642243329</v>
      </c>
      <c r="C32" s="30" t="n">
        <f aca="false">C31/'Three Statements'!C16</f>
        <v>5.4674318507891</v>
      </c>
      <c r="D32" s="30" t="n">
        <f aca="false">D31/'Three Statements'!D16</f>
        <v>5.71690307328605</v>
      </c>
      <c r="E32" s="30" t="n">
        <f aca="false">E31/'Three Statements'!E16</f>
        <v>3.79181483937074</v>
      </c>
      <c r="F32" s="30" t="n">
        <f aca="false">F31/'Three Statements'!F16</f>
        <v>3.36999505684627</v>
      </c>
      <c r="G32" s="30" t="n">
        <f aca="false">G31/'Three Statements'!G16</f>
        <v>3.68999748680573</v>
      </c>
      <c r="H32" s="30" t="n">
        <f aca="false">H31/'Three Statements'!H16</f>
        <v>8.28321113458432</v>
      </c>
      <c r="I32" s="30" t="n">
        <f aca="false">I31/'Three Statements'!I16</f>
        <v>7.70921281350882</v>
      </c>
      <c r="J32" s="30" t="n">
        <f aca="false">J31/'Three Statements'!J16</f>
        <v>9.92807791657199</v>
      </c>
      <c r="K32" s="30" t="n">
        <f aca="false">K31/'Three Statements'!K16</f>
        <v>11.0694634217598</v>
      </c>
      <c r="L32" s="30" t="n">
        <f aca="false">L31/'Three Statements'!L16</f>
        <v>12.2303047633689</v>
      </c>
      <c r="M32" s="30" t="n">
        <f aca="false">M31/'Three Statements'!M16</f>
        <v>13.5473038586038</v>
      </c>
      <c r="N32" s="30" t="n">
        <f aca="false">N31/'Three Statements'!N16</f>
        <v>14.9524987283835</v>
      </c>
    </row>
  </sheetData>
  <hyperlinks>
    <hyperlink ref="U21" r:id="rId1" display="https://www.treasury.gov/resource-center/data-chart-center/interest-rates/Pages/TextView.aspx?data=longtermrate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D20" activeCellId="0" sqref="D2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5.54"/>
    <col collapsed="false" customWidth="true" hidden="false" outlineLevel="0" max="19" min="19" style="0" width="12.26"/>
  </cols>
  <sheetData>
    <row r="1" customFormat="false" ht="13.8" hidden="false" customHeight="false" outlineLevel="0" collapsed="false">
      <c r="A1" s="224"/>
      <c r="B1" s="224"/>
      <c r="C1" s="224"/>
      <c r="D1" s="224"/>
      <c r="E1" s="224"/>
      <c r="F1" s="224"/>
      <c r="G1" s="224"/>
      <c r="H1" s="224"/>
      <c r="I1" s="224"/>
      <c r="J1" s="225"/>
      <c r="K1" s="225"/>
      <c r="L1" s="225"/>
      <c r="M1" s="225"/>
      <c r="N1" s="225"/>
      <c r="O1" s="226"/>
      <c r="P1" s="227"/>
      <c r="Q1" s="227"/>
      <c r="R1" s="227"/>
      <c r="S1" s="227"/>
    </row>
    <row r="2" customFormat="false" ht="16.15" hidden="false" customHeight="false" outlineLevel="0" collapsed="false">
      <c r="A2" s="228" t="s">
        <v>286</v>
      </c>
      <c r="B2" s="229" t="n">
        <v>2015</v>
      </c>
      <c r="C2" s="229" t="n">
        <v>2016</v>
      </c>
      <c r="D2" s="229" t="n">
        <v>2017</v>
      </c>
      <c r="E2" s="229" t="n">
        <v>2018</v>
      </c>
      <c r="F2" s="229" t="n">
        <v>2019</v>
      </c>
      <c r="G2" s="229" t="n">
        <v>2020</v>
      </c>
      <c r="H2" s="229" t="n">
        <v>2021</v>
      </c>
      <c r="I2" s="229" t="n">
        <v>2022</v>
      </c>
      <c r="J2" s="230" t="n">
        <v>2023</v>
      </c>
      <c r="K2" s="230" t="n">
        <v>2024</v>
      </c>
      <c r="L2" s="230" t="n">
        <v>2025</v>
      </c>
      <c r="M2" s="230" t="n">
        <v>2026</v>
      </c>
      <c r="N2" s="230" t="n">
        <v>2028</v>
      </c>
      <c r="O2" s="231" t="n">
        <v>2029</v>
      </c>
      <c r="P2" s="231" t="n">
        <v>2030</v>
      </c>
      <c r="Q2" s="231" t="n">
        <v>2031</v>
      </c>
      <c r="R2" s="231" t="n">
        <v>2032</v>
      </c>
      <c r="S2" s="232" t="s">
        <v>249</v>
      </c>
    </row>
    <row r="3" customFormat="false" ht="21.25" hidden="false" customHeight="true" outlineLevel="0" collapsed="false">
      <c r="A3" s="233" t="s">
        <v>287</v>
      </c>
      <c r="B3" s="234" t="n">
        <v>48.28</v>
      </c>
      <c r="C3" s="234" t="n">
        <v>61.11</v>
      </c>
      <c r="D3" s="234" t="n">
        <v>51.99</v>
      </c>
      <c r="E3" s="234" t="n">
        <v>62.85</v>
      </c>
      <c r="F3" s="234" t="n">
        <v>72.79</v>
      </c>
      <c r="G3" s="234" t="n">
        <v>101.36</v>
      </c>
      <c r="H3" s="234" t="n">
        <v>142.85</v>
      </c>
      <c r="I3" s="234" t="n">
        <v>167.53</v>
      </c>
      <c r="J3" s="234" t="n">
        <v>118.55</v>
      </c>
      <c r="K3" s="234" t="n">
        <v>107.61</v>
      </c>
      <c r="L3" s="235"/>
      <c r="M3" s="235"/>
      <c r="N3" s="235"/>
      <c r="O3" s="235"/>
      <c r="P3" s="235"/>
      <c r="Q3" s="235"/>
      <c r="R3" s="235"/>
      <c r="S3" s="235"/>
    </row>
    <row r="4" customFormat="false" ht="21.25" hidden="false" customHeight="true" outlineLevel="0" collapsed="false">
      <c r="A4" s="236" t="s">
        <v>288</v>
      </c>
      <c r="B4" s="237" t="n">
        <v>46.34</v>
      </c>
      <c r="C4" s="237" t="n">
        <v>61.75</v>
      </c>
      <c r="D4" s="237" t="n">
        <v>52.98</v>
      </c>
      <c r="E4" s="237" t="n">
        <v>67.67</v>
      </c>
      <c r="F4" s="237" t="n">
        <v>81.83</v>
      </c>
      <c r="G4" s="237" t="n">
        <v>99</v>
      </c>
      <c r="H4" s="237" t="n">
        <v>135.37</v>
      </c>
      <c r="I4" s="237" t="n">
        <v>149.5</v>
      </c>
      <c r="J4" s="238" t="n">
        <v>127.9</v>
      </c>
      <c r="K4" s="238" t="n">
        <v>101.9</v>
      </c>
      <c r="L4" s="238"/>
      <c r="M4" s="238"/>
      <c r="N4" s="238"/>
      <c r="O4" s="238"/>
      <c r="P4" s="238"/>
      <c r="Q4" s="238"/>
      <c r="R4" s="238"/>
      <c r="S4" s="238"/>
    </row>
    <row r="5" customFormat="false" ht="21.25" hidden="false" customHeight="true" outlineLevel="0" collapsed="false">
      <c r="A5" s="233" t="s">
        <v>289</v>
      </c>
      <c r="B5" s="234" t="n">
        <v>48.44</v>
      </c>
      <c r="C5" s="234" t="n">
        <v>61.97</v>
      </c>
      <c r="D5" s="234" t="n">
        <v>57.86</v>
      </c>
      <c r="E5" s="234" t="n">
        <v>67.24</v>
      </c>
      <c r="F5" s="234" t="n">
        <v>86.93</v>
      </c>
      <c r="G5" s="234" t="n">
        <v>89.6</v>
      </c>
      <c r="H5" s="234" t="n">
        <v>135.64</v>
      </c>
      <c r="I5" s="234" t="n">
        <v>136.72</v>
      </c>
      <c r="J5" s="234" t="n">
        <v>117.95</v>
      </c>
      <c r="K5" s="234" t="n">
        <v>103.87</v>
      </c>
      <c r="L5" s="235"/>
      <c r="M5" s="235"/>
      <c r="N5" s="235"/>
      <c r="O5" s="235"/>
      <c r="P5" s="235"/>
      <c r="Q5" s="235"/>
      <c r="R5" s="235"/>
      <c r="S5" s="235"/>
    </row>
    <row r="6" customFormat="false" ht="21.25" hidden="false" customHeight="true" outlineLevel="0" collapsed="false">
      <c r="A6" s="236" t="s">
        <v>290</v>
      </c>
      <c r="B6" s="237" t="n">
        <v>50</v>
      </c>
      <c r="C6" s="237" t="n">
        <v>61.22</v>
      </c>
      <c r="D6" s="237" t="n">
        <v>55.74</v>
      </c>
      <c r="E6" s="237" t="n">
        <v>65.97</v>
      </c>
      <c r="F6" s="237" t="n">
        <v>85.04</v>
      </c>
      <c r="G6" s="237" t="n">
        <v>79.49</v>
      </c>
      <c r="H6" s="237" t="n">
        <v>134.69</v>
      </c>
      <c r="I6" s="237" t="n">
        <v>134.45</v>
      </c>
      <c r="J6" s="238" t="n">
        <v>122.5</v>
      </c>
      <c r="K6" s="238"/>
      <c r="L6" s="238"/>
      <c r="M6" s="238"/>
      <c r="N6" s="238"/>
      <c r="O6" s="238"/>
      <c r="P6" s="238"/>
      <c r="Q6" s="238"/>
      <c r="R6" s="238"/>
      <c r="S6" s="238"/>
    </row>
    <row r="7" customFormat="false" ht="21.25" hidden="false" customHeight="true" outlineLevel="0" collapsed="false">
      <c r="A7" s="233" t="s">
        <v>291</v>
      </c>
      <c r="B7" s="234" t="n">
        <v>49.94</v>
      </c>
      <c r="C7" s="234" t="n">
        <v>59.09</v>
      </c>
      <c r="D7" s="234" t="n">
        <v>55.43</v>
      </c>
      <c r="E7" s="234" t="n">
        <v>67.98</v>
      </c>
      <c r="F7" s="234" t="n">
        <v>87.73</v>
      </c>
      <c r="G7" s="234" t="n">
        <v>85.67</v>
      </c>
      <c r="H7" s="234" t="n">
        <v>133.37</v>
      </c>
      <c r="I7" s="234" t="n">
        <v>124.43</v>
      </c>
      <c r="J7" s="234" t="n">
        <v>126.92</v>
      </c>
      <c r="K7" s="234"/>
      <c r="L7" s="235"/>
      <c r="M7" s="235"/>
      <c r="N7" s="235"/>
      <c r="O7" s="235"/>
      <c r="P7" s="235"/>
      <c r="Q7" s="235"/>
      <c r="R7" s="235"/>
      <c r="S7" s="235"/>
    </row>
    <row r="8" customFormat="false" ht="21.25" hidden="false" customHeight="true" outlineLevel="0" collapsed="false">
      <c r="A8" s="236" t="s">
        <v>292</v>
      </c>
      <c r="B8" s="237" t="n">
        <v>50.88</v>
      </c>
      <c r="C8" s="237" t="n">
        <v>53.33</v>
      </c>
      <c r="D8" s="237" t="n">
        <v>53.06</v>
      </c>
      <c r="E8" s="237" t="n">
        <v>72.12</v>
      </c>
      <c r="F8" s="237" t="n">
        <v>77.24</v>
      </c>
      <c r="G8" s="237" t="n">
        <v>98.4</v>
      </c>
      <c r="H8" s="237" t="n">
        <v>137.85</v>
      </c>
      <c r="I8" s="237" t="n">
        <v>119.83</v>
      </c>
      <c r="J8" s="238" t="n">
        <v>104.18</v>
      </c>
      <c r="K8" s="238"/>
      <c r="L8" s="238"/>
      <c r="M8" s="238"/>
      <c r="N8" s="238"/>
      <c r="O8" s="238"/>
      <c r="P8" s="238"/>
      <c r="Q8" s="238"/>
      <c r="R8" s="238"/>
      <c r="S8" s="238"/>
    </row>
    <row r="9" customFormat="false" ht="21.25" hidden="false" customHeight="true" outlineLevel="0" collapsed="false">
      <c r="A9" s="233" t="s">
        <v>293</v>
      </c>
      <c r="B9" s="234" t="n">
        <v>54.47</v>
      </c>
      <c r="C9" s="234" t="n">
        <v>55.07</v>
      </c>
      <c r="D9" s="234" t="n">
        <v>58.37</v>
      </c>
      <c r="E9" s="234" t="n">
        <v>78.58</v>
      </c>
      <c r="F9" s="234" t="n">
        <v>84.93</v>
      </c>
      <c r="G9" s="234" t="n">
        <v>98.5</v>
      </c>
      <c r="H9" s="234" t="n">
        <v>154.07</v>
      </c>
      <c r="I9" s="234" t="n">
        <v>101.64</v>
      </c>
      <c r="J9" s="234" t="n">
        <v>111.06</v>
      </c>
      <c r="K9" s="234"/>
      <c r="L9" s="235"/>
      <c r="M9" s="235"/>
      <c r="N9" s="235"/>
      <c r="O9" s="235"/>
      <c r="P9" s="235"/>
      <c r="Q9" s="235"/>
      <c r="R9" s="235"/>
      <c r="S9" s="235"/>
    </row>
    <row r="10" customFormat="false" ht="21.25" hidden="false" customHeight="true" outlineLevel="0" collapsed="false">
      <c r="A10" s="236" t="s">
        <v>294</v>
      </c>
      <c r="B10" s="237" t="n">
        <v>57.76</v>
      </c>
      <c r="C10" s="237" t="n">
        <v>55.73</v>
      </c>
      <c r="D10" s="237" t="n">
        <v>59</v>
      </c>
      <c r="E10" s="237" t="n">
        <v>76.5</v>
      </c>
      <c r="F10" s="237" t="n">
        <v>85.26</v>
      </c>
      <c r="G10" s="237" t="n">
        <v>98.03</v>
      </c>
      <c r="H10" s="237" t="n">
        <v>169.06</v>
      </c>
      <c r="I10" s="237" t="n">
        <v>114</v>
      </c>
      <c r="J10" s="238" t="n">
        <v>110</v>
      </c>
      <c r="K10" s="238"/>
      <c r="L10" s="238"/>
      <c r="M10" s="238"/>
      <c r="N10" s="238"/>
      <c r="O10" s="238"/>
      <c r="P10" s="238"/>
      <c r="Q10" s="238"/>
      <c r="R10" s="238"/>
      <c r="S10" s="238"/>
    </row>
    <row r="11" customFormat="false" ht="21.25" hidden="false" customHeight="true" outlineLevel="0" collapsed="false">
      <c r="A11" s="233" t="s">
        <v>295</v>
      </c>
      <c r="B11" s="234" t="n">
        <v>54.49</v>
      </c>
      <c r="C11" s="234" t="n">
        <v>57.67</v>
      </c>
      <c r="D11" s="234" t="n">
        <v>53</v>
      </c>
      <c r="E11" s="234" t="n">
        <v>79.39</v>
      </c>
      <c r="F11" s="234" t="n">
        <v>84</v>
      </c>
      <c r="G11" s="234" t="n">
        <v>112</v>
      </c>
      <c r="H11" s="234" t="n">
        <v>164.92</v>
      </c>
      <c r="I11" s="234" t="n">
        <v>105.8</v>
      </c>
      <c r="J11" s="234" t="n">
        <v>101.97</v>
      </c>
      <c r="K11" s="234"/>
      <c r="L11" s="235"/>
      <c r="M11" s="235"/>
      <c r="N11" s="235"/>
      <c r="O11" s="235"/>
      <c r="P11" s="235"/>
      <c r="Q11" s="235"/>
      <c r="R11" s="235"/>
      <c r="S11" s="235"/>
    </row>
    <row r="12" customFormat="false" ht="21.25" hidden="false" customHeight="true" outlineLevel="0" collapsed="false">
      <c r="A12" s="236" t="s">
        <v>296</v>
      </c>
      <c r="B12" s="237" t="n">
        <v>61.58</v>
      </c>
      <c r="C12" s="237" t="n">
        <v>52.54</v>
      </c>
      <c r="D12" s="237" t="n">
        <v>52.16</v>
      </c>
      <c r="E12" s="237" t="n">
        <v>85.1</v>
      </c>
      <c r="F12" s="237" t="n">
        <v>94.13</v>
      </c>
      <c r="G12" s="237" t="n">
        <v>127.73</v>
      </c>
      <c r="H12" s="237" t="n">
        <v>145.22</v>
      </c>
      <c r="I12" s="237" t="n">
        <v>83.13</v>
      </c>
      <c r="J12" s="238" t="n">
        <v>96.2</v>
      </c>
      <c r="K12" s="238"/>
      <c r="L12" s="238"/>
      <c r="M12" s="238"/>
      <c r="N12" s="238"/>
      <c r="O12" s="238"/>
      <c r="P12" s="238"/>
      <c r="Q12" s="238"/>
      <c r="R12" s="238"/>
      <c r="S12" s="238"/>
    </row>
    <row r="13" customFormat="false" ht="21.25" hidden="false" customHeight="true" outlineLevel="0" collapsed="false">
      <c r="A13" s="233" t="s">
        <v>297</v>
      </c>
      <c r="B13" s="234" t="n">
        <v>65.86</v>
      </c>
      <c r="C13" s="234" t="n">
        <v>50.5</v>
      </c>
      <c r="D13" s="234" t="n">
        <v>55.42</v>
      </c>
      <c r="E13" s="234" t="n">
        <v>75.23</v>
      </c>
      <c r="F13" s="234" t="n">
        <v>90.18</v>
      </c>
      <c r="G13" s="234" t="n">
        <v>122.37</v>
      </c>
      <c r="H13" s="234" t="n">
        <v>167.8</v>
      </c>
      <c r="I13" s="234" t="n">
        <v>95.69</v>
      </c>
      <c r="J13" s="234" t="n">
        <v>102.55</v>
      </c>
      <c r="K13" s="234"/>
      <c r="L13" s="235"/>
      <c r="M13" s="235"/>
      <c r="N13" s="235"/>
      <c r="O13" s="235"/>
      <c r="P13" s="235"/>
      <c r="Q13" s="235"/>
      <c r="R13" s="235"/>
      <c r="S13" s="235"/>
    </row>
    <row r="14" customFormat="false" ht="21.25" hidden="false" customHeight="true" outlineLevel="0" collapsed="false">
      <c r="A14" s="236" t="s">
        <v>298</v>
      </c>
      <c r="B14" s="237" t="n">
        <v>66.06</v>
      </c>
      <c r="C14" s="237" t="n">
        <v>50.11</v>
      </c>
      <c r="D14" s="237" t="n">
        <v>60.42</v>
      </c>
      <c r="E14" s="237" t="n">
        <v>77.1</v>
      </c>
      <c r="F14" s="237" t="n">
        <v>94.13</v>
      </c>
      <c r="G14" s="237" t="n">
        <v>136.44</v>
      </c>
      <c r="H14" s="237" t="n">
        <v>170.89</v>
      </c>
      <c r="I14" s="237" t="n">
        <v>110.09</v>
      </c>
      <c r="J14" s="238" t="n">
        <v>110.33</v>
      </c>
      <c r="K14" s="238"/>
      <c r="L14" s="238"/>
      <c r="M14" s="238"/>
      <c r="N14" s="238"/>
      <c r="O14" s="238"/>
      <c r="P14" s="238"/>
      <c r="Q14" s="238"/>
      <c r="R14" s="238"/>
      <c r="S14" s="238"/>
    </row>
    <row r="15" customFormat="false" ht="9.9" hidden="false" customHeight="true" outlineLevel="0" collapsed="false">
      <c r="A15" s="239"/>
      <c r="B15" s="239"/>
      <c r="C15" s="239"/>
      <c r="D15" s="239"/>
      <c r="E15" s="239"/>
      <c r="F15" s="239"/>
      <c r="G15" s="239"/>
      <c r="H15" s="239"/>
      <c r="I15" s="240"/>
      <c r="J15" s="241"/>
      <c r="K15" s="241"/>
      <c r="L15" s="241"/>
      <c r="M15" s="241"/>
      <c r="N15" s="241"/>
      <c r="O15" s="227"/>
      <c r="P15" s="227"/>
      <c r="Q15" s="227"/>
      <c r="R15" s="227"/>
      <c r="S15" s="227"/>
    </row>
    <row r="16" customFormat="false" ht="21.25" hidden="false" customHeight="true" outlineLevel="0" collapsed="false">
      <c r="A16" s="242" t="s">
        <v>299</v>
      </c>
      <c r="B16" s="243" t="n">
        <f aca="false">SUM(B3:B14)/12</f>
        <v>54.5083333333333</v>
      </c>
      <c r="C16" s="243" t="n">
        <f aca="false">SUM(C3:C14)/12</f>
        <v>56.6741666666667</v>
      </c>
      <c r="D16" s="243" t="n">
        <f aca="false">SUM(D3:D14)/12</f>
        <v>55.4525</v>
      </c>
      <c r="E16" s="243" t="n">
        <f aca="false">SUM(E3:E14)/12</f>
        <v>72.9775</v>
      </c>
      <c r="F16" s="243" t="n">
        <f aca="false">SUM(F3:F14)/12</f>
        <v>85.3491666666667</v>
      </c>
      <c r="G16" s="243" t="n">
        <f aca="false">SUM(G3:G14)/12</f>
        <v>104.049166666667</v>
      </c>
      <c r="H16" s="243" t="n">
        <f aca="false">SUM(H3:H14)/12</f>
        <v>149.310833333333</v>
      </c>
      <c r="I16" s="243" t="n">
        <f aca="false">SUM(I3:I14)/12</f>
        <v>120.234166666667</v>
      </c>
      <c r="J16" s="243" t="n">
        <f aca="false">SUM(J3:J14)/12</f>
        <v>112.509166666667</v>
      </c>
      <c r="K16" s="243" t="n">
        <f aca="false">SUM(K3:K14)/12</f>
        <v>26.115</v>
      </c>
      <c r="L16" s="243" t="n">
        <f aca="false">SUM(L3:L14)/12</f>
        <v>0</v>
      </c>
      <c r="M16" s="243" t="n">
        <f aca="false">SUM(M3:M14)/12</f>
        <v>0</v>
      </c>
      <c r="N16" s="243" t="n">
        <f aca="false">SUM(N3:N14)/12</f>
        <v>0</v>
      </c>
      <c r="O16" s="243" t="n">
        <f aca="false">SUM(O3:O14)/12</f>
        <v>0</v>
      </c>
      <c r="P16" s="243" t="n">
        <f aca="false">SUM(P3:P14)/12</f>
        <v>0</v>
      </c>
      <c r="Q16" s="243" t="n">
        <f aca="false">SUM(Q3:Q14)/12</f>
        <v>0</v>
      </c>
      <c r="R16" s="243" t="n">
        <f aca="false">SUM(R3:R14)/12</f>
        <v>0</v>
      </c>
      <c r="S16" s="243" t="n">
        <f aca="false">SUM(S3:S14)/12</f>
        <v>0</v>
      </c>
    </row>
    <row r="17" customFormat="false" ht="21.25" hidden="false" customHeight="true" outlineLevel="0" collapsed="false">
      <c r="A17" s="244" t="s">
        <v>300</v>
      </c>
      <c r="B17" s="245" t="n">
        <f aca="false">(B6+B7+B8+B9+B10+B11+B13+B14+C3+C4+C5)/12</f>
        <v>52.8575</v>
      </c>
      <c r="C17" s="245" t="n">
        <f aca="false">(C6+C7+C8+C9+C10+C11+C13+C14+D3+D4+D5)/12</f>
        <v>50.4625</v>
      </c>
      <c r="D17" s="245" t="n">
        <f aca="false">(D6+D7+D8+D9+D10+D11+D13+D14+E3+E4+E5)/12</f>
        <v>54.0166666666667</v>
      </c>
      <c r="E17" s="245" t="n">
        <f aca="false">(E6+E7+E8+E9+E10+E11+E13+E14+F3+F4+F5)/12</f>
        <v>69.535</v>
      </c>
      <c r="F17" s="245" t="n">
        <f aca="false">(F6+F7+F8+F9+F10+F11+F13+F14+G3+G4+G5)/12</f>
        <v>81.5391666666667</v>
      </c>
      <c r="G17" s="245" t="n">
        <f aca="false">(G6+G7+G8+G9+G10+G11+G13+G14+H3+H4+H5)/12</f>
        <v>103.73</v>
      </c>
      <c r="H17" s="245" t="n">
        <f aca="false">(H6+H7+H8+H9+H10+H11+H13+H14+I3+I4+I5)/12</f>
        <v>140.533333333333</v>
      </c>
      <c r="I17" s="245" t="n">
        <f aca="false">(I6+I7+I8+I9+I10+I11+I13+I14+J3+J4+J5)/12</f>
        <v>105.860833333333</v>
      </c>
      <c r="J17" s="246" t="n">
        <f aca="false">(J6+J7+J8+J9+J10+J11+J13+J14+K3+K4+K5)/12</f>
        <v>100.240833333333</v>
      </c>
      <c r="K17" s="238" t="n">
        <f aca="false">(K6+K7+K8+K9+K10+K11+K13+K14+L3+L4+L5)/12</f>
        <v>0</v>
      </c>
      <c r="L17" s="238" t="n">
        <f aca="false">(L6+L7+L8+L9+L10+L11+L13+L14+M3+M4+M5)/12</f>
        <v>0</v>
      </c>
      <c r="M17" s="238" t="n">
        <f aca="false">(M6+M7+M8+M9+M10+M11+M13+M14+N3+N4+N5)/12</f>
        <v>0</v>
      </c>
      <c r="N17" s="238" t="n">
        <f aca="false">(N6+N7+N8+N9+N10+N11+N13+N14+O3+O4+O5)/12</f>
        <v>0</v>
      </c>
      <c r="O17" s="246" t="n">
        <f aca="false">(O6+O7+O8+O9+O10+O11+O13+O14+P3+P4+P5)/12</f>
        <v>0</v>
      </c>
      <c r="P17" s="246" t="n">
        <f aca="false">(P6+P7+P8+P9+P10+P11+P13+P14+Q3+Q4+Q5)/12</f>
        <v>0</v>
      </c>
      <c r="Q17" s="246" t="n">
        <f aca="false">(Q6+Q7+Q8+Q9+Q10+Q11+Q13+Q14+R3+R4+R5)/12</f>
        <v>0</v>
      </c>
      <c r="R17" s="246" t="n">
        <f aca="false">(R6+R7+R8+R9+R10+R11+R13+R14+S3+S4+S5)/12</f>
        <v>0</v>
      </c>
      <c r="S17" s="246" t="n">
        <f aca="false">(S6+S7+S8+S9+S10+S11+S13+S14+T3+T4+T5)/12</f>
        <v>0</v>
      </c>
    </row>
    <row r="18" customFormat="false" ht="9.9" hidden="false" customHeight="true" outlineLevel="0" collapsed="false">
      <c r="A18" s="239"/>
      <c r="B18" s="239"/>
      <c r="C18" s="239"/>
      <c r="D18" s="239"/>
      <c r="E18" s="239"/>
      <c r="F18" s="239"/>
      <c r="G18" s="239"/>
      <c r="H18" s="239"/>
      <c r="I18" s="239"/>
      <c r="J18" s="241"/>
      <c r="K18" s="241"/>
      <c r="L18" s="241"/>
      <c r="M18" s="241"/>
      <c r="N18" s="241"/>
      <c r="O18" s="227"/>
      <c r="P18" s="227"/>
      <c r="Q18" s="227"/>
      <c r="R18" s="227"/>
      <c r="S18" s="227"/>
    </row>
    <row r="19" customFormat="false" ht="21.25" hidden="false" customHeight="true" outlineLevel="0" collapsed="false">
      <c r="A19" s="247" t="s">
        <v>301</v>
      </c>
      <c r="B19" s="248" t="n">
        <f aca="false">B17*'Three Statements'!B16</f>
        <v>93494.346</v>
      </c>
      <c r="C19" s="248" t="n">
        <f aca="false">C17*'Three Statements'!C16</f>
        <v>87930.90625</v>
      </c>
      <c r="D19" s="248" t="n">
        <f aca="false">D17*'Three Statements'!D16</f>
        <v>91396.2</v>
      </c>
      <c r="E19" s="248" t="n">
        <f aca="false">E17*'Three Statements'!E16</f>
        <v>115365.5185</v>
      </c>
      <c r="F19" s="248" t="n">
        <f aca="false">F17*'Three Statements'!F16</f>
        <v>131962.987333333</v>
      </c>
      <c r="G19" s="248" t="n">
        <f aca="false">G17*'Three Statements'!G16</f>
        <v>165096.668</v>
      </c>
      <c r="H19" s="248" t="n">
        <f aca="false">H17*'Three Statements'!H16</f>
        <v>226174.346666667</v>
      </c>
      <c r="I19" s="248" t="n">
        <f aca="false">I17*'Three Statements'!I16</f>
        <v>170520.630333333</v>
      </c>
      <c r="J19" s="248" t="n">
        <f aca="false">J17*'Three Statements'!J16</f>
        <v>158634.955487213</v>
      </c>
      <c r="K19" s="248" t="n">
        <f aca="false">K17*'Three Statements'!K16</f>
        <v>0</v>
      </c>
      <c r="L19" s="248" t="n">
        <f aca="false">L17*'Three Statements'!L16</f>
        <v>0</v>
      </c>
      <c r="M19" s="248" t="n">
        <f aca="false">M17*'Three Statements'!M16</f>
        <v>0</v>
      </c>
      <c r="N19" s="248" t="n">
        <f aca="false">N17*'Three Statements'!N16</f>
        <v>0</v>
      </c>
      <c r="O19" s="248" t="n">
        <f aca="false">O17*'Three Statements'!O16</f>
        <v>0</v>
      </c>
    </row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11412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  <dc:description/>
  <dc:language>en-GB</dc:language>
  <cp:lastModifiedBy/>
  <dcterms:modified xsi:type="dcterms:W3CDTF">2024-03-12T05:08:17Z</dcterms:modified>
  <cp:revision>108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