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harutherford/Desktop/"/>
    </mc:Choice>
  </mc:AlternateContent>
  <xr:revisionPtr revIDLastSave="0" documentId="13_ncr:1_{42F97667-E813-4741-BCA2-25BAFB4E49E4}" xr6:coauthVersionLast="47" xr6:coauthVersionMax="47" xr10:uidLastSave="{00000000-0000-0000-0000-000000000000}"/>
  <bookViews>
    <workbookView xWindow="12880" yWindow="500" windowWidth="15800" windowHeight="1456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D30" i="3"/>
  <c r="C30" i="3"/>
  <c r="E14" i="3"/>
  <c r="D14" i="3"/>
  <c r="C14" i="3"/>
  <c r="E45" i="3"/>
  <c r="D45" i="3"/>
  <c r="C45" i="3"/>
  <c r="D46" i="3"/>
  <c r="C46" i="3"/>
  <c r="E44" i="3"/>
  <c r="D44" i="3"/>
  <c r="E41" i="3"/>
  <c r="D41" i="3"/>
  <c r="C41" i="3"/>
  <c r="E6" i="3"/>
  <c r="D6" i="3"/>
  <c r="C6" i="3"/>
  <c r="C8" i="3"/>
  <c r="E8" i="3"/>
  <c r="D8" i="3"/>
  <c r="E17" i="3"/>
  <c r="D17" i="3"/>
  <c r="D15" i="2"/>
  <c r="E54" i="3"/>
  <c r="C15" i="2"/>
  <c r="B15" i="2"/>
  <c r="D54" i="3"/>
  <c r="C54" i="3"/>
  <c r="C36" i="3"/>
  <c r="E36" i="3"/>
  <c r="D36" i="3"/>
  <c r="E35" i="3"/>
  <c r="D35" i="3"/>
  <c r="C35" i="3"/>
  <c r="E27" i="3"/>
  <c r="D27" i="3"/>
  <c r="C27" i="3"/>
  <c r="E26" i="3"/>
  <c r="D26" i="3"/>
  <c r="C26" i="3"/>
  <c r="E28" i="3"/>
  <c r="D28" i="3"/>
  <c r="C28" i="3"/>
  <c r="C29" i="3"/>
  <c r="D29" i="3"/>
  <c r="E29" i="3"/>
  <c r="E12" i="3"/>
  <c r="D12" i="3"/>
  <c r="C10" i="3"/>
  <c r="C12" i="3" s="1"/>
  <c r="E9" i="3"/>
  <c r="D9" i="3"/>
  <c r="C9" i="3"/>
  <c r="E11" i="3"/>
  <c r="D11" i="3"/>
  <c r="C11" i="3"/>
  <c r="E49" i="3"/>
  <c r="D49" i="3"/>
  <c r="C49" i="3"/>
  <c r="C48" i="3"/>
  <c r="D48" i="3"/>
  <c r="E48" i="3"/>
  <c r="E47" i="3"/>
  <c r="D47" i="3"/>
  <c r="C47" i="3"/>
  <c r="E37" i="3"/>
  <c r="C37" i="3"/>
  <c r="D37" i="3"/>
  <c r="E40" i="3"/>
  <c r="D40" i="3"/>
  <c r="C40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34" i="3"/>
  <c r="D34" i="3"/>
  <c r="C34" i="3"/>
  <c r="E13" i="3"/>
  <c r="D13" i="3"/>
  <c r="C13" i="3"/>
  <c r="E10" i="3"/>
  <c r="D10" i="3"/>
  <c r="E25" i="3"/>
  <c r="D25" i="3"/>
  <c r="C25" i="3"/>
  <c r="C17" i="3"/>
  <c r="E7" i="3"/>
  <c r="D7" i="3"/>
  <c r="C7" i="3"/>
  <c r="E5" i="3"/>
  <c r="D5" i="3"/>
  <c r="C5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4" i="3" s="1"/>
  <c r="A35" i="3" s="1"/>
  <c r="A36" i="3" s="1"/>
  <c r="A37" i="3" s="1"/>
  <c r="A39" i="3" l="1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<sst xmlns="http://schemas.openxmlformats.org/spreadsheetml/2006/main" count="176" uniqueCount="153">
  <si>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</si>
  <si>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</si>
  <si>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</si>
  <si>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</si>
  <si>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</si>
  <si>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</si>
  <si>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</si>
  <si>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</si>
  <si>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</si>
  <si>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</si>
  <si>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</si>
  <si>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</si>
  <si>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</si>
  <si>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</si>
  <si>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</si>
  <si>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</si>
  <si>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</si>
  <si>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</si>
  <si>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</si>
  <si>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</si>
  <si>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</si>
  <si>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</si>
  <si>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</si>
  <si>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</si>
  <si>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</si>
  <si>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</si>
  <si>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</si>
  <si>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</si>
  <si>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</si>
  <si>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</si>
  <si>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</si>
  <si>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</si>
  <si>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</si>
  <si>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</si>
  <si>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</si>
  <si>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</si>
  <si>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</si>
  <si>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</si>
  <si>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</si>
  <si>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</si>
  <si>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</si>
  <si>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</si>
  <si>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</si>
  <si>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</si>
  <si>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</si>
  <si>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</si>
  <si>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</si>
  <si>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</si>
  <si>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</si>
  <si>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</si>
  <si>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</si>
  <si>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</si>
  <si>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</si>
  <si>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</si>
  <si>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</si>
  <si>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</si>
  <si>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</si>
  <si>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</si>
  <si>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</si>
  <si>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</si>
  <si>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</si>
  <si>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</si>
  <si>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</si>
  <si>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</si>
  <si>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</si>
  <si>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</si>
  <si>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</si>
  <si>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</si>
  <si>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</si>
  <si>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</si>
  <si>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</si>
  <si>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</si>
  <si>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</si>
  <si>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</si>
  <si>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</si>
  <si>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</si>
  <si>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</si>
  <si>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</si>
  <si>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</si>
  <si>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</si>
  <si>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</si>
  <si>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</si>
  <si>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</si>
  <si>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</si>
  <si>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</si>
  <si>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</si>
  <si>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</si>
  <si>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</si>
  <si>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</si>
  <si>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</si>
  <si>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</si>
  <si>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</si>
  <si>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</si>
  <si>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</si>
  <si>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</si>
  <si>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</si>
  <si>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</si>
  <si>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</si>
  <si>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</si>
  <si>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</si>
  <si>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</si>
  <si>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</si>
  <si>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</si>
  <si>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</si>
  <si>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</si>
  <si>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</si>
  <si>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</si>
  <si>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</si>
  <si>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</si>
  <si>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</si>
  <si>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</si>
  <si>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</si>
  <si>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</si>
  <si>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</si>
  <si>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</si>
  <si>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</si>
  <si>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</si>
  <si>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</si>
  <si>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</si>
  <si>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</si>
  <si>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</si>
  <si>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</si>
  <si>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</si>
  <si>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</si>
  <si>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</si>
  <si>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</si>
  <si>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</si>
  <si>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</si>
  <si>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</si>
  <si>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</si>
  <si>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</si>
  <si>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</si>
  <si>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</si>
  <si>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</si>
  <si>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</si>
  <si>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</si>
  <si>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</si>
  <si>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</si>
  <si>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</si>
  <si>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</si>
  <si>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</si>
  <si>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</si>
  <si>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</si>
  <si>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</si>
  <si>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</si>
  <si>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</si>
  <si>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</si>
  <si>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</si>
  <si>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</si>
  <si>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cashflow </t>
  </si>
  <si>
    <t xml:space="preserve">sales growth </t>
  </si>
  <si>
    <t>Gross Profit</t>
  </si>
  <si>
    <t xml:space="preserve">Cost of goods sold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</si>
</sst>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0" fillId="0" borderId="0" xfId="0" applyNumberFormat="1"/>
    <xf numFmtId="2" fontId="0" fillId="0" borderId="0" xfId="0" quotePrefix="1" applyNumberFormat="1"/>
    <xf numFmtId="2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B16" sqref="B16"/>
    </sheetView>
  </sheetViews>
  <sheetFormatPr baseColWidth="10" defaultColWidth="8.83203125" defaultRowHeight="15" x14ac:dyDescent="0.2"/>
  <cols>
    <col min="1" max="1" width="104.5" customWidth="1"/>
  </cols>
  <sheetData>
    <row r="1" spans="1:4" ht="24" x14ac:dyDescent="0.3">
      <c r="A1" s="5" t="s">
        <v>87</v>
      </c>
    </row>
    <row r="3" spans="1:4" x14ac:dyDescent="0.2">
      <c r="A3" s="7" t="s">
        <v>141</v>
      </c>
    </row>
    <row r="4" spans="1:4" x14ac:dyDescent="0.2">
      <c r="A4" s="16" t="s">
        <v>88</v>
      </c>
    </row>
    <row r="5" spans="1:4" x14ac:dyDescent="0.2">
      <c r="A5" s="7" t="s">
        <v>97</v>
      </c>
    </row>
    <row r="6" spans="1:4" x14ac:dyDescent="0.2">
      <c r="A6" s="1" t="s">
        <v>147</v>
      </c>
    </row>
    <row r="7" spans="1:4" x14ac:dyDescent="0.2">
      <c r="A7" s="1"/>
    </row>
    <row r="8" spans="1:4" x14ac:dyDescent="0.2">
      <c r="A8" s="17" t="s">
        <v>148</v>
      </c>
    </row>
    <row r="9" spans="1:4" x14ac:dyDescent="0.2">
      <c r="A9" s="1" t="s">
        <v>145</v>
      </c>
    </row>
    <row r="10" spans="1:4" x14ac:dyDescent="0.2">
      <c r="A10" s="1" t="s">
        <v>89</v>
      </c>
    </row>
    <row r="11" spans="1:4" x14ac:dyDescent="0.2">
      <c r="A11" s="1" t="s">
        <v>90</v>
      </c>
    </row>
    <row r="12" spans="1:4" x14ac:dyDescent="0.2">
      <c r="A12" s="1" t="s">
        <v>91</v>
      </c>
    </row>
    <row r="13" spans="1:4" x14ac:dyDescent="0.2">
      <c r="A13" s="1"/>
    </row>
    <row r="14" spans="1:4" x14ac:dyDescent="0.2">
      <c r="A14" s="17" t="s">
        <v>92</v>
      </c>
    </row>
    <row r="15" spans="1:4" x14ac:dyDescent="0.2">
      <c r="A15" s="1" t="s">
        <v>89</v>
      </c>
      <c r="B15">
        <f>('Financial Statements'!B13/'Financial Statements'!B8)*100</f>
        <v>43.309630561360088</v>
      </c>
      <c r="C15">
        <f>('Financial Statements'!C13/'Financial Statements'!C8)*100</f>
        <v>41.779359625167778</v>
      </c>
      <c r="D15">
        <f>('Financial Statements'!D13/'Financial Statements'!D8)*100</f>
        <v>38.233247727810863</v>
      </c>
    </row>
    <row r="16" spans="1:4" x14ac:dyDescent="0.2">
      <c r="A16" s="1" t="s">
        <v>152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146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5" workbookViewId="0">
      <selection activeCell="A65" sqref="A6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tabSelected="1" workbookViewId="0">
      <selection activeCell="G29" sqref="G29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5" width="17.83203125" bestFit="1" customWidth="1"/>
    <col min="10" max="10" width="11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 s="25">
        <f>'Financial Statements'!B42/'Financial Statements'!B56</f>
        <v>0.87935602862672257</v>
      </c>
      <c r="D5" s="25">
        <f>'Financial Statements'!C42/'Financial Statements'!C56</f>
        <v>1.0745531195957954</v>
      </c>
      <c r="E5" s="25">
        <f>'Financial Statements'!D42/'Financial Statements'!D48</f>
        <v>0.4437120239094996</v>
      </c>
    </row>
    <row r="6" spans="1:10" x14ac:dyDescent="0.2">
      <c r="A6" s="18">
        <f t="shared" ref="A6:A13" si="0">+A5+0.1</f>
        <v>1.2000000000000002</v>
      </c>
      <c r="B6" s="1" t="s">
        <v>101</v>
      </c>
      <c r="C6" s="25">
        <f>('Financial Statements'!B36+'Financial Statements'!B37+'Financial Statements'!B38)/('Financial Statements'!B51+'Financial Statements'!B55+'Financial Statements'!B52)</f>
        <v>0.56204808653224381</v>
      </c>
      <c r="D6" s="25">
        <f>('Financial Statements'!C36+'Financial Statements'!C37+'Financial Statements'!C38)/('Financial Statements'!C51+'Financial Statements'!C52+'Financial Statements'!C55)</f>
        <v>0.79483145464784699</v>
      </c>
      <c r="E6" s="25">
        <f>('Financial Statements'!D36+'Financial Statements'!D37+'Financial Statements'!D38)/('Financial Statements'!D51+'Financial Statements'!D52+'Financial Statements'!D55)</f>
        <v>1.1419687903320428</v>
      </c>
    </row>
    <row r="7" spans="1:10" x14ac:dyDescent="0.2">
      <c r="A7" s="18">
        <f t="shared" si="0"/>
        <v>1.3000000000000003</v>
      </c>
      <c r="B7" s="1" t="s">
        <v>102</v>
      </c>
      <c r="C7" s="25">
        <f>'Financial Statements'!B36/'Financial Statements'!B56</f>
        <v>0.15356340351469652</v>
      </c>
      <c r="D7" s="25">
        <f>'Financial Statements'!C36/'Financial Statements'!C56</f>
        <v>0.27844853005634318</v>
      </c>
      <c r="E7" s="25">
        <f>'Financial Statements'!D36/'Financial Statements'!D56</f>
        <v>0.36071049035979963</v>
      </c>
    </row>
    <row r="8" spans="1:10" x14ac:dyDescent="0.2">
      <c r="A8" s="18">
        <f t="shared" si="0"/>
        <v>1.4000000000000004</v>
      </c>
      <c r="B8" s="1" t="s">
        <v>103</v>
      </c>
      <c r="C8" s="25">
        <f>'Financial Statements'!B42/'Financial Statements'!B76</f>
        <v>1.3567227438052964</v>
      </c>
      <c r="D8" s="25">
        <f>'Financial Statements'!C42/('Financial Statements'!C76)</f>
        <v>1.4241233629066328</v>
      </c>
      <c r="E8" s="25">
        <f>'Financial Statements'!D42/'Financial Statements'!D76</f>
        <v>2.5032310881190014</v>
      </c>
    </row>
    <row r="9" spans="1:10" x14ac:dyDescent="0.2">
      <c r="A9" s="18">
        <f t="shared" si="0"/>
        <v>1.5000000000000004</v>
      </c>
      <c r="B9" s="1" t="s">
        <v>104</v>
      </c>
      <c r="C9" s="25">
        <f>('Financial Statements'!B39/'Financial Statements'!B12)*365</f>
        <v>8.0756980666171607</v>
      </c>
      <c r="D9" s="25">
        <f>('Financial Statements'!C39/'Financial Statements'!C12)*365</f>
        <v>11.27659274770989</v>
      </c>
      <c r="E9" s="25">
        <f>('Financial Statements'!D39/'Financial Statements'!D12)*365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 s="25">
        <f>('Financial Statements'!B51/'Financial Statements'!B12)*365</f>
        <v>104.68527730310539</v>
      </c>
      <c r="D10" s="25">
        <f>'Financial Statements'!C51*(365/'Financial Statements'!C12)</f>
        <v>93.851071222315596</v>
      </c>
      <c r="E10" s="25">
        <f>'Financial Statements'!D51*(365/'Financial Statements'!D12)</f>
        <v>91.048189715674184</v>
      </c>
    </row>
    <row r="11" spans="1:10" x14ac:dyDescent="0.2">
      <c r="A11" s="18">
        <f t="shared" si="0"/>
        <v>1.7000000000000006</v>
      </c>
      <c r="B11" s="1" t="s">
        <v>106</v>
      </c>
      <c r="C11" s="25">
        <f>('Financial Statements'!B38/'Financial Statements'!B8)*365</f>
        <v>26.087825363656648</v>
      </c>
      <c r="D11" s="25">
        <f>('Financial Statements'!C38/'Financial Statements'!C8)*365</f>
        <v>26.219311841713207</v>
      </c>
      <c r="E11" s="25">
        <f>('Financial Statements'!D38/'Financial Statements'!D8)*365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5">
        <f>C11+C9-C10</f>
        <v>-70.521753872831582</v>
      </c>
      <c r="D12" s="25">
        <f>D11+D9-D10</f>
        <v>-56.355166632892498</v>
      </c>
      <c r="E12" s="25">
        <f>E11+E9-E10</f>
        <v>-60.872869206641553</v>
      </c>
    </row>
    <row r="13" spans="1:10" x14ac:dyDescent="0.2">
      <c r="A13" s="18">
        <f t="shared" si="0"/>
        <v>1.9000000000000008</v>
      </c>
      <c r="B13" s="1" t="s">
        <v>108</v>
      </c>
      <c r="C13" s="25">
        <f>'Financial Statements'!B8/('Financial Statements'!B38+'Financial Statements'!B39-'Financial Statements'!B51)</f>
        <v>-12.726416007745684</v>
      </c>
      <c r="D13" s="25">
        <f>'Financial Statements'!C8/('Financial Statements'!C38+'Financial Statements'!C39-'Financial Statements'!C51)</f>
        <v>-16.700159780871946</v>
      </c>
      <c r="E13" s="25">
        <f>'Financial Statements'!D8/('Financial Statements'!D38+'Financial Statements'!D39-'Financial Statements'!D51)</f>
        <v>-12.413068053357449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9" x14ac:dyDescent="0.2">
      <c r="A17" s="18">
        <f>+A16+0.1</f>
        <v>2.1</v>
      </c>
      <c r="B17" s="1" t="s">
        <v>9</v>
      </c>
      <c r="C17" s="25">
        <f>'Financial Statements'!B13/'Financial Statements'!B8</f>
        <v>0.43309630561360085</v>
      </c>
      <c r="D17" s="26">
        <f>'Financial Statements'!C13/'Financial Statements'!C8</f>
        <v>0.41779359625167778</v>
      </c>
      <c r="E17" s="25">
        <f>'Financial Statements'!D13/'Financial Statements'!D8</f>
        <v>0.38233247727810865</v>
      </c>
    </row>
    <row r="18" spans="1:9" x14ac:dyDescent="0.2">
      <c r="A18" s="18">
        <f>+A17+0.1</f>
        <v>2.2000000000000002</v>
      </c>
      <c r="B18" s="1" t="s">
        <v>111</v>
      </c>
      <c r="C18" s="25">
        <f>'Financial Statements'!B20/'Financial Statements'!B8</f>
        <v>0.30204043334482966</v>
      </c>
      <c r="D18" s="25">
        <f>'Financial Statements'!C20/'Financial Statements'!C8</f>
        <v>0.29852904594373691</v>
      </c>
      <c r="E18" s="25">
        <f>'Financial Statements'!D20/'Financial Statements'!D8</f>
        <v>0.24439830246070343</v>
      </c>
    </row>
    <row r="19" spans="1:9" x14ac:dyDescent="0.2">
      <c r="A19" s="18"/>
      <c r="B19" s="3" t="s">
        <v>112</v>
      </c>
      <c r="C19" s="25">
        <f>'Financial Statements'!B20</f>
        <v>119103</v>
      </c>
      <c r="D19" s="25">
        <f>'Financial Statements'!C20</f>
        <v>109207</v>
      </c>
      <c r="E19" s="25">
        <f>'Financial Statements'!D20</f>
        <v>67091</v>
      </c>
    </row>
    <row r="20" spans="1:9" x14ac:dyDescent="0.2">
      <c r="A20" s="18">
        <f>+A18+0.1</f>
        <v>2.3000000000000003</v>
      </c>
      <c r="B20" s="1" t="s">
        <v>113</v>
      </c>
      <c r="C20" s="25">
        <f>'Financial Statements'!B18/'Financial Statements'!B8</f>
        <v>0.30288744395528594</v>
      </c>
      <c r="D20" s="25">
        <f>'Financial Statements'!C18/'Financial Statements'!C8</f>
        <v>0.29782377527561593</v>
      </c>
      <c r="E20" s="25">
        <f>'Financial Statements'!D18/'Financial Statements'!D8</f>
        <v>0.24147314354406862</v>
      </c>
    </row>
    <row r="21" spans="1:9" x14ac:dyDescent="0.2">
      <c r="A21" s="18"/>
      <c r="B21" s="3" t="s">
        <v>114</v>
      </c>
      <c r="C21" s="25">
        <f>'Financial Statements'!B18</f>
        <v>119437</v>
      </c>
      <c r="D21" s="25">
        <f>'Financial Statements'!C18</f>
        <v>108949</v>
      </c>
      <c r="E21" s="25">
        <f>'Financial Statements'!D18</f>
        <v>66288</v>
      </c>
    </row>
    <row r="22" spans="1:9" x14ac:dyDescent="0.2">
      <c r="A22" s="18">
        <f>+A20+0.1</f>
        <v>2.4000000000000004</v>
      </c>
      <c r="B22" s="1" t="s">
        <v>115</v>
      </c>
      <c r="C22" s="25">
        <f>'Financial Statements'!B22/'Financial Statements'!B8</f>
        <v>0.25309640705199732</v>
      </c>
      <c r="D22" s="25">
        <f>'Financial Statements'!C22/'Financial Statements'!C8</f>
        <v>0.25881793355694238</v>
      </c>
      <c r="E22" s="25">
        <f>'Financial Statements'!D22/'Financial Statements'!D8</f>
        <v>0.20913611278072236</v>
      </c>
      <c r="I22" t="s">
        <v>149</v>
      </c>
    </row>
    <row r="23" spans="1:9" x14ac:dyDescent="0.2">
      <c r="A23" s="18"/>
    </row>
    <row r="24" spans="1:9" x14ac:dyDescent="0.2">
      <c r="A24" s="18">
        <f>+A16+1</f>
        <v>3</v>
      </c>
      <c r="B24" s="7" t="s">
        <v>116</v>
      </c>
    </row>
    <row r="25" spans="1:9" x14ac:dyDescent="0.2">
      <c r="A25" s="18">
        <f>+A24+0.1</f>
        <v>3.1</v>
      </c>
      <c r="B25" s="1" t="s">
        <v>117</v>
      </c>
      <c r="C25" s="25">
        <f>'Financial Statements'!B62/'Financial Statements'!B68</f>
        <v>5.9615369434796337</v>
      </c>
      <c r="D25" s="25">
        <f>'Financial Statements'!C62/'Financial Statements'!C68</f>
        <v>4.5635124425423994</v>
      </c>
      <c r="E25" s="25">
        <f>'Financial Statements'!D62/'Financial Statements'!D68</f>
        <v>3.9570394404566951</v>
      </c>
    </row>
    <row r="26" spans="1:9" x14ac:dyDescent="0.2">
      <c r="A26" s="18">
        <f t="shared" ref="A26:A30" si="1">+A25+0.1</f>
        <v>3.2</v>
      </c>
      <c r="B26" s="1" t="s">
        <v>118</v>
      </c>
      <c r="C26" s="25">
        <f>'Financial Statements'!B62/'Financial Statements'!B48</f>
        <v>0.85635355983614692</v>
      </c>
      <c r="D26" s="25">
        <f>'Financial Statements'!C56/'Financial Statements'!C48</f>
        <v>0.35749368949464677</v>
      </c>
      <c r="E26" s="25">
        <f>'Financial Statements'!D56/'Financial Statements'!D48</f>
        <v>0.32539643333497997</v>
      </c>
    </row>
    <row r="27" spans="1:9" x14ac:dyDescent="0.2">
      <c r="A27" s="18">
        <f t="shared" si="1"/>
        <v>3.3000000000000003</v>
      </c>
      <c r="B27" s="1" t="s">
        <v>119</v>
      </c>
      <c r="C27" s="25">
        <f>'Financial Statements'!B62/('Financial Statements'!B68+'Financial Statements'!B62)</f>
        <v>0.85635355983614692</v>
      </c>
      <c r="D27" s="25">
        <f>'Financial Statements'!C62/('Financial Statements'!C68+'Financial Statements'!C62)</f>
        <v>0.82025743443057308</v>
      </c>
      <c r="E27" s="25">
        <f>'Financial Statements'!D62/('Financial Statements'!D68+'Financial Statements'!D62)</f>
        <v>0.79826668477992391</v>
      </c>
    </row>
    <row r="28" spans="1:9" x14ac:dyDescent="0.2">
      <c r="A28" s="18">
        <f t="shared" si="1"/>
        <v>3.4000000000000004</v>
      </c>
      <c r="B28" s="1" t="s">
        <v>120</v>
      </c>
      <c r="C28" s="25">
        <f>'Financial Statements'!B18/'Financial Statements'!B114</f>
        <v>41.68830715532286</v>
      </c>
      <c r="D28" s="25">
        <f>'Financial Statements'!C18/'Financial Statements'!C114</f>
        <v>40.546706363974693</v>
      </c>
      <c r="E28" s="25">
        <f>'Financial Statements'!D18/'Financial Statements'!D114</f>
        <v>22.081279147235175</v>
      </c>
    </row>
    <row r="29" spans="1:9" x14ac:dyDescent="0.2">
      <c r="A29" s="18">
        <f t="shared" si="1"/>
        <v>3.5000000000000004</v>
      </c>
      <c r="B29" s="1" t="s">
        <v>121</v>
      </c>
      <c r="C29" s="25">
        <f>'Financial Statements'!B18/'Financial Statements'!B62</f>
        <v>0.39537809145168712</v>
      </c>
      <c r="D29" s="25">
        <f>'Financial Statements'!C18/'Financial Statements'!C62</f>
        <v>0.37841076440023341</v>
      </c>
      <c r="E29" s="25">
        <f>'Financial Statements'!D18/'Financial Statements'!D62</f>
        <v>0.25638466983047703</v>
      </c>
    </row>
    <row r="30" spans="1:9" x14ac:dyDescent="0.2">
      <c r="A30" s="18">
        <f t="shared" si="1"/>
        <v>3.6000000000000005</v>
      </c>
      <c r="B30" s="1" t="s">
        <v>122</v>
      </c>
      <c r="C30" s="25">
        <f>99803000/'Financial Statements'!B27</f>
        <v>6.1546144376377772</v>
      </c>
      <c r="D30" s="25">
        <f>94680000/'Financial Statements'!C27</f>
        <v>5.6690292811230183</v>
      </c>
      <c r="E30" s="25">
        <f>57411000/'Financial Statements'!D27</f>
        <v>3.3085872682177895</v>
      </c>
    </row>
    <row r="31" spans="1:9" x14ac:dyDescent="0.2">
      <c r="A31" s="18"/>
      <c r="B31" s="3" t="s">
        <v>123</v>
      </c>
    </row>
    <row r="32" spans="1:9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 s="25">
        <f>'Financial Statements'!B8/('Financial Statements'!B48/365*100)</f>
        <v>4.0801610182704708</v>
      </c>
      <c r="D34" s="25">
        <f>'Financial Statements'!C8/('Financial Statements'!C48/365*100)</f>
        <v>3.8040582389843931</v>
      </c>
      <c r="E34" s="25">
        <f>'Financial Statements'!D8/('Financial Statements'!D48/365*100)</f>
        <v>3.0935994850071626</v>
      </c>
    </row>
    <row r="35" spans="1:5" x14ac:dyDescent="0.2">
      <c r="A35" s="18">
        <f t="shared" ref="A35:A37" si="2">+A34+0.1</f>
        <v>4.1999999999999993</v>
      </c>
      <c r="B35" s="1" t="s">
        <v>126</v>
      </c>
      <c r="C35" s="25">
        <f>'Financial Statements'!B8/'Financial Statements'!B47</f>
        <v>1.8142535081665516</v>
      </c>
      <c r="D35" s="25">
        <f>'Financial Statements'!C8/'Financial Statements'!C47</f>
        <v>1.6922966608994938</v>
      </c>
      <c r="E35" s="25">
        <f>'Financial Statements'!D8/'Financial Statements'!D47</f>
        <v>1.5236020535590398</v>
      </c>
    </row>
    <row r="36" spans="1:5" x14ac:dyDescent="0.2">
      <c r="A36" s="18">
        <f t="shared" si="2"/>
        <v>4.2999999999999989</v>
      </c>
      <c r="B36" s="1" t="s">
        <v>127</v>
      </c>
      <c r="C36" s="25">
        <f>'Financial Statements'!B12/'Financial Statements'!B39</f>
        <v>45.197331176708452</v>
      </c>
      <c r="D36" s="25">
        <f>'Financial Statements'!C12/'Financial Statements'!C39</f>
        <v>32.367933130699086</v>
      </c>
      <c r="E36" s="25">
        <f>'Financial Statements'!D12/'Financial Statements'!D39</f>
        <v>41.753016498399411</v>
      </c>
    </row>
    <row r="37" spans="1:5" x14ac:dyDescent="0.2">
      <c r="A37" s="18">
        <f t="shared" si="2"/>
        <v>4.3999999999999986</v>
      </c>
      <c r="B37" s="1" t="s">
        <v>128</v>
      </c>
      <c r="C37" s="25">
        <f>'Financial Statements'!B22/'Financial Statements'!B48</f>
        <v>0.28292440929256851</v>
      </c>
      <c r="D37" s="25">
        <f>'Financial Statements'!C22/'Financial Statements'!C48</f>
        <v>0.26974205275183616</v>
      </c>
      <c r="E37" s="25">
        <f>'Financial Statements'!D22/'Financial Statements'!D48</f>
        <v>0.1772557180259843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 s="25">
        <f>129/'Financial Statements'!B24</f>
        <v>20.975609756097558</v>
      </c>
      <c r="D40" s="25">
        <f>131/'Financial Statements'!C24</f>
        <v>23.104056437389772</v>
      </c>
      <c r="E40" s="25">
        <f>74/'Financial Statements'!D24</f>
        <v>22.356495468277945</v>
      </c>
    </row>
    <row r="41" spans="1:5" x14ac:dyDescent="0.2">
      <c r="A41" s="18">
        <f t="shared" ref="A41:A44" si="3">+A40+0.1</f>
        <v>5.1999999999999993</v>
      </c>
      <c r="B41" s="3" t="s">
        <v>131</v>
      </c>
      <c r="C41" s="25">
        <f>('Financial Statements'!B22-'Financial Statements'!B102)/'Financial Statements'!B65</f>
        <v>1.7678607226017364</v>
      </c>
      <c r="D41" s="25">
        <f>('Financial Statements'!C22-'Financial Statements'!C102)/'Financial Statements'!C65</f>
        <v>1.9026758476422907</v>
      </c>
      <c r="E41" s="25">
        <f>('Financial Statements'!D22-'Financial Statements'!D102)/'Financial Statements'!D65</f>
        <v>1.4079048425530238</v>
      </c>
    </row>
    <row r="42" spans="1:5" x14ac:dyDescent="0.2">
      <c r="A42" s="18">
        <f t="shared" si="3"/>
        <v>5.2999999999999989</v>
      </c>
      <c r="B42" s="1" t="s">
        <v>132</v>
      </c>
      <c r="C42">
        <v>46.44</v>
      </c>
      <c r="D42">
        <v>32.869999999999997</v>
      </c>
      <c r="E42">
        <v>34.74</v>
      </c>
    </row>
    <row r="43" spans="1:5" x14ac:dyDescent="0.2">
      <c r="A43" s="18">
        <f t="shared" si="3"/>
        <v>5.3999999999999986</v>
      </c>
      <c r="B43" s="3" t="s">
        <v>133</v>
      </c>
    </row>
    <row r="44" spans="1:5" x14ac:dyDescent="0.2">
      <c r="A44" s="18">
        <f t="shared" si="3"/>
        <v>5.4999999999999982</v>
      </c>
      <c r="B44" s="1" t="s">
        <v>134</v>
      </c>
      <c r="C44">
        <v>0.54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</row>
    <row r="45" spans="1:5" x14ac:dyDescent="0.2">
      <c r="A45" s="18"/>
      <c r="B45" s="3" t="s">
        <v>135</v>
      </c>
      <c r="C45" s="25">
        <f>12600000/14841000</f>
        <v>0.84899939357186172</v>
      </c>
      <c r="D45" s="25">
        <f>12600000/14467000</f>
        <v>0.87094767401672768</v>
      </c>
      <c r="E45" s="25">
        <f>12600000/14081000</f>
        <v>0.89482281087990911</v>
      </c>
    </row>
    <row r="46" spans="1:5" x14ac:dyDescent="0.2">
      <c r="A46" s="18">
        <f>+A44+0.1</f>
        <v>5.5999999999999979</v>
      </c>
      <c r="B46" s="1" t="s">
        <v>136</v>
      </c>
      <c r="C46">
        <f>'Financial Statements'!B65/177</f>
        <v>366.37853107344631</v>
      </c>
      <c r="D46">
        <f>'Financial Statements'!C65/125</f>
        <v>458.92</v>
      </c>
    </row>
    <row r="47" spans="1:5" x14ac:dyDescent="0.2">
      <c r="A47" s="18">
        <f t="shared" ref="A47:A50" si="4">+A45+0.1</f>
        <v>0.1</v>
      </c>
      <c r="B47" s="1" t="s">
        <v>137</v>
      </c>
      <c r="C47" s="25">
        <f>'Financial Statements'!B22/'Financial Statements'!B68</f>
        <v>1.9695887275023682</v>
      </c>
      <c r="D47" s="25">
        <f>'Financial Statements'!C22/'Financial Statements'!C68</f>
        <v>1.5007132667617689</v>
      </c>
      <c r="E47" s="25">
        <f>'Financial Statements'!D22/'Financial Statements'!D68</f>
        <v>0.87866358530127486</v>
      </c>
    </row>
    <row r="48" spans="1:5" x14ac:dyDescent="0.2">
      <c r="A48" s="18">
        <f t="shared" si="4"/>
        <v>5.6999999999999975</v>
      </c>
      <c r="B48" s="1" t="s">
        <v>138</v>
      </c>
      <c r="C48" s="25">
        <f>'Financial Statements'!B20/('Financial Statements'!B48-'Financial Statements'!B56)</f>
        <v>0.59919103701206899</v>
      </c>
      <c r="D48" s="25">
        <f>'Financial Statements'!C20/('Financial Statements'!C48-'Financial Statements'!C56)</f>
        <v>0.48424315252238148</v>
      </c>
      <c r="E48" s="25">
        <f>'Financial Statements'!D20/('Financial Statements'!D48-'Financial Statements'!D56)</f>
        <v>0.30705825278265964</v>
      </c>
    </row>
    <row r="49" spans="1:5" x14ac:dyDescent="0.2">
      <c r="A49" s="18">
        <f t="shared" si="4"/>
        <v>0.2</v>
      </c>
      <c r="B49" s="1" t="s">
        <v>128</v>
      </c>
      <c r="C49" s="25">
        <f>'Financial Statements'!B22/'Financial Statements'!B48</f>
        <v>0.28292440929256851</v>
      </c>
      <c r="D49" s="25">
        <f>'Financial Statements'!C22/'Financial Statements'!C48</f>
        <v>0.26974205275183616</v>
      </c>
      <c r="E49" s="25">
        <f>'Financial Statements'!D22/'Financial Statements'!D48</f>
        <v>0.1772557180259843</v>
      </c>
    </row>
    <row r="50" spans="1:5" x14ac:dyDescent="0.2">
      <c r="A50" s="18">
        <f t="shared" si="4"/>
        <v>5.7999999999999972</v>
      </c>
      <c r="B50" s="1" t="s">
        <v>139</v>
      </c>
    </row>
    <row r="51" spans="1:5" x14ac:dyDescent="0.2">
      <c r="A51" s="18"/>
      <c r="B51" s="3" t="s">
        <v>140</v>
      </c>
    </row>
    <row r="54" spans="1:5" x14ac:dyDescent="0.2">
      <c r="B54" t="s">
        <v>150</v>
      </c>
      <c r="C54" s="27">
        <f>('Financial Statements'!B8-'Financial Statements'!C8)/'Financial Statements'!C8*100</f>
        <v>7.7937876041846055</v>
      </c>
      <c r="D54" s="27">
        <f>('Financial Statements'!C8-'Financial Statements'!D8)/'Financial Statements'!D8*100</f>
        <v>33.25938473307469</v>
      </c>
      <c r="E54" s="27">
        <f>('Financial Statements'!D13/'Financial Statements'!D8)*100</f>
        <v>38.233247727810863</v>
      </c>
    </row>
    <row r="55" spans="1:5" x14ac:dyDescent="0.2">
      <c r="B55" t="s">
        <v>151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Martha Rutherford (UG)</cp:lastModifiedBy>
  <dcterms:created xsi:type="dcterms:W3CDTF">2020-05-18T16:32:37Z</dcterms:created>
  <dcterms:modified xsi:type="dcterms:W3CDTF">2023-10-09T09:41:44Z</dcterms:modified>
</cp:coreProperties>
</file>