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zono\Downloads\"/>
    </mc:Choice>
  </mc:AlternateContent>
  <xr:revisionPtr revIDLastSave="0" documentId="8_{AB7A133C-C7C6-46C0-A052-E0E7F81D2FD7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3" i="3" l="1"/>
  <c r="D50" i="3"/>
  <c r="E50" i="3"/>
  <c r="D51" i="3"/>
  <c r="E51" i="3"/>
  <c r="C51" i="3"/>
  <c r="C50" i="3" s="1"/>
  <c r="E53" i="3"/>
  <c r="D53" i="3"/>
  <c r="D49" i="3"/>
  <c r="E49" i="3"/>
  <c r="C49" i="3"/>
  <c r="D48" i="3"/>
  <c r="E48" i="3"/>
  <c r="C48" i="3"/>
  <c r="D52" i="3"/>
  <c r="E52" i="3"/>
  <c r="C52" i="3"/>
  <c r="D47" i="3"/>
  <c r="E47" i="3"/>
  <c r="C47" i="3"/>
  <c r="D44" i="3"/>
  <c r="E44" i="3"/>
  <c r="C44" i="3"/>
  <c r="C42" i="3"/>
  <c r="D43" i="3"/>
  <c r="E43" i="3"/>
  <c r="C43" i="3"/>
  <c r="E40" i="3"/>
  <c r="D40" i="3"/>
  <c r="C40" i="3"/>
  <c r="D41" i="3"/>
  <c r="E41" i="3"/>
  <c r="C41" i="3"/>
  <c r="D37" i="3"/>
  <c r="E37" i="3"/>
  <c r="C37" i="3"/>
  <c r="D36" i="3"/>
  <c r="E36" i="3"/>
  <c r="C36" i="3"/>
  <c r="C34" i="3"/>
  <c r="D35" i="3"/>
  <c r="E35" i="3"/>
  <c r="C35" i="3"/>
  <c r="D34" i="3"/>
  <c r="E34" i="3"/>
  <c r="D30" i="3"/>
  <c r="E30" i="3"/>
  <c r="C30" i="3"/>
  <c r="D32" i="3"/>
  <c r="E32" i="3"/>
  <c r="C32" i="3"/>
  <c r="D29" i="3"/>
  <c r="E29" i="3"/>
  <c r="C29" i="3"/>
  <c r="D28" i="3"/>
  <c r="E28" i="3"/>
  <c r="C28" i="3"/>
  <c r="D27" i="3"/>
  <c r="E27" i="3"/>
  <c r="C27" i="3"/>
  <c r="D26" i="3"/>
  <c r="E26" i="3"/>
  <c r="C26" i="3"/>
  <c r="D25" i="3"/>
  <c r="E25" i="3"/>
  <c r="C25" i="3"/>
  <c r="D22" i="3"/>
  <c r="E22" i="3"/>
  <c r="C22" i="3"/>
  <c r="D20" i="3"/>
  <c r="E20" i="3"/>
  <c r="C20" i="3"/>
  <c r="D21" i="3"/>
  <c r="E21" i="3"/>
  <c r="C21" i="3"/>
  <c r="D18" i="3"/>
  <c r="E18" i="3"/>
  <c r="C18" i="3"/>
  <c r="D19" i="3"/>
  <c r="E19" i="3"/>
  <c r="C19" i="3"/>
  <c r="D17" i="3"/>
  <c r="E17" i="3"/>
  <c r="C17" i="3"/>
  <c r="E13" i="3"/>
  <c r="D13" i="3"/>
  <c r="C13" i="3"/>
  <c r="D14" i="3"/>
  <c r="E14" i="3"/>
  <c r="C14" i="3"/>
  <c r="C11" i="3"/>
  <c r="C12" i="3" s="1"/>
  <c r="D11" i="3"/>
  <c r="D12" i="3" s="1"/>
  <c r="E11" i="3"/>
  <c r="E12" i="3"/>
  <c r="D10" i="3"/>
  <c r="E10" i="3"/>
  <c r="C10" i="3"/>
  <c r="D9" i="3"/>
  <c r="E9" i="3"/>
  <c r="C9" i="3"/>
  <c r="D8" i="3"/>
  <c r="E8" i="3"/>
  <c r="C8" i="3"/>
  <c r="D7" i="3"/>
  <c r="E7" i="3"/>
  <c r="C7" i="3"/>
  <c r="D6" i="3"/>
  <c r="E6" i="3"/>
  <c r="C6" i="3"/>
  <c r="D5" i="3"/>
  <c r="E5" i="3"/>
  <c r="C5" i="3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B62" i="1" s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B13" i="1" s="1"/>
  <c r="E3" i="3"/>
  <c r="D3" i="3"/>
  <c r="C3" i="3"/>
  <c r="D33" i="1"/>
  <c r="D73" i="1" s="1"/>
  <c r="C33" i="1"/>
  <c r="C73" i="1" s="1"/>
  <c r="B33" i="1"/>
  <c r="B73" i="1" s="1"/>
  <c r="C13" i="1" l="1"/>
  <c r="C18" i="1" s="1"/>
  <c r="C20" i="1" s="1"/>
  <c r="C22" i="1" s="1"/>
  <c r="C76" i="1" s="1"/>
  <c r="C91" i="1" s="1"/>
  <c r="C109" i="1" s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<sst xmlns="http://schemas.openxmlformats.org/spreadsheetml/2006/main" count="176" uniqueCount="153">
  <si>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</si>
  <si>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</si>
  <si>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</si>
  <si>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</si>
  <si>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</si>
  <si>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</si>
  <si>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</si>
  <si>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</si>
  <si>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</si>
  <si>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</si>
  <si>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</si>
  <si>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</si>
  <si>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</si>
  <si>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</si>
  <si>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</si>
  <si>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</si>
  <si>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</si>
  <si>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</si>
  <si>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</si>
  <si>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</si>
  <si>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</si>
  <si>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</si>
  <si>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</si>
  <si>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</si>
  <si>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</si>
  <si>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</si>
  <si>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</si>
  <si>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</si>
  <si>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</si>
  <si>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</si>
  <si>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</si>
  <si>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</si>
  <si>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</si>
  <si>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</si>
  <si>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</si>
  <si>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</si>
  <si>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</si>
  <si>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</si>
  <si>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</si>
  <si>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</si>
  <si>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</si>
  <si>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</si>
  <si>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</si>
  <si>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</si>
  <si>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</si>
  <si>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</si>
  <si>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</si>
  <si>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</si>
  <si>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</si>
  <si>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</si>
  <si>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</si>
  <si>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</si>
  <si>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</si>
  <si>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</si>
  <si>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</si>
  <si>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</si>
  <si>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</si>
  <si>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</si>
  <si>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</si>
  <si>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</si>
  <si>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</si>
  <si>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</si>
  <si>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</si>
  <si>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</si>
  <si>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</si>
  <si>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</si>
  <si>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</si>
  <si>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</si>
  <si>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</si>
  <si>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</si>
  <si>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</si>
  <si>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</si>
  <si>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</si>
  <si>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</si>
  <si>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</si>
  <si>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</si>
  <si>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</si>
  <si>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</si>
  <si>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</si>
  <si>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</si>
  <si>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</si>
  <si>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</si>
  <si>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</si>
  <si>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</si>
  <si>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</si>
  <si>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</si>
  <si>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</si>
  <si>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</si>
  <si>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</si>
  <si>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</si>
  <si>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</si>
  <si>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</si>
  <si>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</si>
  <si>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</si>
  <si>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</si>
  <si>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</si>
  <si>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</si>
  <si>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</si>
  <si>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</si>
  <si>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</si>
  <si>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</si>
  <si>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</si>
  <si>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</si>
  <si>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</si>
  <si>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</si>
  <si>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</si>
  <si>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</si>
  <si>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</si>
  <si>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</si>
  <si>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</si>
  <si>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</si>
  <si>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</si>
  <si>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</si>
  <si>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</si>
  <si>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</si>
  <si>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</si>
  <si>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</si>
  <si>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</si>
  <si>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</si>
  <si>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</si>
  <si>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</si>
  <si>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</si>
  <si>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</si>
  <si>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</si>
  <si>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</si>
  <si>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</si>
  <si>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</si>
  <si>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</si>
  <si>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</si>
  <si>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</si>
  <si>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</si>
  <si>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</si>
  <si>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</si>
  <si>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</si>
  <si>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</si>
  <si>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</si>
  <si>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</si>
  <si>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</si>
  <si>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</si>
  <si>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</si>
  <si>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</si>
  <si>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</si>
  <si>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</si>
  <si>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</si>
  <si>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</si>
  <si>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</si>
  <si>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</si>
  <si>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</si>
  <si>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</si>
  <si>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</si>
  <si>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FCF</t>
  </si>
  <si>
    <t>Capital Employed</t>
  </si>
  <si>
    <t xml:space="preserve">Equity value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</si>
</sst>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9" fontId="0" fillId="0" borderId="0" xfId="3" applyFont="1"/>
    <xf numFmtId="164" fontId="0" fillId="0" borderId="0" xfId="1" applyFont="1"/>
    <xf numFmtId="43" fontId="0" fillId="0" borderId="0" xfId="0" applyNumberFormat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3" workbookViewId="0">
      <selection activeCell="A27" sqref="A27"/>
    </sheetView>
  </sheetViews>
  <sheetFormatPr defaultRowHeight="14.5" x14ac:dyDescent="0.35"/>
  <cols>
    <col min="1" max="1" width="104.54296875" customWidth="1"/>
  </cols>
  <sheetData>
    <row r="1" spans="1:1" ht="23.5" x14ac:dyDescent="0.55000000000000004">
      <c r="A1" s="5" t="s">
        <v>87</v>
      </c>
    </row>
    <row r="3" spans="1:1" x14ac:dyDescent="0.35">
      <c r="A3" s="7" t="s">
        <v>141</v>
      </c>
    </row>
    <row r="4" spans="1:1" x14ac:dyDescent="0.35">
      <c r="A4" s="16" t="s">
        <v>88</v>
      </c>
    </row>
    <row r="5" spans="1:1" x14ac:dyDescent="0.35">
      <c r="A5" s="7" t="s">
        <v>97</v>
      </c>
    </row>
    <row r="6" spans="1:1" x14ac:dyDescent="0.35">
      <c r="A6" s="1" t="s">
        <v>148</v>
      </c>
    </row>
    <row r="7" spans="1:1" x14ac:dyDescent="0.35">
      <c r="A7" s="1"/>
    </row>
    <row r="8" spans="1:1" x14ac:dyDescent="0.35">
      <c r="A8" s="17" t="s">
        <v>149</v>
      </c>
    </row>
    <row r="9" spans="1:1" x14ac:dyDescent="0.35">
      <c r="A9" s="1" t="s">
        <v>145</v>
      </c>
    </row>
    <row r="10" spans="1:1" x14ac:dyDescent="0.35">
      <c r="A10" s="1" t="s">
        <v>89</v>
      </c>
    </row>
    <row r="11" spans="1:1" x14ac:dyDescent="0.35">
      <c r="A11" s="1" t="s">
        <v>90</v>
      </c>
    </row>
    <row r="12" spans="1:1" x14ac:dyDescent="0.35">
      <c r="A12" s="1" t="s">
        <v>91</v>
      </c>
    </row>
    <row r="13" spans="1:1" x14ac:dyDescent="0.35">
      <c r="A13" s="1"/>
    </row>
    <row r="14" spans="1:1" x14ac:dyDescent="0.35">
      <c r="A14" s="17" t="s">
        <v>92</v>
      </c>
    </row>
    <row r="15" spans="1:1" x14ac:dyDescent="0.35">
      <c r="A15" s="1" t="s">
        <v>146</v>
      </c>
    </row>
    <row r="16" spans="1:1" x14ac:dyDescent="0.35">
      <c r="A16" s="1" t="s">
        <v>89</v>
      </c>
    </row>
    <row r="17" spans="1:1" x14ac:dyDescent="0.35">
      <c r="A17" s="1" t="s">
        <v>90</v>
      </c>
    </row>
    <row r="18" spans="1:1" x14ac:dyDescent="0.35">
      <c r="A18" s="1" t="s">
        <v>14</v>
      </c>
    </row>
    <row r="19" spans="1:1" x14ac:dyDescent="0.35">
      <c r="A19" s="1" t="s">
        <v>93</v>
      </c>
    </row>
    <row r="20" spans="1:1" x14ac:dyDescent="0.35">
      <c r="A20" s="1"/>
    </row>
    <row r="21" spans="1:1" x14ac:dyDescent="0.35">
      <c r="A21" s="17" t="s">
        <v>98</v>
      </c>
    </row>
    <row r="22" spans="1:1" x14ac:dyDescent="0.35">
      <c r="A22" s="1" t="s">
        <v>94</v>
      </c>
    </row>
    <row r="23" spans="1:1" x14ac:dyDescent="0.35">
      <c r="A23" s="1" t="s">
        <v>95</v>
      </c>
    </row>
    <row r="24" spans="1:1" x14ac:dyDescent="0.35">
      <c r="A24" s="1" t="s">
        <v>96</v>
      </c>
    </row>
    <row r="25" spans="1:1" x14ac:dyDescent="0.35">
      <c r="A25" s="1"/>
    </row>
    <row r="26" spans="1:1" x14ac:dyDescent="0.35">
      <c r="A26" s="17" t="s">
        <v>144</v>
      </c>
    </row>
    <row r="27" spans="1:1" x14ac:dyDescent="0.35">
      <c r="A27" s="16" t="s">
        <v>143</v>
      </c>
    </row>
    <row r="29" spans="1:1" x14ac:dyDescent="0.35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45" workbookViewId="0">
      <selection activeCell="A102" sqref="A102"/>
    </sheetView>
  </sheetViews>
  <sheetFormatPr defaultRowHeight="14.5" x14ac:dyDescent="0.35"/>
  <cols>
    <col min="1" max="1" width="59" customWidth="1"/>
    <col min="2" max="3" width="11.54296875" bestFit="1" customWidth="1"/>
    <col min="4" max="4" width="11.6328125" bestFit="1" customWidth="1"/>
  </cols>
  <sheetData>
    <row r="1" spans="1:10" ht="60" customHeight="1" x14ac:dyDescent="0.3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5">
      <c r="A2" s="24" t="s">
        <v>1</v>
      </c>
      <c r="B2" s="24"/>
      <c r="C2" s="24"/>
      <c r="D2" s="24"/>
    </row>
    <row r="3" spans="1:10" x14ac:dyDescent="0.35">
      <c r="B3" s="23" t="s">
        <v>23</v>
      </c>
      <c r="C3" s="23"/>
      <c r="D3" s="23"/>
    </row>
    <row r="4" spans="1:10" x14ac:dyDescent="0.35">
      <c r="B4" s="7">
        <v>2022</v>
      </c>
      <c r="C4" s="7">
        <v>2021</v>
      </c>
      <c r="D4" s="7">
        <v>2020</v>
      </c>
    </row>
    <row r="5" spans="1:10" x14ac:dyDescent="0.35">
      <c r="A5" t="s">
        <v>3</v>
      </c>
    </row>
    <row r="6" spans="1:10" x14ac:dyDescent="0.35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5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5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5">
      <c r="A9" t="s">
        <v>7</v>
      </c>
      <c r="B9" s="12"/>
      <c r="C9" s="12"/>
      <c r="D9" s="12"/>
    </row>
    <row r="10" spans="1:10" x14ac:dyDescent="0.35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5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5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5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5">
      <c r="A14" t="s">
        <v>10</v>
      </c>
      <c r="B14" s="12"/>
      <c r="C14" s="12"/>
      <c r="D14" s="12"/>
    </row>
    <row r="15" spans="1:10" x14ac:dyDescent="0.35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5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5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35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5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5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5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4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5">
      <c r="A23" t="s">
        <v>19</v>
      </c>
    </row>
    <row r="24" spans="1:4" x14ac:dyDescent="0.35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5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5">
      <c r="A26" t="s">
        <v>22</v>
      </c>
    </row>
    <row r="27" spans="1:4" x14ac:dyDescent="0.35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5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5">
      <c r="A31" s="24" t="s">
        <v>24</v>
      </c>
      <c r="B31" s="24"/>
      <c r="C31" s="24"/>
      <c r="D31" s="24"/>
    </row>
    <row r="32" spans="1:4" x14ac:dyDescent="0.35">
      <c r="B32" s="23" t="s">
        <v>142</v>
      </c>
      <c r="C32" s="23"/>
      <c r="D32" s="23"/>
    </row>
    <row r="33" spans="1:4" x14ac:dyDescent="0.35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5">
      <c r="A35" t="s">
        <v>25</v>
      </c>
    </row>
    <row r="36" spans="1:4" x14ac:dyDescent="0.35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5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5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5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5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5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5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5">
      <c r="A43" t="s">
        <v>48</v>
      </c>
      <c r="B43" s="12"/>
      <c r="C43" s="12"/>
      <c r="D43" s="12"/>
    </row>
    <row r="44" spans="1:4" x14ac:dyDescent="0.35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5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5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5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4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5"/>
    <row r="50" spans="1:4" x14ac:dyDescent="0.35">
      <c r="A50" t="s">
        <v>34</v>
      </c>
    </row>
    <row r="51" spans="1:4" x14ac:dyDescent="0.35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5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5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5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5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5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5">
      <c r="A57" t="s">
        <v>51</v>
      </c>
      <c r="B57" s="12"/>
      <c r="C57" s="12"/>
      <c r="D57" s="12"/>
    </row>
    <row r="58" spans="1:4" x14ac:dyDescent="0.35">
      <c r="A58" s="1" t="s">
        <v>37</v>
      </c>
      <c r="B58" s="12"/>
      <c r="C58" s="12"/>
      <c r="D58" s="12"/>
    </row>
    <row r="59" spans="1:4" x14ac:dyDescent="0.35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5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5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35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5">
      <c r="B63" s="12"/>
      <c r="C63" s="12"/>
      <c r="D63" s="12"/>
    </row>
    <row r="64" spans="1:4" x14ac:dyDescent="0.35">
      <c r="A64" t="s">
        <v>42</v>
      </c>
      <c r="B64" s="12"/>
      <c r="C64" s="12"/>
      <c r="D64" s="12"/>
    </row>
    <row r="65" spans="1:4" x14ac:dyDescent="0.35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5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5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5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4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5"/>
    <row r="71" spans="1:4" x14ac:dyDescent="0.35">
      <c r="A71" s="24" t="s">
        <v>55</v>
      </c>
      <c r="B71" s="24"/>
      <c r="C71" s="24"/>
      <c r="D71" s="24"/>
    </row>
    <row r="72" spans="1:4" x14ac:dyDescent="0.35">
      <c r="B72" s="23" t="s">
        <v>23</v>
      </c>
      <c r="C72" s="23"/>
      <c r="D72" s="23"/>
    </row>
    <row r="73" spans="1:4" x14ac:dyDescent="0.35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5">
      <c r="A75" s="7" t="s">
        <v>56</v>
      </c>
      <c r="B75" s="15"/>
      <c r="C75" s="15"/>
      <c r="D75" s="15"/>
    </row>
    <row r="76" spans="1:4" x14ac:dyDescent="0.35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5">
      <c r="A77" s="11" t="s">
        <v>18</v>
      </c>
      <c r="B77" s="15"/>
      <c r="C77" s="15"/>
      <c r="D77" s="15"/>
    </row>
    <row r="78" spans="1:4" x14ac:dyDescent="0.35">
      <c r="A78" s="1" t="s">
        <v>58</v>
      </c>
      <c r="B78" s="12"/>
      <c r="C78" s="12"/>
      <c r="D78" s="12"/>
    </row>
    <row r="79" spans="1:4" x14ac:dyDescent="0.35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5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5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5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5">
      <c r="A83" t="s">
        <v>62</v>
      </c>
      <c r="B83" s="12"/>
      <c r="C83" s="12"/>
      <c r="D83" s="12"/>
    </row>
    <row r="84" spans="1:4" x14ac:dyDescent="0.35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5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5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5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5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5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5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5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5">
      <c r="A92" s="7" t="s">
        <v>64</v>
      </c>
      <c r="B92" s="12"/>
      <c r="C92" s="12"/>
      <c r="D92" s="12"/>
    </row>
    <row r="93" spans="1:4" x14ac:dyDescent="0.35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5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5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5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5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5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5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5">
      <c r="A100" s="7" t="s">
        <v>71</v>
      </c>
      <c r="B100" s="12"/>
      <c r="C100" s="12"/>
      <c r="D100" s="12"/>
    </row>
    <row r="101" spans="1:4" x14ac:dyDescent="0.35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5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5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5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5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5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5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5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5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4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5">
      <c r="B111" s="12"/>
      <c r="C111" s="12"/>
      <c r="D111" s="12"/>
    </row>
    <row r="112" spans="1:4" x14ac:dyDescent="0.35">
      <c r="A112" t="s">
        <v>80</v>
      </c>
      <c r="B112" s="12"/>
      <c r="C112" s="12"/>
      <c r="D112" s="12"/>
    </row>
    <row r="113" spans="1:4" x14ac:dyDescent="0.35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5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3"/>
  <sheetViews>
    <sheetView tabSelected="1" workbookViewId="0">
      <selection activeCell="J46" sqref="J46"/>
    </sheetView>
  </sheetViews>
  <sheetFormatPr defaultRowHeight="14.5" x14ac:dyDescent="0.35"/>
  <cols>
    <col min="1" max="1" width="4.6328125" customWidth="1"/>
    <col min="2" max="2" width="44.90625" customWidth="1"/>
    <col min="3" max="3" width="11.08984375" bestFit="1" customWidth="1"/>
    <col min="4" max="5" width="12.453125" bestFit="1" customWidth="1"/>
  </cols>
  <sheetData>
    <row r="1" spans="1:10" ht="60" customHeight="1" x14ac:dyDescent="0.6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35">
      <c r="C2" s="23" t="s">
        <v>23</v>
      </c>
      <c r="D2" s="23"/>
      <c r="E2" s="23"/>
    </row>
    <row r="3" spans="1:10" x14ac:dyDescent="0.35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5">
      <c r="A4" s="18">
        <v>1</v>
      </c>
      <c r="B4" s="7" t="s">
        <v>99</v>
      </c>
    </row>
    <row r="5" spans="1:10" x14ac:dyDescent="0.35">
      <c r="A5" s="18">
        <f>+A4+0.1</f>
        <v>1.1000000000000001</v>
      </c>
      <c r="B5" s="1" t="s">
        <v>100</v>
      </c>
      <c r="C5">
        <f>'Financial Statements'!B42/'Financial Statements'!B56</f>
        <v>0.87935602862672257</v>
      </c>
      <c r="D5">
        <f>'Financial Statements'!C42/'Financial Statements'!C56</f>
        <v>1.0745531195957954</v>
      </c>
      <c r="E5">
        <f>'Financial Statements'!D42/'Financial Statements'!D56</f>
        <v>1.3636044481554577</v>
      </c>
    </row>
    <row r="6" spans="1:10" x14ac:dyDescent="0.35">
      <c r="A6" s="18">
        <f t="shared" ref="A6:A13" si="0">+A5+0.1</f>
        <v>1.2000000000000002</v>
      </c>
      <c r="B6" s="1" t="s">
        <v>101</v>
      </c>
      <c r="C6">
        <f>('Financial Statements'!B36+'Financial Statements'!B37+'Financial Statements'!B38)/'Financial Statements'!B56</f>
        <v>0.49673338442155579</v>
      </c>
      <c r="D6">
        <f>('Financial Statements'!C36+'Financial Statements'!C37+'Financial Statements'!C38)/'Financial Statements'!C56</f>
        <v>0.70860927152317876</v>
      </c>
      <c r="E6">
        <f>('Financial Statements'!D36+'Financial Statements'!D37+'Financial Statements'!D38)/'Financial Statements'!D56</f>
        <v>1.0158550933657204</v>
      </c>
    </row>
    <row r="7" spans="1:10" x14ac:dyDescent="0.35">
      <c r="A7" s="18">
        <f t="shared" si="0"/>
        <v>1.3000000000000003</v>
      </c>
      <c r="B7" s="1" t="s">
        <v>102</v>
      </c>
      <c r="C7">
        <f>'Financial Statements'!B36/'Financial Statements'!B56</f>
        <v>0.15356340351469652</v>
      </c>
      <c r="D7">
        <f>'Financial Statements'!C36/'Financial Statements'!C56</f>
        <v>0.27844853005634318</v>
      </c>
      <c r="E7">
        <f>'Financial Statements'!D36/'Financial Statements'!D56</f>
        <v>0.36071049035979963</v>
      </c>
    </row>
    <row r="8" spans="1:10" x14ac:dyDescent="0.35">
      <c r="A8" s="18">
        <f t="shared" si="0"/>
        <v>1.4000000000000004</v>
      </c>
      <c r="B8" s="1" t="s">
        <v>103</v>
      </c>
      <c r="C8">
        <f>(('Financial Statements'!B42)/(('Financial Statements'!B17-'Financial Statements'!B79)/365))</f>
        <v>1228.1708953554833</v>
      </c>
      <c r="D8">
        <f>(('Financial Statements'!C42)/(('Financial Statements'!C17-'Financial Statements'!C79)/365))</f>
        <v>1509.5279575499187</v>
      </c>
      <c r="E8">
        <f>(('Financial Statements'!D42)/(('Financial Statements'!D17-'Financial Statements'!D79)/365))</f>
        <v>1899.7263870780819</v>
      </c>
    </row>
    <row r="9" spans="1:10" x14ac:dyDescent="0.35">
      <c r="A9" s="18">
        <f t="shared" si="0"/>
        <v>1.5000000000000004</v>
      </c>
      <c r="B9" s="1" t="s">
        <v>104</v>
      </c>
      <c r="C9">
        <f>('Financial Statements'!B39/'Financial Statements'!B12)*365</f>
        <v>8.0756980666171607</v>
      </c>
      <c r="D9">
        <f>('Financial Statements'!C39/'Financial Statements'!C12)*365</f>
        <v>11.27659274770989</v>
      </c>
      <c r="E9">
        <f>('Financial Statements'!D39/'Financial Statements'!D12)*365</f>
        <v>8.7418833562358831</v>
      </c>
    </row>
    <row r="10" spans="1:10" x14ac:dyDescent="0.35">
      <c r="A10" s="18">
        <f t="shared" si="0"/>
        <v>1.6000000000000005</v>
      </c>
      <c r="B10" s="1" t="s">
        <v>105</v>
      </c>
      <c r="C10">
        <f>('Financial Statements'!B51/'Financial Statements'!B12)*365</f>
        <v>104.68527730310539</v>
      </c>
      <c r="D10">
        <f>('Financial Statements'!C51/'Financial Statements'!C12)*365</f>
        <v>93.851071222315596</v>
      </c>
      <c r="E10">
        <f>('Financial Statements'!D51/'Financial Statements'!D12)*365</f>
        <v>91.048189715674198</v>
      </c>
    </row>
    <row r="11" spans="1:10" x14ac:dyDescent="0.35">
      <c r="A11" s="18">
        <f t="shared" si="0"/>
        <v>1.7000000000000006</v>
      </c>
      <c r="B11" s="1" t="s">
        <v>106</v>
      </c>
      <c r="C11">
        <f>('Financial Statements'!B38/'Financial Statements'!B12)*365</f>
        <v>46.018090236461397</v>
      </c>
      <c r="D11">
        <f>('Financial Statements'!C38/'Financial Statements'!C12)*365</f>
        <v>45.034392739258436</v>
      </c>
      <c r="E11">
        <f>('Financial Statements'!D38/'Financial Statements'!D12)*365</f>
        <v>34.700605688875257</v>
      </c>
    </row>
    <row r="12" spans="1:10" x14ac:dyDescent="0.35">
      <c r="A12" s="18">
        <f t="shared" si="0"/>
        <v>1.8000000000000007</v>
      </c>
      <c r="B12" s="1" t="s">
        <v>107</v>
      </c>
      <c r="C12">
        <f>C11+C9-C10</f>
        <v>-50.59148900002684</v>
      </c>
      <c r="D12">
        <f t="shared" ref="D12:E12" si="1">D11+D9-D10</f>
        <v>-37.540085735347269</v>
      </c>
      <c r="E12">
        <f t="shared" si="1"/>
        <v>-47.60570067056306</v>
      </c>
    </row>
    <row r="13" spans="1:10" x14ac:dyDescent="0.35">
      <c r="A13" s="18">
        <f t="shared" si="0"/>
        <v>1.9000000000000008</v>
      </c>
      <c r="B13" s="1" t="s">
        <v>108</v>
      </c>
      <c r="C13" s="25">
        <f>('List of Ratios'!C14/'Financial Statements'!B8)</f>
        <v>-4.711052727678481E-2</v>
      </c>
      <c r="D13" s="25">
        <f>('List of Ratios'!D14/'Financial Statements'!C8)</f>
        <v>2.557289573748623E-2</v>
      </c>
      <c r="E13" s="25">
        <f>('List of Ratios'!E14/'Financial Statements'!D8)</f>
        <v>0.13959528623208203</v>
      </c>
    </row>
    <row r="14" spans="1:10" x14ac:dyDescent="0.35">
      <c r="A14" s="18"/>
      <c r="B14" s="3" t="s">
        <v>109</v>
      </c>
      <c r="C14">
        <f>'Financial Statements'!B42-'Financial Statements'!B56</f>
        <v>-18577</v>
      </c>
      <c r="D14">
        <f>'Financial Statements'!C42-'Financial Statements'!C56</f>
        <v>9355</v>
      </c>
      <c r="E14">
        <f>'Financial Statements'!D42-'Financial Statements'!D56</f>
        <v>38321</v>
      </c>
    </row>
    <row r="15" spans="1:10" x14ac:dyDescent="0.35">
      <c r="A15" s="18"/>
    </row>
    <row r="16" spans="1:10" x14ac:dyDescent="0.35">
      <c r="A16" s="18">
        <f>+A4+1</f>
        <v>2</v>
      </c>
      <c r="B16" s="17" t="s">
        <v>110</v>
      </c>
    </row>
    <row r="17" spans="1:5" x14ac:dyDescent="0.35">
      <c r="A17" s="18">
        <f>+A16+0.1</f>
        <v>2.1</v>
      </c>
      <c r="B17" s="1" t="s">
        <v>9</v>
      </c>
      <c r="C17" s="25">
        <f>('Financial Statements'!B8-'Financial Statements'!B12)/'Financial Statements'!B8</f>
        <v>0.43309630561360085</v>
      </c>
      <c r="D17" s="25">
        <f>('Financial Statements'!C8-'Financial Statements'!C12)/'Financial Statements'!C8</f>
        <v>0.41779359625167778</v>
      </c>
      <c r="E17" s="25">
        <f>('Financial Statements'!D8-'Financial Statements'!D12)/'Financial Statements'!D8</f>
        <v>0.38233247727810865</v>
      </c>
    </row>
    <row r="18" spans="1:5" x14ac:dyDescent="0.35">
      <c r="A18" s="18">
        <f>+A17+0.1</f>
        <v>2.2000000000000002</v>
      </c>
      <c r="B18" s="1" t="s">
        <v>111</v>
      </c>
      <c r="C18" s="25">
        <f>C19/'Financial Statements'!B8</f>
        <v>0.3310467428130896</v>
      </c>
      <c r="D18" s="25">
        <f>D19/'Financial Statements'!C8</f>
        <v>0.32866979938056462</v>
      </c>
      <c r="E18" s="25">
        <f>E19/'Financial Statements'!D8</f>
        <v>0.2817478097736007</v>
      </c>
    </row>
    <row r="19" spans="1:5" x14ac:dyDescent="0.35">
      <c r="A19" s="18"/>
      <c r="B19" s="3" t="s">
        <v>112</v>
      </c>
      <c r="C19" s="26">
        <f>'Financial Statements'!B18+'Financial Statements'!B79</f>
        <v>130541</v>
      </c>
      <c r="D19" s="26">
        <f>'Financial Statements'!C18+'Financial Statements'!C79</f>
        <v>120233</v>
      </c>
      <c r="E19" s="26">
        <f>'Financial Statements'!D18+'Financial Statements'!D79</f>
        <v>77344</v>
      </c>
    </row>
    <row r="20" spans="1:5" x14ac:dyDescent="0.35">
      <c r="A20" s="18">
        <f>+A18+0.1</f>
        <v>2.3000000000000003</v>
      </c>
      <c r="B20" s="1" t="s">
        <v>113</v>
      </c>
      <c r="C20" s="25">
        <f>C21/'Financial Statements'!B8</f>
        <v>0.30288744395528594</v>
      </c>
      <c r="D20" s="25">
        <f>D21/'Financial Statements'!C8</f>
        <v>0.29782377527561593</v>
      </c>
      <c r="E20" s="25">
        <f>E21/'Financial Statements'!D8</f>
        <v>0.24147314354406862</v>
      </c>
    </row>
    <row r="21" spans="1:5" x14ac:dyDescent="0.35">
      <c r="A21" s="18"/>
      <c r="B21" s="3" t="s">
        <v>114</v>
      </c>
      <c r="C21">
        <f>'Financial Statements'!B8-'Financial Statements'!B12-'Financial Statements'!B17</f>
        <v>119437</v>
      </c>
      <c r="D21">
        <f>'Financial Statements'!C8-'Financial Statements'!C12-'Financial Statements'!C17</f>
        <v>108949</v>
      </c>
      <c r="E21">
        <f>'Financial Statements'!D8-'Financial Statements'!D12-'Financial Statements'!D17</f>
        <v>66288</v>
      </c>
    </row>
    <row r="22" spans="1:5" x14ac:dyDescent="0.35">
      <c r="A22" s="18">
        <f>+A20+0.1</f>
        <v>2.4000000000000004</v>
      </c>
      <c r="B22" s="1" t="s">
        <v>115</v>
      </c>
      <c r="C22" s="25">
        <f>'Financial Statements'!B22/'Financial Statements'!B8</f>
        <v>0.25309640705199732</v>
      </c>
      <c r="D22" s="25">
        <f>'Financial Statements'!C22/'Financial Statements'!C8</f>
        <v>0.25881793355694238</v>
      </c>
      <c r="E22" s="25">
        <f>'Financial Statements'!D22/'Financial Statements'!D8</f>
        <v>0.20913611278072236</v>
      </c>
    </row>
    <row r="23" spans="1:5" x14ac:dyDescent="0.35">
      <c r="A23" s="18"/>
    </row>
    <row r="24" spans="1:5" x14ac:dyDescent="0.35">
      <c r="A24" s="18">
        <f>+A16+1</f>
        <v>3</v>
      </c>
      <c r="B24" s="7" t="s">
        <v>116</v>
      </c>
    </row>
    <row r="25" spans="1:5" x14ac:dyDescent="0.35">
      <c r="A25" s="18">
        <f>+A24+0.1</f>
        <v>3.1</v>
      </c>
      <c r="B25" s="1" t="s">
        <v>117</v>
      </c>
      <c r="C25">
        <f>('Financial Statements'!B55+'Financial Statements'!B59)/'Financial Statements'!B68</f>
        <v>2.1725410483107042</v>
      </c>
      <c r="D25">
        <f>('Financial Statements'!C55+'Financial Statements'!C59)/'Financial Statements'!C68</f>
        <v>1.8817403708987162</v>
      </c>
      <c r="E25">
        <f>('Financial Statements'!D55+'Financial Statements'!D59)/'Financial Statements'!D68</f>
        <v>1.6443471739696047</v>
      </c>
    </row>
    <row r="26" spans="1:5" x14ac:dyDescent="0.35">
      <c r="A26" s="18">
        <f t="shared" ref="A26:A30" si="2">+A25+0.1</f>
        <v>3.2</v>
      </c>
      <c r="B26" s="1" t="s">
        <v>118</v>
      </c>
      <c r="C26">
        <f>'Financial Statements'!B62/'Financial Statements'!B48</f>
        <v>0.85635355983614692</v>
      </c>
      <c r="D26">
        <f>'Financial Statements'!C62/'Financial Statements'!C48</f>
        <v>0.82025743443057308</v>
      </c>
      <c r="E26">
        <f>'Financial Statements'!D62/'Financial Statements'!D48</f>
        <v>0.79826668477992391</v>
      </c>
    </row>
    <row r="27" spans="1:5" x14ac:dyDescent="0.35">
      <c r="A27" s="18">
        <f t="shared" si="2"/>
        <v>3.3000000000000003</v>
      </c>
      <c r="B27" s="1" t="s">
        <v>119</v>
      </c>
      <c r="C27">
        <f>('Financial Statements'!B47)/('Financial Statements'!B47+'Financial Statements'!B68)</f>
        <v>0.81094089291177585</v>
      </c>
      <c r="D27">
        <f>('Financial Statements'!C47)/('Financial Statements'!C47+'Financial Statements'!C68)</f>
        <v>0.77407826510442035</v>
      </c>
      <c r="E27">
        <f>('Financial Statements'!D47)/('Financial Statements'!D47+'Financial Statements'!D68)</f>
        <v>0.73386853702843835</v>
      </c>
    </row>
    <row r="28" spans="1:5" x14ac:dyDescent="0.35">
      <c r="A28" s="18">
        <f t="shared" si="2"/>
        <v>3.4000000000000004</v>
      </c>
      <c r="B28" s="1" t="s">
        <v>120</v>
      </c>
      <c r="C28">
        <f>C21/'Financial Statements'!B114</f>
        <v>41.68830715532286</v>
      </c>
      <c r="D28">
        <f>D21/'Financial Statements'!C114</f>
        <v>40.546706363974693</v>
      </c>
      <c r="E28">
        <f>E21/'Financial Statements'!D114</f>
        <v>22.081279147235175</v>
      </c>
    </row>
    <row r="29" spans="1:5" x14ac:dyDescent="0.35">
      <c r="A29" s="18">
        <f t="shared" si="2"/>
        <v>3.5000000000000004</v>
      </c>
      <c r="B29" s="1" t="s">
        <v>121</v>
      </c>
      <c r="C29" s="27">
        <f>(C19-'Financial Statements'!B113)/('Financial Statements'!B114+'Financial Statements'!B59)</f>
        <v>1.0898020113136393</v>
      </c>
      <c r="D29" s="27">
        <f>(D19-'Financial Statements'!C113)/('Financial Statements'!C114+'Financial Statements'!C59)</f>
        <v>0.84842521445886598</v>
      </c>
      <c r="E29" s="27">
        <f>(E19-'Financial Statements'!D113)/('Financial Statements'!D114+'Financial Statements'!D59)</f>
        <v>0.66729288180271273</v>
      </c>
    </row>
    <row r="30" spans="1:5" x14ac:dyDescent="0.35">
      <c r="A30" s="18">
        <f t="shared" si="2"/>
        <v>3.6000000000000005</v>
      </c>
      <c r="B30" s="1" t="s">
        <v>122</v>
      </c>
      <c r="C30">
        <f>'List of Ratios'!C32/'Financial Statements'!B27</f>
        <v>6.8724256462597997E-3</v>
      </c>
      <c r="D30">
        <f>'List of Ratios'!D32/'Financial Statements'!C27</f>
        <v>5.5656239836103499E-3</v>
      </c>
      <c r="E30">
        <f>'List of Ratios'!E32/'Financial Statements'!D27</f>
        <v>4.2280138811864997E-3</v>
      </c>
    </row>
    <row r="31" spans="1:5" x14ac:dyDescent="0.35">
      <c r="A31" s="18"/>
      <c r="B31" s="3" t="s">
        <v>123</v>
      </c>
    </row>
    <row r="32" spans="1:5" x14ac:dyDescent="0.35">
      <c r="A32" s="18"/>
      <c r="B32" s="1" t="s">
        <v>150</v>
      </c>
      <c r="C32">
        <f>'Financial Statements'!B91+'Financial Statements'!B96</f>
        <v>111443</v>
      </c>
      <c r="D32">
        <f>'Financial Statements'!C91+'Financial Statements'!C96</f>
        <v>92953</v>
      </c>
      <c r="E32">
        <f>'Financial Statements'!D91+'Financial Statements'!D96</f>
        <v>73365</v>
      </c>
    </row>
    <row r="33" spans="1:5" x14ac:dyDescent="0.35">
      <c r="A33" s="18">
        <f>+A24+1</f>
        <v>4</v>
      </c>
      <c r="B33" s="17" t="s">
        <v>124</v>
      </c>
    </row>
    <row r="34" spans="1:5" x14ac:dyDescent="0.35">
      <c r="A34" s="18">
        <f>+A33+0.1</f>
        <v>4.0999999999999996</v>
      </c>
      <c r="B34" s="1" t="s">
        <v>125</v>
      </c>
      <c r="C34">
        <f>'Financial Statements'!B8/'Financial Statements'!B48</f>
        <v>1.1178523337727317</v>
      </c>
      <c r="D34">
        <f>'Financial Statements'!C8/'Financial Statements'!C48</f>
        <v>1.0422077367080529</v>
      </c>
      <c r="E34">
        <f>'Financial Statements'!D8/'Financial Statements'!D48</f>
        <v>0.84756150274168851</v>
      </c>
    </row>
    <row r="35" spans="1:5" x14ac:dyDescent="0.35">
      <c r="A35" s="18">
        <f t="shared" ref="A35:A37" si="3">+A34+0.1</f>
        <v>4.1999999999999993</v>
      </c>
      <c r="B35" s="1" t="s">
        <v>126</v>
      </c>
      <c r="C35">
        <f>'Financial Statements'!B8/'Financial Statements'!B45</f>
        <v>9.3626801529073767</v>
      </c>
      <c r="D35">
        <f>'Financial Statements'!C8/'Financial Statements'!C45</f>
        <v>9.2752789046653152</v>
      </c>
      <c r="E35">
        <f>'Financial Statements'!D8/'Financial Statements'!D45</f>
        <v>7.4665451776097482</v>
      </c>
    </row>
    <row r="36" spans="1:5" x14ac:dyDescent="0.35">
      <c r="A36" s="18">
        <f t="shared" si="3"/>
        <v>4.2999999999999989</v>
      </c>
      <c r="B36" s="1" t="s">
        <v>127</v>
      </c>
      <c r="C36">
        <f>'Financial Statements'!B12/'Financial Statements'!B39</f>
        <v>45.197331176708452</v>
      </c>
      <c r="D36">
        <f>'Financial Statements'!C12/'Financial Statements'!C39</f>
        <v>32.367933130699086</v>
      </c>
      <c r="E36">
        <f>'Financial Statements'!D12/'Financial Statements'!D39</f>
        <v>41.753016498399411</v>
      </c>
    </row>
    <row r="37" spans="1:5" x14ac:dyDescent="0.35">
      <c r="A37" s="18">
        <f t="shared" si="3"/>
        <v>4.3999999999999986</v>
      </c>
      <c r="B37" s="1" t="s">
        <v>128</v>
      </c>
      <c r="C37" s="25">
        <f>'Financial Statements'!B22/'Financial Statements'!B48</f>
        <v>0.28292440929256851</v>
      </c>
      <c r="D37" s="25">
        <f>'Financial Statements'!C22/'Financial Statements'!C48</f>
        <v>0.26974205275183616</v>
      </c>
      <c r="E37" s="25">
        <f>'Financial Statements'!D22/'Financial Statements'!D48</f>
        <v>0.1772557180259843</v>
      </c>
    </row>
    <row r="38" spans="1:5" x14ac:dyDescent="0.35">
      <c r="A38" s="18"/>
    </row>
    <row r="39" spans="1:5" x14ac:dyDescent="0.35">
      <c r="A39" s="18">
        <f>+A33+1</f>
        <v>5</v>
      </c>
      <c r="B39" s="17" t="s">
        <v>129</v>
      </c>
    </row>
    <row r="40" spans="1:5" x14ac:dyDescent="0.35">
      <c r="A40" s="18">
        <f>+A39+0.1</f>
        <v>5.0999999999999996</v>
      </c>
      <c r="B40" s="1" t="s">
        <v>130</v>
      </c>
      <c r="C40">
        <f>138.2/C41</f>
        <v>22.471544715447152</v>
      </c>
      <c r="D40">
        <f>146.92/D41</f>
        <v>25.911816578483243</v>
      </c>
      <c r="E40">
        <f>112.28/E41</f>
        <v>33.9214501510574</v>
      </c>
    </row>
    <row r="41" spans="1:5" x14ac:dyDescent="0.35">
      <c r="A41" s="18">
        <f t="shared" ref="A41:A44" si="4">+A40+0.1</f>
        <v>5.1999999999999993</v>
      </c>
      <c r="B41" s="3" t="s">
        <v>131</v>
      </c>
      <c r="C41">
        <f>'Financial Statements'!B24</f>
        <v>6.15</v>
      </c>
      <c r="D41">
        <f>'Financial Statements'!C24</f>
        <v>5.67</v>
      </c>
      <c r="E41">
        <f>'Financial Statements'!D24</f>
        <v>3.31</v>
      </c>
    </row>
    <row r="42" spans="1:5" x14ac:dyDescent="0.35">
      <c r="A42" s="18">
        <f t="shared" si="4"/>
        <v>5.2999999999999989</v>
      </c>
      <c r="B42" s="1" t="s">
        <v>132</v>
      </c>
      <c r="C42">
        <f>138.2/C43</f>
        <v>44226.517338964317</v>
      </c>
    </row>
    <row r="43" spans="1:5" x14ac:dyDescent="0.35">
      <c r="A43" s="18">
        <f t="shared" si="4"/>
        <v>5.3999999999999986</v>
      </c>
      <c r="B43" s="3" t="s">
        <v>133</v>
      </c>
      <c r="C43">
        <f>'Financial Statements'!B68/'Financial Statements'!B27</f>
        <v>3.124822127430853E-3</v>
      </c>
      <c r="D43">
        <f>'Financial Statements'!C68/'Financial Statements'!C27</f>
        <v>3.7775565837141027E-3</v>
      </c>
      <c r="E43">
        <f>'Financial Statements'!D68/'Financial Statements'!D27</f>
        <v>3.7654767120949319E-3</v>
      </c>
    </row>
    <row r="44" spans="1:5" x14ac:dyDescent="0.35">
      <c r="A44" s="18">
        <f t="shared" si="4"/>
        <v>5.4999999999999982</v>
      </c>
      <c r="B44" s="1" t="s">
        <v>134</v>
      </c>
      <c r="C44" s="25">
        <f>'Financial Statements'!B102/'Financial Statements'!B22*-1</f>
        <v>0.14870294480125848</v>
      </c>
      <c r="D44" s="25">
        <f>'Financial Statements'!C102/'Financial Statements'!C22*-1</f>
        <v>0.15279890156316012</v>
      </c>
      <c r="E44" s="25">
        <f>'Financial Statements'!D102/'Financial Statements'!D22*-1</f>
        <v>0.24526658654264863</v>
      </c>
    </row>
    <row r="45" spans="1:5" x14ac:dyDescent="0.35">
      <c r="A45" s="18"/>
      <c r="B45" s="3" t="s">
        <v>135</v>
      </c>
    </row>
    <row r="46" spans="1:5" x14ac:dyDescent="0.35">
      <c r="A46" s="18">
        <f>+A44+0.1</f>
        <v>5.5999999999999979</v>
      </c>
      <c r="B46" s="1" t="s">
        <v>136</v>
      </c>
    </row>
    <row r="47" spans="1:5" x14ac:dyDescent="0.35">
      <c r="A47" s="18">
        <f t="shared" ref="A47:A50" si="5">+A45+0.1</f>
        <v>0.1</v>
      </c>
      <c r="B47" s="1" t="s">
        <v>137</v>
      </c>
      <c r="C47">
        <f>'Financial Statements'!B22/'Financial Statements'!B68</f>
        <v>1.9695887275023682</v>
      </c>
      <c r="D47">
        <f>'Financial Statements'!C22/'Financial Statements'!C68</f>
        <v>1.5007132667617689</v>
      </c>
      <c r="E47">
        <f>'Financial Statements'!D22/'Financial Statements'!D68</f>
        <v>0.87866358530127486</v>
      </c>
    </row>
    <row r="48" spans="1:5" x14ac:dyDescent="0.35">
      <c r="A48" s="18">
        <f t="shared" si="5"/>
        <v>5.6999999999999975</v>
      </c>
      <c r="B48" s="1" t="s">
        <v>138</v>
      </c>
      <c r="C48" s="25">
        <f>C21/C52</f>
        <v>0.60087134570590572</v>
      </c>
      <c r="D48" s="25">
        <f t="shared" ref="D48:E48" si="6">D21/D52</f>
        <v>0.48309913489209433</v>
      </c>
      <c r="E48" s="25">
        <f t="shared" si="6"/>
        <v>0.30338312829525482</v>
      </c>
    </row>
    <row r="49" spans="1:5" x14ac:dyDescent="0.35">
      <c r="A49" s="18">
        <f t="shared" si="5"/>
        <v>0.2</v>
      </c>
      <c r="B49" s="1" t="s">
        <v>128</v>
      </c>
      <c r="C49" s="25">
        <f>'Financial Statements'!B22/'Financial Statements'!B48</f>
        <v>0.28292440929256851</v>
      </c>
      <c r="D49" s="25">
        <f>'Financial Statements'!C22/'Financial Statements'!C48</f>
        <v>0.26974205275183616</v>
      </c>
      <c r="E49" s="25">
        <f>'Financial Statements'!D22/'Financial Statements'!D48</f>
        <v>0.1772557180259843</v>
      </c>
    </row>
    <row r="50" spans="1:5" x14ac:dyDescent="0.35">
      <c r="A50" s="18">
        <f t="shared" si="5"/>
        <v>5.7999999999999972</v>
      </c>
      <c r="B50" s="1" t="s">
        <v>139</v>
      </c>
      <c r="C50" s="27">
        <f>C51/C19</f>
        <v>17283.9553075279</v>
      </c>
      <c r="D50" s="27">
        <f t="shared" ref="D50:E50" si="7">D51/D19</f>
        <v>19848.244961865712</v>
      </c>
      <c r="E50" s="27">
        <f t="shared" si="7"/>
        <v>26245.962328558133</v>
      </c>
    </row>
    <row r="51" spans="1:5" x14ac:dyDescent="0.35">
      <c r="A51" s="18"/>
      <c r="B51" s="3" t="s">
        <v>140</v>
      </c>
      <c r="C51">
        <f>C53+'Financial Statements'!B60+'Financial Statements'!B55-'Financial Statements'!B36</f>
        <v>2256264809.7999997</v>
      </c>
      <c r="D51">
        <f>D53+'Financial Statements'!C60+'Financial Statements'!C55-'Financial Statements'!C36</f>
        <v>2386414036.5</v>
      </c>
      <c r="E51">
        <f>E53+'Financial Statements'!D60+'Financial Statements'!D55-'Financial Statements'!D36</f>
        <v>2029967710.3400002</v>
      </c>
    </row>
    <row r="52" spans="1:5" x14ac:dyDescent="0.35">
      <c r="B52" s="1" t="s">
        <v>151</v>
      </c>
      <c r="C52">
        <f>'Financial Statements'!B48-'Financial Statements'!B56</f>
        <v>198773</v>
      </c>
      <c r="D52">
        <f>'Financial Statements'!C48-'Financial Statements'!C56</f>
        <v>225521</v>
      </c>
      <c r="E52">
        <f>'Financial Statements'!D48-'Financial Statements'!D56</f>
        <v>218496</v>
      </c>
    </row>
    <row r="53" spans="1:5" x14ac:dyDescent="0.35">
      <c r="B53" s="1" t="s">
        <v>152</v>
      </c>
      <c r="C53">
        <f>138.2*'Financial Statements'!B28</f>
        <v>2256228185.7999997</v>
      </c>
      <c r="D53">
        <f>141.5*'Financial Statements'!C28</f>
        <v>2386386038.5</v>
      </c>
      <c r="E53">
        <f>115.81*'Financial Statements'!D28</f>
        <v>2029942463.3400002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Leonardo Zonouzi</cp:lastModifiedBy>
  <dcterms:created xsi:type="dcterms:W3CDTF">2020-05-18T16:32:37Z</dcterms:created>
  <dcterms:modified xsi:type="dcterms:W3CDTF">2023-10-13T13:07:22Z</dcterms:modified>
</cp:coreProperties>
</file>