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zono\Downloads\"/>
    </mc:Choice>
  </mc:AlternateContent>
  <xr:revisionPtr revIDLastSave="0" documentId="8_{AB7A133C-C7C6-46C0-A052-E0E7F81D2FD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3" l="1"/>
  <c r="D50" i="3"/>
  <c r="E50" i="3"/>
  <c r="D51" i="3"/>
  <c r="E51" i="3"/>
  <c r="C51" i="3"/>
  <c r="C50" i="3" s="1"/>
  <c r="E53" i="3"/>
  <c r="D53" i="3"/>
  <c r="D49" i="3"/>
  <c r="E49" i="3"/>
  <c r="C49" i="3"/>
  <c r="D48" i="3"/>
  <c r="E48" i="3"/>
  <c r="C48" i="3"/>
  <c r="D52" i="3"/>
  <c r="E52" i="3"/>
  <c r="C52" i="3"/>
  <c r="D47" i="3"/>
  <c r="E47" i="3"/>
  <c r="C47" i="3"/>
  <c r="D44" i="3"/>
  <c r="E44" i="3"/>
  <c r="C44" i="3"/>
  <c r="C42" i="3"/>
  <c r="D43" i="3"/>
  <c r="E43" i="3"/>
  <c r="C43" i="3"/>
  <c r="E40" i="3"/>
  <c r="D40" i="3"/>
  <c r="C40" i="3"/>
  <c r="D41" i="3"/>
  <c r="E41" i="3"/>
  <c r="C41" i="3"/>
  <c r="D37" i="3"/>
  <c r="E37" i="3"/>
  <c r="C37" i="3"/>
  <c r="D36" i="3"/>
  <c r="E36" i="3"/>
  <c r="C36" i="3"/>
  <c r="C34" i="3"/>
  <c r="D35" i="3"/>
  <c r="E35" i="3"/>
  <c r="C35" i="3"/>
  <c r="D34" i="3"/>
  <c r="E34" i="3"/>
  <c r="D30" i="3"/>
  <c r="E30" i="3"/>
  <c r="C30" i="3"/>
  <c r="D32" i="3"/>
  <c r="E32" i="3"/>
  <c r="C32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E13" i="3"/>
  <c r="D13" i="3"/>
  <c r="C13" i="3"/>
  <c r="D14" i="3"/>
  <c r="E14" i="3"/>
  <c r="C14" i="3"/>
  <c r="C11" i="3"/>
  <c r="C12" i="3" s="1"/>
  <c r="D11" i="3"/>
  <c r="D12" i="3" s="1"/>
  <c r="E11" i="3"/>
  <c r="E12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<sst xmlns="http://schemas.openxmlformats.org/spreadsheetml/2006/main" count="176" uniqueCount="153">
  <si>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</si>
  <si>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</si>
  <si>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</si>
  <si>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</si>
  <si>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</si>
  <si>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</si>
  <si>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</si>
  <si>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</si>
  <si>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</si>
  <si>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</si>
  <si>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</si>
  <si>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</si>
  <si>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</si>
  <si>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</si>
  <si>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</si>
  <si>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</si>
  <si>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</si>
  <si>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</si>
  <si>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</si>
  <si>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</si>
  <si>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</si>
  <si>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</si>
  <si>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</si>
  <si>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</si>
  <si>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</si>
  <si>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</si>
  <si>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</si>
  <si>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</si>
  <si>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</si>
  <si>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</si>
  <si>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</si>
  <si>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</si>
  <si>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</si>
  <si>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</si>
  <si>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</si>
  <si>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</si>
  <si>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</si>
  <si>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</si>
  <si>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</si>
  <si>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</si>
  <si>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</si>
  <si>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</si>
  <si>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</si>
  <si>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</si>
  <si>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</si>
  <si>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</si>
  <si>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</si>
  <si>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</si>
  <si>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</si>
  <si>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</si>
  <si>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</si>
  <si>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</si>
  <si>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</si>
  <si>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</si>
  <si>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</si>
  <si>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</si>
  <si>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</si>
  <si>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</si>
  <si>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</si>
  <si>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</si>
  <si>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</si>
  <si>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</si>
  <si>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</si>
  <si>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</si>
  <si>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</si>
  <si>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</si>
  <si>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</si>
  <si>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</si>
  <si>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</si>
  <si>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</si>
  <si>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</si>
  <si>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</si>
  <si>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</si>
  <si>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</si>
  <si>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</si>
  <si>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</si>
  <si>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</si>
  <si>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</si>
  <si>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</si>
  <si>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</si>
  <si>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</si>
  <si>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</si>
  <si>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</si>
  <si>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</si>
  <si>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</si>
  <si>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</si>
  <si>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</si>
  <si>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</si>
  <si>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</si>
  <si>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</si>
  <si>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</si>
  <si>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</si>
  <si>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</si>
  <si>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</si>
  <si>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</si>
  <si>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</si>
  <si>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</si>
  <si>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</si>
  <si>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</si>
  <si>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</si>
  <si>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</si>
  <si>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</si>
  <si>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</si>
  <si>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</si>
  <si>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</si>
  <si>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</si>
  <si>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</si>
  <si>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</si>
  <si>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</si>
  <si>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</si>
  <si>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</si>
  <si>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</si>
  <si>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</si>
  <si>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</si>
  <si>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</si>
  <si>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</si>
  <si>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</si>
  <si>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</si>
  <si>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</si>
  <si>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</si>
  <si>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</si>
  <si>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</si>
  <si>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</si>
  <si>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</si>
  <si>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</si>
  <si>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</si>
  <si>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</si>
  <si>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</si>
  <si>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</si>
  <si>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</si>
  <si>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</si>
  <si>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</si>
  <si>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</si>
  <si>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</si>
  <si>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</si>
  <si>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</si>
  <si>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</si>
  <si>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</si>
  <si>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</si>
  <si>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</si>
  <si>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</si>
  <si>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</si>
  <si>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</si>
  <si>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</si>
  <si>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</si>
  <si>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</si>
  <si>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</si>
  <si>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</si>
  <si>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</si>
  <si>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</si>
  <si>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FCF</t>
  </si>
  <si>
    <t>Capital Employed</t>
  </si>
  <si>
    <t xml:space="preserve">Equity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</si>
</sst>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64" fontId="0" fillId="0" borderId="0" xfId="1" applyFont="1"/>
    <xf numFmtId="4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workbookViewId="0">
      <selection activeCell="A27" sqref="A27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5" workbookViewId="0">
      <selection activeCell="A102" sqref="A102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4" t="s">
        <v>24</v>
      </c>
      <c r="B31" s="24"/>
      <c r="C31" s="24"/>
      <c r="D31" s="24"/>
    </row>
    <row r="32" spans="1:4" x14ac:dyDescent="0.35">
      <c r="B32" s="23" t="s">
        <v>142</v>
      </c>
      <c r="C32" s="23"/>
      <c r="D32" s="23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4" t="s">
        <v>55</v>
      </c>
      <c r="B71" s="24"/>
      <c r="C71" s="24"/>
      <c r="D71" s="24"/>
    </row>
    <row r="72" spans="1:4" x14ac:dyDescent="0.35">
      <c r="B72" s="23" t="s">
        <v>23</v>
      </c>
      <c r="C72" s="23"/>
      <c r="D72" s="23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J46" sqref="J46"/>
    </sheetView>
  </sheetViews>
  <sheetFormatPr defaultRowHeight="14.5" x14ac:dyDescent="0.35"/>
  <cols>
    <col min="1" max="1" width="4.6328125" customWidth="1"/>
    <col min="2" max="2" width="44.90625" customWidth="1"/>
    <col min="3" max="3" width="11.08984375" bestFit="1" customWidth="1"/>
    <col min="4" max="5" width="12.453125" bestFit="1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35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>
        <f>(('Financial Statements'!B42)/(('Financial Statements'!B17-'Financial Statements'!B79)/365))</f>
        <v>1228.1708953554833</v>
      </c>
      <c r="D8">
        <f>(('Financial Statements'!C42)/(('Financial Statements'!C17-'Financial Statements'!C79)/365))</f>
        <v>1509.5279575499187</v>
      </c>
      <c r="E8">
        <f>(('Financial Statements'!D42)/(('Financial Statements'!D17-'Financial Statements'!D79)/365))</f>
        <v>1899.7263870780819</v>
      </c>
    </row>
    <row r="9" spans="1:10" x14ac:dyDescent="0.35">
      <c r="A9" s="18">
        <f t="shared" si="0"/>
        <v>1.5000000000000004</v>
      </c>
      <c r="B9" s="1" t="s">
        <v>104</v>
      </c>
      <c r="C9">
        <f>('Financial Statements'!B39/'Financial Statements'!B12)*365</f>
        <v>8.0756980666171607</v>
      </c>
      <c r="D9">
        <f>('Financial Statements'!C39/'Financial Statements'!C12)*365</f>
        <v>11.27659274770989</v>
      </c>
      <c r="E9">
        <f>('Financial Statements'!D39/'Financial Statements'!D12)*365</f>
        <v>8.7418833562358831</v>
      </c>
    </row>
    <row r="10" spans="1:10" x14ac:dyDescent="0.35">
      <c r="A10" s="18">
        <f t="shared" si="0"/>
        <v>1.6000000000000005</v>
      </c>
      <c r="B10" s="1" t="s">
        <v>105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>
        <f>('Financial Statements'!B38/'Financial Statements'!B12)*365</f>
        <v>46.018090236461397</v>
      </c>
      <c r="D11">
        <f>('Financial Statements'!C38/'Financial Statements'!C12)*365</f>
        <v>45.034392739258436</v>
      </c>
      <c r="E11">
        <f>('Financial Statements'!D38/'Financial Statements'!D12)*365</f>
        <v>34.700605688875257</v>
      </c>
    </row>
    <row r="12" spans="1:10" x14ac:dyDescent="0.35">
      <c r="A12" s="18">
        <f t="shared" si="0"/>
        <v>1.8000000000000007</v>
      </c>
      <c r="B12" s="1" t="s">
        <v>107</v>
      </c>
      <c r="C12">
        <f>C11+C9-C10</f>
        <v>-50.59148900002684</v>
      </c>
      <c r="D12">
        <f t="shared" ref="D12:E12" si="1">D11+D9-D10</f>
        <v>-37.540085735347269</v>
      </c>
      <c r="E12">
        <f t="shared" si="1"/>
        <v>-47.60570067056306</v>
      </c>
    </row>
    <row r="13" spans="1:10" x14ac:dyDescent="0.35">
      <c r="A13" s="18">
        <f t="shared" si="0"/>
        <v>1.9000000000000008</v>
      </c>
      <c r="B13" s="1" t="s">
        <v>108</v>
      </c>
      <c r="C13" s="25">
        <f>('List of Ratios'!C14/'Financial Statements'!B8)</f>
        <v>-4.711052727678481E-2</v>
      </c>
      <c r="D13" s="25">
        <f>('List of Ratios'!D14/'Financial Statements'!C8)</f>
        <v>2.557289573748623E-2</v>
      </c>
      <c r="E13" s="25">
        <f>('List of Ratios'!E14/'Financial Statements'!D8)</f>
        <v>0.13959528623208203</v>
      </c>
    </row>
    <row r="14" spans="1:10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 s="25">
        <f>C19/'Financial Statements'!B8</f>
        <v>0.3310467428130896</v>
      </c>
      <c r="D18" s="25">
        <f>D19/'Financial Statements'!C8</f>
        <v>0.32866979938056462</v>
      </c>
      <c r="E18" s="25">
        <f>E19/'Financial Statements'!D8</f>
        <v>0.2817478097736007</v>
      </c>
    </row>
    <row r="19" spans="1:5" x14ac:dyDescent="0.35">
      <c r="A19" s="18"/>
      <c r="B19" s="3" t="s">
        <v>112</v>
      </c>
      <c r="C19" s="26">
        <f>'Financial Statements'!B18+'Financial Statements'!B79</f>
        <v>130541</v>
      </c>
      <c r="D19" s="26">
        <f>'Financial Statements'!C18+'Financial Statements'!C79</f>
        <v>120233</v>
      </c>
      <c r="E19" s="26">
        <f>'Financial Statements'!D18+'Financial Statements'!D79</f>
        <v>77344</v>
      </c>
    </row>
    <row r="20" spans="1:5" x14ac:dyDescent="0.35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</row>
    <row r="21" spans="1:5" x14ac:dyDescent="0.35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5" x14ac:dyDescent="0.35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5" x14ac:dyDescent="0.35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35">
      <c r="A27" s="18">
        <f t="shared" si="2"/>
        <v>3.3000000000000003</v>
      </c>
      <c r="B27" s="1" t="s">
        <v>119</v>
      </c>
      <c r="C27">
        <f>('Financial Statements'!B47)/('Financial Statements'!B47+'Financial Statements'!B68)</f>
        <v>0.81094089291177585</v>
      </c>
      <c r="D27">
        <f>('Financial Statements'!C47)/('Financial Statements'!C47+'Financial Statements'!C68)</f>
        <v>0.77407826510442035</v>
      </c>
      <c r="E27">
        <f>('Financial Statements'!D47)/('Financial Statements'!D47+'Financial Statements'!D68)</f>
        <v>0.73386853702843835</v>
      </c>
    </row>
    <row r="28" spans="1:5" x14ac:dyDescent="0.35">
      <c r="A28" s="18">
        <f t="shared" si="2"/>
        <v>3.4000000000000004</v>
      </c>
      <c r="B28" s="1" t="s">
        <v>120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</row>
    <row r="29" spans="1:5" x14ac:dyDescent="0.35">
      <c r="A29" s="18">
        <f t="shared" si="2"/>
        <v>3.5000000000000004</v>
      </c>
      <c r="B29" s="1" t="s">
        <v>121</v>
      </c>
      <c r="C29" s="27">
        <f>(C19-'Financial Statements'!B113)/('Financial Statements'!B114+'Financial Statements'!B59)</f>
        <v>1.0898020113136393</v>
      </c>
      <c r="D29" s="27">
        <f>(D19-'Financial Statements'!C113)/('Financial Statements'!C114+'Financial Statements'!C59)</f>
        <v>0.84842521445886598</v>
      </c>
      <c r="E29" s="27">
        <f>(E19-'Financial Statements'!D113)/('Financial Statements'!D114+'Financial Statements'!D59)</f>
        <v>0.66729288180271273</v>
      </c>
    </row>
    <row r="30" spans="1:5" x14ac:dyDescent="0.35">
      <c r="A30" s="18">
        <f t="shared" si="2"/>
        <v>3.6000000000000005</v>
      </c>
      <c r="B30" s="1" t="s">
        <v>122</v>
      </c>
      <c r="C30">
        <f>'List of Ratios'!C32/'Financial Statements'!B27</f>
        <v>6.8724256462597997E-3</v>
      </c>
      <c r="D30">
        <f>'List of Ratios'!D32/'Financial Statements'!C27</f>
        <v>5.5656239836103499E-3</v>
      </c>
      <c r="E30">
        <f>'List of Ratios'!E32/'Financial Statements'!D27</f>
        <v>4.2280138811864997E-3</v>
      </c>
    </row>
    <row r="31" spans="1:5" x14ac:dyDescent="0.35">
      <c r="A31" s="18"/>
      <c r="B31" s="3" t="s">
        <v>123</v>
      </c>
    </row>
    <row r="32" spans="1:5" x14ac:dyDescent="0.35">
      <c r="A32" s="18"/>
      <c r="B32" s="1" t="s">
        <v>150</v>
      </c>
      <c r="C32">
        <f>'Financial Statements'!B91+'Financial Statements'!B96</f>
        <v>111443</v>
      </c>
      <c r="D32">
        <f>'Financial Statements'!C91+'Financial Statements'!C96</f>
        <v>92953</v>
      </c>
      <c r="E32">
        <f>'Financial Statements'!D91+'Financial Statements'!D96</f>
        <v>73365</v>
      </c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35">
      <c r="A35" s="18">
        <f t="shared" ref="A35:A37" si="3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35">
      <c r="A36" s="18">
        <f t="shared" si="3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35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f>138.2/C41</f>
        <v>22.471544715447152</v>
      </c>
      <c r="D40">
        <f>146.92/D41</f>
        <v>25.911816578483243</v>
      </c>
      <c r="E40">
        <f>112.28/E41</f>
        <v>33.9214501510574</v>
      </c>
    </row>
    <row r="41" spans="1:5" x14ac:dyDescent="0.35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35">
      <c r="A42" s="18">
        <f t="shared" si="4"/>
        <v>5.2999999999999989</v>
      </c>
      <c r="B42" s="1" t="s">
        <v>132</v>
      </c>
      <c r="C42">
        <f>138.2/C43</f>
        <v>44226.517338964317</v>
      </c>
    </row>
    <row r="43" spans="1:5" x14ac:dyDescent="0.35">
      <c r="A43" s="18">
        <f t="shared" si="4"/>
        <v>5.3999999999999986</v>
      </c>
      <c r="B43" s="3" t="s">
        <v>133</v>
      </c>
      <c r="C43">
        <f>'Financial Statements'!B68/'Financial Statements'!B27</f>
        <v>3.124822127430853E-3</v>
      </c>
      <c r="D43">
        <f>'Financial Statements'!C68/'Financial Statements'!C27</f>
        <v>3.7775565837141027E-3</v>
      </c>
      <c r="E43">
        <f>'Financial Statements'!D68/'Financial Statements'!D27</f>
        <v>3.7654767120949319E-3</v>
      </c>
    </row>
    <row r="44" spans="1:5" x14ac:dyDescent="0.35">
      <c r="A44" s="18">
        <f t="shared" si="4"/>
        <v>5.4999999999999982</v>
      </c>
      <c r="B44" s="1" t="s">
        <v>134</v>
      </c>
      <c r="C44" s="25">
        <f>'Financial Statements'!B102/'Financial Statements'!B22*-1</f>
        <v>0.14870294480125848</v>
      </c>
      <c r="D44" s="25">
        <f>'Financial Statements'!C102/'Financial Statements'!C22*-1</f>
        <v>0.15279890156316012</v>
      </c>
      <c r="E44" s="25">
        <f>'Financial Statements'!D102/'Financial Statements'!D22*-1</f>
        <v>0.24526658654264863</v>
      </c>
    </row>
    <row r="45" spans="1:5" x14ac:dyDescent="0.35">
      <c r="A45" s="18"/>
      <c r="B45" s="3" t="s">
        <v>135</v>
      </c>
    </row>
    <row r="46" spans="1:5" x14ac:dyDescent="0.35">
      <c r="A46" s="18">
        <f>+A44+0.1</f>
        <v>5.5999999999999979</v>
      </c>
      <c r="B46" s="1" t="s">
        <v>136</v>
      </c>
    </row>
    <row r="47" spans="1:5" x14ac:dyDescent="0.35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35">
      <c r="A48" s="18">
        <f t="shared" si="5"/>
        <v>5.6999999999999975</v>
      </c>
      <c r="B48" s="1" t="s">
        <v>138</v>
      </c>
      <c r="C48" s="25">
        <f>C21/C52</f>
        <v>0.60087134570590572</v>
      </c>
      <c r="D48" s="25">
        <f t="shared" ref="D48:E48" si="6">D21/D52</f>
        <v>0.48309913489209433</v>
      </c>
      <c r="E48" s="25">
        <f t="shared" si="6"/>
        <v>0.30338312829525482</v>
      </c>
    </row>
    <row r="49" spans="1:5" x14ac:dyDescent="0.35">
      <c r="A49" s="18">
        <f t="shared" si="5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35">
      <c r="A50" s="18">
        <f t="shared" si="5"/>
        <v>5.7999999999999972</v>
      </c>
      <c r="B50" s="1" t="s">
        <v>139</v>
      </c>
      <c r="C50" s="27">
        <f>C51/C19</f>
        <v>17283.9553075279</v>
      </c>
      <c r="D50" s="27">
        <f t="shared" ref="D50:E50" si="7">D51/D19</f>
        <v>19848.244961865712</v>
      </c>
      <c r="E50" s="27">
        <f t="shared" si="7"/>
        <v>26245.962328558133</v>
      </c>
    </row>
    <row r="51" spans="1:5" x14ac:dyDescent="0.35">
      <c r="A51" s="18"/>
      <c r="B51" s="3" t="s">
        <v>140</v>
      </c>
      <c r="C51">
        <f>C53+'Financial Statements'!B60+'Financial Statements'!B55-'Financial Statements'!B36</f>
        <v>2256264809.7999997</v>
      </c>
      <c r="D51">
        <f>D53+'Financial Statements'!C60+'Financial Statements'!C55-'Financial Statements'!C36</f>
        <v>2386414036.5</v>
      </c>
      <c r="E51">
        <f>E53+'Financial Statements'!D60+'Financial Statements'!D55-'Financial Statements'!D36</f>
        <v>2029967710.3400002</v>
      </c>
    </row>
    <row r="52" spans="1:5" x14ac:dyDescent="0.35">
      <c r="B52" s="1" t="s">
        <v>151</v>
      </c>
      <c r="C52">
        <f>'Financial Statements'!B48-'Financial Statements'!B56</f>
        <v>198773</v>
      </c>
      <c r="D52">
        <f>'Financial Statements'!C48-'Financial Statements'!C56</f>
        <v>225521</v>
      </c>
      <c r="E52">
        <f>'Financial Statements'!D48-'Financial Statements'!D56</f>
        <v>218496</v>
      </c>
    </row>
    <row r="53" spans="1:5" x14ac:dyDescent="0.35">
      <c r="B53" s="1" t="s">
        <v>152</v>
      </c>
      <c r="C53">
        <f>138.2*'Financial Statements'!B28</f>
        <v>2256228185.7999997</v>
      </c>
      <c r="D53">
        <f>141.5*'Financial Statements'!C28</f>
        <v>2386386038.5</v>
      </c>
      <c r="E53">
        <f>115.81*'Financial Statements'!D28</f>
        <v>2029942463.3400002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Leonardo Zonouzi</cp:lastModifiedBy>
  <dcterms:created xsi:type="dcterms:W3CDTF">2020-05-18T16:32:37Z</dcterms:created>
  <dcterms:modified xsi:type="dcterms:W3CDTF">2023-10-13T13:07:22Z</dcterms:modified>
</cp:coreProperties>
</file>