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syoos\Downloads\"/>
    </mc:Choice>
  </mc:AlternateContent>
  <xr:revisionPtr revIDLastSave="0" documentId="8_{EA4FC020-AC48-4DF1-BB10-A27B7918F851}" xr6:coauthVersionLast="47" xr6:coauthVersionMax="47" xr10:uidLastSave="{00000000-0000-0000-0000-000000000000}"/>
  <bookViews>
    <workbookView xWindow="-108" yWindow="-108" windowWidth="23256" windowHeight="13896" activeTab="2" xr2:uid="{00000000-000D-0000-FFFF-FFFF00000000}"/>
  </bookViews>
  <sheets>
    <sheet name="Instructions" sheetId="2" r:id="rId1"/>
    <sheet name="Financial Statements" sheetId="1" r:id="rId2"/>
    <sheet name="List of Ratio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3" l="1"/>
  <c r="D50" i="3"/>
  <c r="E50" i="3"/>
  <c r="D51" i="3"/>
  <c r="E51" i="3"/>
  <c r="C51" i="3"/>
  <c r="C50" i="3" s="1"/>
  <c r="E53" i="3"/>
  <c r="D53" i="3"/>
  <c r="D49" i="3"/>
  <c r="E49" i="3"/>
  <c r="C49" i="3"/>
  <c r="D48" i="3"/>
  <c r="E48" i="3"/>
  <c r="C48" i="3"/>
  <c r="D52" i="3"/>
  <c r="E52" i="3"/>
  <c r="C52" i="3"/>
  <c r="D47" i="3"/>
  <c r="E47" i="3"/>
  <c r="C47" i="3"/>
  <c r="D44" i="3"/>
  <c r="E44" i="3"/>
  <c r="C44" i="3"/>
  <c r="C42" i="3"/>
  <c r="D43" i="3"/>
  <c r="E43" i="3"/>
  <c r="C43" i="3"/>
  <c r="E40" i="3"/>
  <c r="D40" i="3"/>
  <c r="C40" i="3"/>
  <c r="D41" i="3"/>
  <c r="E41" i="3"/>
  <c r="C41" i="3"/>
  <c r="D37" i="3"/>
  <c r="E37" i="3"/>
  <c r="C37" i="3"/>
  <c r="D36" i="3"/>
  <c r="E36" i="3"/>
  <c r="C36" i="3"/>
  <c r="C34" i="3"/>
  <c r="D35" i="3"/>
  <c r="E35" i="3"/>
  <c r="C35" i="3"/>
  <c r="D34" i="3"/>
  <c r="E34" i="3"/>
  <c r="D30" i="3"/>
  <c r="E30" i="3"/>
  <c r="C30" i="3"/>
  <c r="D32" i="3"/>
  <c r="E32" i="3"/>
  <c r="C32" i="3"/>
  <c r="D29" i="3"/>
  <c r="E29" i="3"/>
  <c r="C29" i="3"/>
  <c r="D28" i="3"/>
  <c r="E28" i="3"/>
  <c r="C28" i="3"/>
  <c r="D27" i="3"/>
  <c r="E27" i="3"/>
  <c r="C27" i="3"/>
  <c r="D26" i="3"/>
  <c r="E26" i="3"/>
  <c r="C26" i="3"/>
  <c r="D25" i="3"/>
  <c r="E25" i="3"/>
  <c r="C25" i="3"/>
  <c r="D22" i="3"/>
  <c r="E22" i="3"/>
  <c r="C22" i="3"/>
  <c r="D20" i="3"/>
  <c r="E20" i="3"/>
  <c r="C20" i="3"/>
  <c r="D21" i="3"/>
  <c r="E21" i="3"/>
  <c r="C21" i="3"/>
  <c r="D18" i="3"/>
  <c r="E18" i="3"/>
  <c r="C18" i="3"/>
  <c r="D19" i="3"/>
  <c r="E19" i="3"/>
  <c r="C19" i="3"/>
  <c r="D17" i="3"/>
  <c r="E17" i="3"/>
  <c r="C17" i="3"/>
  <c r="E13" i="3"/>
  <c r="D13" i="3"/>
  <c r="C13" i="3"/>
  <c r="D14" i="3"/>
  <c r="E14" i="3"/>
  <c r="C14" i="3"/>
  <c r="C11" i="3"/>
  <c r="C12" i="3" s="1"/>
  <c r="D11" i="3"/>
  <c r="D12" i="3" s="1"/>
  <c r="E11" i="3"/>
  <c r="E12" i="3"/>
  <c r="D10" i="3"/>
  <c r="E10" i="3"/>
  <c r="C10" i="3"/>
  <c r="D9" i="3"/>
  <c r="E9" i="3"/>
  <c r="C9" i="3"/>
  <c r="D8" i="3"/>
  <c r="E8" i="3"/>
  <c r="C8" i="3"/>
  <c r="D7" i="3"/>
  <c r="E7" i="3"/>
  <c r="C7" i="3"/>
  <c r="D6" i="3"/>
  <c r="E6" i="3"/>
  <c r="C6" i="3"/>
  <c r="D5" i="3"/>
  <c r="E5" i="3"/>
  <c r="C5" i="3"/>
  <c r="D108" i="1"/>
  <c r="C108" i="1"/>
  <c r="B108" i="1"/>
  <c r="D99" i="1"/>
  <c r="C99" i="1"/>
  <c r="B99" i="1"/>
  <c r="D68" i="1" l="1"/>
  <c r="C68" i="1"/>
  <c r="B68" i="1"/>
  <c r="D61" i="1"/>
  <c r="C61" i="1"/>
  <c r="B61" i="1"/>
  <c r="D56" i="1"/>
  <c r="C56" i="1"/>
  <c r="C62" i="1" s="1"/>
  <c r="B56" i="1"/>
  <c r="B62" i="1" s="1"/>
  <c r="D47" i="1"/>
  <c r="C47" i="1"/>
  <c r="B47" i="1"/>
  <c r="D42" i="1"/>
  <c r="C42" i="1"/>
  <c r="B42" i="1"/>
  <c r="B48" i="1" s="1"/>
  <c r="D17" i="1"/>
  <c r="C17" i="1"/>
  <c r="B17" i="1"/>
  <c r="D12" i="1"/>
  <c r="C12" i="1"/>
  <c r="B12" i="1"/>
  <c r="D8" i="1"/>
  <c r="D13" i="1" s="1"/>
  <c r="D18" i="1" s="1"/>
  <c r="D20" i="1" s="1"/>
  <c r="D22" i="1" s="1"/>
  <c r="D76" i="1" s="1"/>
  <c r="D91" i="1" s="1"/>
  <c r="D109" i="1" s="1"/>
  <c r="C8" i="1"/>
  <c r="B8" i="1"/>
  <c r="B13" i="1" s="1"/>
  <c r="E3" i="3"/>
  <c r="D3" i="3"/>
  <c r="C3" i="3"/>
  <c r="D33" i="1"/>
  <c r="D73" i="1" s="1"/>
  <c r="C33" i="1"/>
  <c r="C73" i="1" s="1"/>
  <c r="B33" i="1"/>
  <c r="B73" i="1" s="1"/>
  <c r="C13" i="1" l="1"/>
  <c r="C18" i="1" s="1"/>
  <c r="C20" i="1" s="1"/>
  <c r="C22" i="1" s="1"/>
  <c r="C76" i="1" s="1"/>
  <c r="C91" i="1" s="1"/>
  <c r="C109" i="1" s="1"/>
  <c r="B18" i="1"/>
  <c r="B20" i="1" s="1"/>
  <c r="B22" i="1" s="1"/>
  <c r="B76" i="1" s="1"/>
  <c r="B91" i="1" s="1"/>
  <c r="B109" i="1" s="1"/>
  <c r="C48" i="1"/>
  <c r="D62" i="1"/>
  <c r="D69" i="1" s="1"/>
  <c r="C69" i="1"/>
  <c r="D48" i="1"/>
  <c r="B69" i="1"/>
  <c r="A47" i="3"/>
  <c r="A49" i="3" s="1"/>
  <c r="A16" i="3"/>
  <c r="A17" i="3" s="1"/>
  <c r="A18" i="3" s="1"/>
  <c r="A20" i="3" s="1"/>
  <c r="A22" i="3" s="1"/>
  <c r="A5" i="3"/>
  <c r="A6" i="3" s="1"/>
  <c r="A7" i="3" s="1"/>
  <c r="A8" i="3" s="1"/>
  <c r="A9" i="3" s="1"/>
  <c r="A10" i="3" s="1"/>
  <c r="A11" i="3" s="1"/>
  <c r="A12" i="3" s="1"/>
  <c r="A13" i="3" s="1"/>
  <c r="A24" i="3" l="1"/>
  <c r="A25" i="3" s="1"/>
  <c r="A26" i="3" s="1"/>
  <c r="A27" i="3" s="1"/>
  <c r="A28" i="3" s="1"/>
  <c r="A29" i="3" s="1"/>
  <c r="A30" i="3" s="1"/>
  <c r="A33" i="3"/>
  <c r="A39" i="3" l="1"/>
  <c r="A40" i="3" s="1"/>
  <c r="A41" i="3" s="1"/>
  <c r="A42" i="3" s="1"/>
  <c r="A43" i="3" s="1"/>
  <c r="A44" i="3" s="1"/>
  <c r="A46" i="3" s="1"/>
  <c r="A48" i="3" s="1"/>
  <c r="A50" i="3" s="1"/>
  <c r="A34" i="3"/>
  <c r="A35" i="3" s="1"/>
  <c r="A36" i="3" s="1"/>
  <c r="A37" i="3" s="1"/>
</calcChain>
</file>

<file path=xl/sharedStrings.xml><?xml version="1.0" encoding="utf-8"?>
<sst xmlns="http://schemas.openxmlformats.org/spreadsheetml/2006/main" count="188" uniqueCount="165">
  <si>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</si>
  <si>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</si>
  <si>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</si>
  <si>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</si>
  <si>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</si>
  <si>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</si>
  <si>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</si>
  <si>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</si>
  <si>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</si>
  <si>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</si>
  <si>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</si>
  <si>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</si>
  <si>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</si>
  <si>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</si>
  <si>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</si>
  <si>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</si>
  <si>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</si>
  <si>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</si>
  <si>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</si>
  <si>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</si>
  <si>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</si>
  <si>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</si>
  <si>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</si>
  <si>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</si>
  <si>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</si>
  <si>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</si>
  <si>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</si>
  <si>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</si>
  <si>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</si>
  <si>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</si>
  <si>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</si>
  <si>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</si>
  <si>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</si>
  <si>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</si>
  <si>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</si>
  <si>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</si>
  <si>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</si>
  <si>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</si>
  <si>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</si>
  <si>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</si>
  <si>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</si>
  <si>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</si>
  <si>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</si>
  <si>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</si>
  <si>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</si>
  <si>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</si>
  <si>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</si>
  <si>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</si>
  <si>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</si>
  <si>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</si>
  <si>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</si>
  <si>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</si>
  <si>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</si>
  <si>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</si>
  <si>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</si>
  <si>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</si>
  <si>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</si>
  <si>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</si>
  <si>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</si>
  <si>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</si>
  <si>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</si>
  <si>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</si>
  <si>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</si>
  <si>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</si>
  <si>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</si>
  <si>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</si>
  <si>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</si>
  <si>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</si>
  <si>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</si>
  <si>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</si>
  <si>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</si>
  <si>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</si>
  <si>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</si>
  <si>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</si>
  <si>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</si>
  <si>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</si>
  <si>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</si>
  <si>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</si>
  <si>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</si>
  <si>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</si>
  <si>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</si>
  <si>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</si>
  <si>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</si>
  <si>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</si>
  <si>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</si>
  <si>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</si>
  <si>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</si>
  <si>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</si>
  <si>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</si>
  <si>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</si>
  <si>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</si>
  <si>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</si>
  <si>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</si>
  <si>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</si>
  <si>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</si>
  <si>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</si>
  <si>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</si>
  <si>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</si>
  <si>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</si>
  <si>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</si>
  <si>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</si>
  <si>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</si>
  <si>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</si>
  <si>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Defensive Interval</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</si>
  <si>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</si>
  <si>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</si>
  <si>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</si>
  <si>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</si>
  <si>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</si>
  <si>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</si>
  <si>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</si>
  <si>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</si>
  <si>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</si>
  <si>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</si>
  <si>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</si>
  <si>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</si>
  <si>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</si>
  <si>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</si>
  <si>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</si>
  <si>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</si>
  <si>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</si>
  <si>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</si>
  <si>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</si>
  <si>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</si>
  <si>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</si>
  <si>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</si>
  <si>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</si>
  <si>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</si>
  <si>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</si>
  <si>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</si>
  <si>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</si>
  <si>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</si>
  <si>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</si>
  <si>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</si>
  <si>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</si>
  <si>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</si>
  <si>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</si>
  <si>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</si>
  <si>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</si>
  <si>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</si>
  <si>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</si>
  <si>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</si>
  <si>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</si>
  <si>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</si>
  <si>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</si>
  <si>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</si>
  <si>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</si>
  <si>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</si>
  <si>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</si>
  <si>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</si>
  <si>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FCF</t>
  </si>
  <si>
    <t>Capital Employed</t>
  </si>
  <si>
    <t xml:space="preserve">Equity value </t>
  </si>
  <si>
    <t>Denominator should be sales revenue</t>
  </si>
  <si>
    <t>Term debt/total assets</t>
  </si>
  <si>
    <t>Term debt /(Term debt+ total shareholder equity)</t>
  </si>
  <si>
    <t>EBIT/(Interest + debt repayment), remove term debt from balance sheet, debt repayment can be found in cash flow statement</t>
  </si>
  <si>
    <t>Cash from operations - Capex + Proceeds from issuance of term debt</t>
  </si>
  <si>
    <t>Note that the three statements are in millions and the share count is in absolute value, therefore multiply the number by 1000 and denominator should be diluted number shares, not the basic shares</t>
  </si>
  <si>
    <t>Dividends paid/Diluted number of shares</t>
  </si>
  <si>
    <t>DPS/Share price</t>
  </si>
  <si>
    <t xml:space="preserve">Note that the three statements are in millions and the share count is in absolute value, therefore multiply the number by 1000 </t>
  </si>
  <si>
    <t>Remove the term debt under current liabilities</t>
  </si>
  <si>
    <t>FCFE/Diluted number of shares</t>
  </si>
  <si>
    <t>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</si>
</sst>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28">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9" fontId="0" fillId="0" borderId="0" xfId="3" applyFont="1"/>
    <xf numFmtId="164" fontId="0" fillId="0" borderId="0" xfId="1" applyFont="1"/>
    <xf numFmtId="43" fontId="0" fillId="0" borderId="0" xfId="0" applyNumberFormat="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3"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141</v>
      </c>
    </row>
    <row r="4" spans="1:1" x14ac:dyDescent="0.3">
      <c r="A4" s="16" t="s">
        <v>88</v>
      </c>
    </row>
    <row r="5" spans="1:1" x14ac:dyDescent="0.3">
      <c r="A5" s="7" t="s">
        <v>97</v>
      </c>
    </row>
    <row r="6" spans="1:1" x14ac:dyDescent="0.3">
      <c r="A6" s="1" t="s">
        <v>148</v>
      </c>
    </row>
    <row r="7" spans="1:1" x14ac:dyDescent="0.3">
      <c r="A7" s="1"/>
    </row>
    <row r="8" spans="1:1" x14ac:dyDescent="0.3">
      <c r="A8" s="17" t="s">
        <v>149</v>
      </c>
    </row>
    <row r="9" spans="1:1" x14ac:dyDescent="0.3">
      <c r="A9" s="1" t="s">
        <v>145</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146</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144</v>
      </c>
    </row>
    <row r="27" spans="1:1" x14ac:dyDescent="0.3">
      <c r="A27" s="16" t="s">
        <v>143</v>
      </c>
    </row>
    <row r="29" spans="1:1" x14ac:dyDescent="0.3">
      <c r="A29" s="7" t="s">
        <v>147</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workbookViewId="0">
      <selection activeCell="D1" sqref="D1"/>
    </sheetView>
  </sheetViews>
  <sheetFormatPr defaultRowHeight="14.4" x14ac:dyDescent="0.3"/>
  <cols>
    <col min="1" max="1" width="59" customWidth="1"/>
    <col min="2" max="3" width="11.554687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27" t="s">
        <v>1</v>
      </c>
      <c r="B2" s="27"/>
      <c r="C2" s="27"/>
      <c r="D2" s="27"/>
    </row>
    <row r="3" spans="1:10" x14ac:dyDescent="0.3">
      <c r="B3" s="26" t="s">
        <v>23</v>
      </c>
      <c r="C3" s="26"/>
      <c r="D3" s="26"/>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 t="shared" ref="C8:D8" si="0">+C6+C7</f>
        <v>365817</v>
      </c>
      <c r="D8" s="13">
        <f t="shared" si="0"/>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 t="shared" ref="C12:D12" si="1">+C10+C11</f>
        <v>212981</v>
      </c>
      <c r="D12" s="13">
        <f t="shared" si="1"/>
        <v>169559</v>
      </c>
    </row>
    <row r="13" spans="1:10" x14ac:dyDescent="0.3">
      <c r="A13" s="8" t="s">
        <v>9</v>
      </c>
      <c r="B13" s="13">
        <f>+B8-B12</f>
        <v>170782</v>
      </c>
      <c r="C13" s="13">
        <f t="shared" ref="C13:D13" si="2">+C8-C12</f>
        <v>152836</v>
      </c>
      <c r="D13" s="13">
        <f t="shared" si="2"/>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 t="shared" ref="C17" si="3">+C15+C16</f>
        <v>43887</v>
      </c>
      <c r="D17" s="13">
        <f t="shared" ref="D17" si="4">+D15+D16</f>
        <v>38668</v>
      </c>
    </row>
    <row r="18" spans="1:4" s="7" customFormat="1" x14ac:dyDescent="0.3">
      <c r="A18" s="8" t="s">
        <v>14</v>
      </c>
      <c r="B18" s="13">
        <f>+B13-B17</f>
        <v>119437</v>
      </c>
      <c r="C18" s="13">
        <f t="shared" ref="C18:D18" si="5">+C13-C17</f>
        <v>108949</v>
      </c>
      <c r="D18" s="13">
        <f t="shared" si="5"/>
        <v>66288</v>
      </c>
    </row>
    <row r="19" spans="1:4" x14ac:dyDescent="0.3">
      <c r="A19" t="s">
        <v>15</v>
      </c>
      <c r="B19" s="12">
        <v>-334</v>
      </c>
      <c r="C19" s="12">
        <v>258</v>
      </c>
      <c r="D19" s="12">
        <v>803</v>
      </c>
    </row>
    <row r="20" spans="1:4" x14ac:dyDescent="0.3">
      <c r="A20" s="8" t="s">
        <v>16</v>
      </c>
      <c r="B20" s="13">
        <f>+B18+B19</f>
        <v>119103</v>
      </c>
      <c r="C20" s="13">
        <f t="shared" ref="C20:D20" si="6">+C18+C19</f>
        <v>109207</v>
      </c>
      <c r="D20" s="13">
        <f t="shared" si="6"/>
        <v>67091</v>
      </c>
    </row>
    <row r="21" spans="1:4" x14ac:dyDescent="0.3">
      <c r="A21" t="s">
        <v>17</v>
      </c>
      <c r="B21" s="12">
        <v>19300</v>
      </c>
      <c r="C21" s="12">
        <v>14527</v>
      </c>
      <c r="D21" s="12">
        <v>9680</v>
      </c>
    </row>
    <row r="22" spans="1:4" ht="15" thickBot="1" x14ac:dyDescent="0.35">
      <c r="A22" s="9" t="s">
        <v>18</v>
      </c>
      <c r="B22" s="14">
        <f>+B20-B21</f>
        <v>99803</v>
      </c>
      <c r="C22" s="14">
        <f t="shared" ref="C22:D22" si="7">+C20-C21</f>
        <v>94680</v>
      </c>
      <c r="D22" s="14">
        <f t="shared" si="7"/>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27" t="s">
        <v>24</v>
      </c>
      <c r="B31" s="27"/>
      <c r="C31" s="27"/>
      <c r="D31" s="27"/>
    </row>
    <row r="32" spans="1:4" x14ac:dyDescent="0.3">
      <c r="B32" s="26" t="s">
        <v>142</v>
      </c>
      <c r="C32" s="26"/>
      <c r="D32" s="26"/>
    </row>
    <row r="33" spans="1:4" x14ac:dyDescent="0.3">
      <c r="B33" s="7">
        <f>+B4</f>
        <v>2022</v>
      </c>
      <c r="C33" s="7">
        <f t="shared" ref="C33:D33" si="8">+C4</f>
        <v>2021</v>
      </c>
      <c r="D33" s="7">
        <f t="shared" si="8"/>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 t="shared" ref="C42:D42" si="9">+SUM(C36:C41)</f>
        <v>134836</v>
      </c>
      <c r="D42" s="13">
        <f t="shared" si="9"/>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 t="shared" ref="C47:D47" si="10">+SUM(C44:C46)</f>
        <v>216166</v>
      </c>
      <c r="D47" s="13">
        <f t="shared" si="10"/>
        <v>180175</v>
      </c>
    </row>
    <row r="48" spans="1:4" ht="15" thickBot="1" x14ac:dyDescent="0.35">
      <c r="A48" s="9" t="s">
        <v>33</v>
      </c>
      <c r="B48" s="14">
        <f>+B42+B47</f>
        <v>352755</v>
      </c>
      <c r="C48" s="14">
        <f t="shared" ref="C48:D48" si="11">+C42+C47</f>
        <v>351002</v>
      </c>
      <c r="D48" s="14">
        <f t="shared" si="11"/>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 t="shared" ref="C56:D56" si="12">+SUM(C51:C55)</f>
        <v>125481</v>
      </c>
      <c r="D56" s="13">
        <f t="shared" si="12"/>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 t="shared" ref="C61:D61" si="13">+C59+C60</f>
        <v>162431</v>
      </c>
      <c r="D61" s="21">
        <f t="shared" si="13"/>
        <v>153157</v>
      </c>
    </row>
    <row r="62" spans="1:4" x14ac:dyDescent="0.3">
      <c r="A62" s="8" t="s">
        <v>41</v>
      </c>
      <c r="B62" s="13">
        <f>+B56+B61</f>
        <v>302083</v>
      </c>
      <c r="C62" s="13">
        <f t="shared" ref="C62:D62" si="14">+C56+C61</f>
        <v>287912</v>
      </c>
      <c r="D62" s="13">
        <f t="shared" si="14"/>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 t="shared" ref="C68:D68" si="15">+SUM(C65:C67)</f>
        <v>63090</v>
      </c>
      <c r="D68" s="13">
        <f t="shared" si="15"/>
        <v>65339</v>
      </c>
    </row>
    <row r="69" spans="1:4" ht="15" thickBot="1" x14ac:dyDescent="0.35">
      <c r="A69" s="9" t="s">
        <v>46</v>
      </c>
      <c r="B69" s="14">
        <f>+B68+B62</f>
        <v>352755</v>
      </c>
      <c r="C69" s="14">
        <f t="shared" ref="C69:D69" si="16">+C68+C62</f>
        <v>351002</v>
      </c>
      <c r="D69" s="14">
        <f t="shared" si="16"/>
        <v>323888</v>
      </c>
    </row>
    <row r="70" spans="1:4" ht="15" thickTop="1" x14ac:dyDescent="0.3"/>
    <row r="71" spans="1:4" x14ac:dyDescent="0.3">
      <c r="A71" s="27" t="s">
        <v>55</v>
      </c>
      <c r="B71" s="27"/>
      <c r="C71" s="27"/>
      <c r="D71" s="27"/>
    </row>
    <row r="72" spans="1:4" x14ac:dyDescent="0.3">
      <c r="B72" s="26" t="s">
        <v>23</v>
      </c>
      <c r="C72" s="26"/>
      <c r="D72" s="26"/>
    </row>
    <row r="73" spans="1:4" x14ac:dyDescent="0.3">
      <c r="B73" s="7">
        <f>+B33</f>
        <v>2022</v>
      </c>
      <c r="C73" s="7">
        <f t="shared" ref="C73:D73" si="17">+C33</f>
        <v>2021</v>
      </c>
      <c r="D73" s="7">
        <f t="shared" si="17"/>
        <v>2020</v>
      </c>
    </row>
    <row r="75" spans="1:4" x14ac:dyDescent="0.3">
      <c r="A75" s="7" t="s">
        <v>56</v>
      </c>
      <c r="B75" s="15"/>
      <c r="C75" s="15"/>
      <c r="D75" s="15"/>
    </row>
    <row r="76" spans="1:4" x14ac:dyDescent="0.3">
      <c r="A76" t="s">
        <v>57</v>
      </c>
      <c r="B76" s="12">
        <f>+B22</f>
        <v>99803</v>
      </c>
      <c r="C76" s="12">
        <f t="shared" ref="C76:D76" si="18">+C22</f>
        <v>94680</v>
      </c>
      <c r="D76" s="12">
        <f t="shared" si="18"/>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 t="shared" ref="C91:D91" si="19">+SUM(C76:C90)</f>
        <v>104038</v>
      </c>
      <c r="D91" s="13">
        <f t="shared" si="19"/>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 t="shared" ref="C99:D99" si="20">+SUM(C93:C98)</f>
        <v>-14545</v>
      </c>
      <c r="D99" s="13">
        <f t="shared" si="20"/>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 t="shared" ref="C108:D108" si="21">+SUM(C101:C107)</f>
        <v>-93353</v>
      </c>
      <c r="D108" s="13">
        <f t="shared" si="21"/>
        <v>-86820</v>
      </c>
    </row>
    <row r="109" spans="1:4" x14ac:dyDescent="0.3">
      <c r="A109" s="8" t="s">
        <v>78</v>
      </c>
      <c r="B109" s="13">
        <f>+B91+B99+B108</f>
        <v>-10952</v>
      </c>
      <c r="C109" s="13">
        <f t="shared" ref="C109:D109" si="22">+C91+C99+C108</f>
        <v>-3860</v>
      </c>
      <c r="D109" s="13">
        <f t="shared" si="22"/>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3"/>
  <sheetViews>
    <sheetView tabSelected="1" workbookViewId="0">
      <selection activeCell="F2" sqref="F2"/>
    </sheetView>
  </sheetViews>
  <sheetFormatPr defaultRowHeight="14.4" x14ac:dyDescent="0.3"/>
  <cols>
    <col min="1" max="1" width="4.6640625" customWidth="1"/>
    <col min="2" max="2" width="44.88671875" customWidth="1"/>
    <col min="3" max="4" width="16.109375" bestFit="1" customWidth="1"/>
    <col min="5" max="5" width="16.21875" bestFit="1" customWidth="1"/>
    <col min="6" max="6" width="26" customWidth="1"/>
  </cols>
  <sheetData>
    <row r="1" spans="1:10" ht="60" customHeight="1" x14ac:dyDescent="0.5">
      <c r="A1" s="6"/>
      <c r="B1" s="20" t="s">
        <v>0</v>
      </c>
      <c r="C1" s="19"/>
      <c r="D1" s="19"/>
      <c r="E1" s="19"/>
      <c r="F1" s="19" t="s">
        <v>164</v>
      </c>
      <c r="G1" s="19"/>
      <c r="H1" s="19"/>
      <c r="I1" s="19"/>
      <c r="J1" s="19"/>
    </row>
    <row r="2" spans="1:10" x14ac:dyDescent="0.3">
      <c r="C2" s="26" t="s">
        <v>23</v>
      </c>
      <c r="D2" s="26"/>
      <c r="E2" s="26"/>
    </row>
    <row r="3" spans="1:10" x14ac:dyDescent="0.3">
      <c r="C3" s="7">
        <f>+'Financial Statements'!B4</f>
        <v>2022</v>
      </c>
      <c r="D3" s="7">
        <f>+'Financial Statements'!C4</f>
        <v>2021</v>
      </c>
      <c r="E3" s="7">
        <f>+'Financial Statements'!D4</f>
        <v>2020</v>
      </c>
    </row>
    <row r="4" spans="1:10" x14ac:dyDescent="0.3">
      <c r="A4" s="18">
        <v>1</v>
      </c>
      <c r="B4" s="7" t="s">
        <v>99</v>
      </c>
    </row>
    <row r="5" spans="1:10" x14ac:dyDescent="0.3">
      <c r="A5" s="18">
        <f>+A4+0.1</f>
        <v>1.1000000000000001</v>
      </c>
      <c r="B5" s="1" t="s">
        <v>100</v>
      </c>
      <c r="C5" s="24">
        <f>'Financial Statements'!B42/'Financial Statements'!B56</f>
        <v>0.87935602862672257</v>
      </c>
      <c r="D5" s="24">
        <f>'Financial Statements'!C42/'Financial Statements'!C56</f>
        <v>1.0745531195957954</v>
      </c>
      <c r="E5" s="24">
        <f>'Financial Statements'!D42/'Financial Statements'!D56</f>
        <v>1.3636044481554577</v>
      </c>
    </row>
    <row r="6" spans="1:10" x14ac:dyDescent="0.3">
      <c r="A6" s="18">
        <f t="shared" ref="A6:A13" si="0">+A5+0.1</f>
        <v>1.2000000000000002</v>
      </c>
      <c r="B6" s="1" t="s">
        <v>101</v>
      </c>
      <c r="C6" s="24">
        <f>('Financial Statements'!B36+'Financial Statements'!B37+'Financial Statements'!B38)/'Financial Statements'!B56</f>
        <v>0.49673338442155579</v>
      </c>
      <c r="D6" s="24">
        <f>('Financial Statements'!C36+'Financial Statements'!C37+'Financial Statements'!C38)/'Financial Statements'!C56</f>
        <v>0.70860927152317876</v>
      </c>
      <c r="E6" s="24">
        <f>('Financial Statements'!D36+'Financial Statements'!D37+'Financial Statements'!D38)/'Financial Statements'!D56</f>
        <v>1.0158550933657204</v>
      </c>
    </row>
    <row r="7" spans="1:10" x14ac:dyDescent="0.3">
      <c r="A7" s="18">
        <f t="shared" si="0"/>
        <v>1.3000000000000003</v>
      </c>
      <c r="B7" s="1" t="s">
        <v>102</v>
      </c>
      <c r="C7" s="24">
        <f>'Financial Statements'!B36/'Financial Statements'!B56</f>
        <v>0.15356340351469652</v>
      </c>
      <c r="D7" s="24">
        <f>'Financial Statements'!C36/'Financial Statements'!C56</f>
        <v>0.27844853005634318</v>
      </c>
      <c r="E7" s="24">
        <f>'Financial Statements'!D36/'Financial Statements'!D56</f>
        <v>0.36071049035979963</v>
      </c>
    </row>
    <row r="8" spans="1:10" x14ac:dyDescent="0.3">
      <c r="A8" s="18">
        <f t="shared" si="0"/>
        <v>1.4000000000000004</v>
      </c>
      <c r="B8" s="1" t="s">
        <v>103</v>
      </c>
      <c r="C8" s="24">
        <f>(('Financial Statements'!B42)/(('Financial Statements'!B17-'Financial Statements'!B79)/365))</f>
        <v>1228.1708953554833</v>
      </c>
      <c r="D8" s="24">
        <f>(('Financial Statements'!C42)/(('Financial Statements'!C17-'Financial Statements'!C79)/365))</f>
        <v>1509.5279575499187</v>
      </c>
      <c r="E8" s="24">
        <f>(('Financial Statements'!D42)/(('Financial Statements'!D17-'Financial Statements'!D79)/365))</f>
        <v>1899.7263870780819</v>
      </c>
    </row>
    <row r="9" spans="1:10" x14ac:dyDescent="0.3">
      <c r="A9" s="18">
        <f t="shared" si="0"/>
        <v>1.5000000000000004</v>
      </c>
      <c r="B9" s="1" t="s">
        <v>104</v>
      </c>
      <c r="C9" s="24">
        <f>('Financial Statements'!B39/'Financial Statements'!B12)*365</f>
        <v>8.0756980666171607</v>
      </c>
      <c r="D9" s="24">
        <f>('Financial Statements'!C39/'Financial Statements'!C12)*365</f>
        <v>11.27659274770989</v>
      </c>
      <c r="E9" s="24">
        <f>('Financial Statements'!D39/'Financial Statements'!D12)*365</f>
        <v>8.7418833562358831</v>
      </c>
    </row>
    <row r="10" spans="1:10" x14ac:dyDescent="0.3">
      <c r="A10" s="18">
        <f t="shared" si="0"/>
        <v>1.6000000000000005</v>
      </c>
      <c r="B10" s="1" t="s">
        <v>105</v>
      </c>
      <c r="C10" s="24">
        <f>('Financial Statements'!B51/'Financial Statements'!B12)*365</f>
        <v>104.68527730310539</v>
      </c>
      <c r="D10" s="24">
        <f>('Financial Statements'!C51/'Financial Statements'!C12)*365</f>
        <v>93.851071222315596</v>
      </c>
      <c r="E10" s="24">
        <f>('Financial Statements'!D51/'Financial Statements'!D12)*365</f>
        <v>91.048189715674198</v>
      </c>
    </row>
    <row r="11" spans="1:10" x14ac:dyDescent="0.3">
      <c r="A11" s="18">
        <f t="shared" si="0"/>
        <v>1.7000000000000006</v>
      </c>
      <c r="B11" s="1" t="s">
        <v>106</v>
      </c>
      <c r="C11" s="24">
        <f>('Financial Statements'!B38/'Financial Statements'!B12)*365</f>
        <v>46.018090236461397</v>
      </c>
      <c r="D11" s="24">
        <f>('Financial Statements'!C38/'Financial Statements'!C12)*365</f>
        <v>45.034392739258436</v>
      </c>
      <c r="E11" s="24">
        <f>('Financial Statements'!D38/'Financial Statements'!D12)*365</f>
        <v>34.700605688875257</v>
      </c>
      <c r="F11" t="s">
        <v>153</v>
      </c>
    </row>
    <row r="12" spans="1:10" x14ac:dyDescent="0.3">
      <c r="A12" s="18">
        <f t="shared" si="0"/>
        <v>1.8000000000000007</v>
      </c>
      <c r="B12" s="1" t="s">
        <v>107</v>
      </c>
      <c r="C12" s="24">
        <f>C11+C9-C10</f>
        <v>-50.59148900002684</v>
      </c>
      <c r="D12" s="24">
        <f t="shared" ref="D12:E12" si="1">D11+D9-D10</f>
        <v>-37.540085735347269</v>
      </c>
      <c r="E12" s="24">
        <f t="shared" si="1"/>
        <v>-47.60570067056306</v>
      </c>
    </row>
    <row r="13" spans="1:10" x14ac:dyDescent="0.3">
      <c r="A13" s="18">
        <f t="shared" si="0"/>
        <v>1.9000000000000008</v>
      </c>
      <c r="B13" s="1" t="s">
        <v>108</v>
      </c>
      <c r="C13" s="23">
        <f>('List of Ratios'!C14/'Financial Statements'!B8)</f>
        <v>-4.711052727678481E-2</v>
      </c>
      <c r="D13" s="23">
        <f>('List of Ratios'!D14/'Financial Statements'!C8)</f>
        <v>2.557289573748623E-2</v>
      </c>
      <c r="E13" s="23">
        <f>('List of Ratios'!E14/'Financial Statements'!D8)</f>
        <v>0.13959528623208203</v>
      </c>
    </row>
    <row r="14" spans="1:10" x14ac:dyDescent="0.3">
      <c r="A14" s="18"/>
      <c r="B14" s="3" t="s">
        <v>109</v>
      </c>
      <c r="C14">
        <f>'Financial Statements'!B42-'Financial Statements'!B56</f>
        <v>-18577</v>
      </c>
      <c r="D14">
        <f>'Financial Statements'!C42-'Financial Statements'!C56</f>
        <v>9355</v>
      </c>
      <c r="E14">
        <f>'Financial Statements'!D42-'Financial Statements'!D56</f>
        <v>38321</v>
      </c>
    </row>
    <row r="15" spans="1:10" x14ac:dyDescent="0.3">
      <c r="A15" s="18"/>
    </row>
    <row r="16" spans="1:10" x14ac:dyDescent="0.3">
      <c r="A16" s="18">
        <f>+A4+1</f>
        <v>2</v>
      </c>
      <c r="B16" s="17" t="s">
        <v>110</v>
      </c>
    </row>
    <row r="17" spans="1:6" x14ac:dyDescent="0.3">
      <c r="A17" s="18">
        <f>+A16+0.1</f>
        <v>2.1</v>
      </c>
      <c r="B17" s="1" t="s">
        <v>9</v>
      </c>
      <c r="C17" s="23">
        <f>('Financial Statements'!B8-'Financial Statements'!B12)/'Financial Statements'!B8</f>
        <v>0.43309630561360085</v>
      </c>
      <c r="D17" s="23">
        <f>('Financial Statements'!C8-'Financial Statements'!C12)/'Financial Statements'!C8</f>
        <v>0.41779359625167778</v>
      </c>
      <c r="E17" s="23">
        <f>('Financial Statements'!D8-'Financial Statements'!D12)/'Financial Statements'!D8</f>
        <v>0.38233247727810865</v>
      </c>
    </row>
    <row r="18" spans="1:6" x14ac:dyDescent="0.3">
      <c r="A18" s="18">
        <f>+A17+0.1</f>
        <v>2.2000000000000002</v>
      </c>
      <c r="B18" s="1" t="s">
        <v>111</v>
      </c>
      <c r="C18" s="23">
        <f>C19/'Financial Statements'!B8</f>
        <v>0.3310467428130896</v>
      </c>
      <c r="D18" s="23">
        <f>D19/'Financial Statements'!C8</f>
        <v>0.32866979938056462</v>
      </c>
      <c r="E18" s="23">
        <f>E19/'Financial Statements'!D8</f>
        <v>0.2817478097736007</v>
      </c>
    </row>
    <row r="19" spans="1:6" x14ac:dyDescent="0.3">
      <c r="A19" s="18"/>
      <c r="B19" s="3" t="s">
        <v>112</v>
      </c>
      <c r="C19" s="24">
        <f>'Financial Statements'!B18+'Financial Statements'!B79</f>
        <v>130541</v>
      </c>
      <c r="D19" s="24">
        <f>'Financial Statements'!C18+'Financial Statements'!C79</f>
        <v>120233</v>
      </c>
      <c r="E19" s="24">
        <f>'Financial Statements'!D18+'Financial Statements'!D79</f>
        <v>77344</v>
      </c>
    </row>
    <row r="20" spans="1:6" x14ac:dyDescent="0.3">
      <c r="A20" s="18">
        <f>+A18+0.1</f>
        <v>2.3000000000000003</v>
      </c>
      <c r="B20" s="1" t="s">
        <v>113</v>
      </c>
      <c r="C20" s="23">
        <f>C21/'Financial Statements'!B8</f>
        <v>0.30288744395528594</v>
      </c>
      <c r="D20" s="23">
        <f>D21/'Financial Statements'!C8</f>
        <v>0.29782377527561593</v>
      </c>
      <c r="E20" s="23">
        <f>E21/'Financial Statements'!D8</f>
        <v>0.24147314354406862</v>
      </c>
    </row>
    <row r="21" spans="1:6" x14ac:dyDescent="0.3">
      <c r="A21" s="18"/>
      <c r="B21" s="3" t="s">
        <v>114</v>
      </c>
      <c r="C21">
        <f>'Financial Statements'!B8-'Financial Statements'!B12-'Financial Statements'!B17</f>
        <v>119437</v>
      </c>
      <c r="D21">
        <f>'Financial Statements'!C8-'Financial Statements'!C12-'Financial Statements'!C17</f>
        <v>108949</v>
      </c>
      <c r="E21">
        <f>'Financial Statements'!D8-'Financial Statements'!D12-'Financial Statements'!D17</f>
        <v>66288</v>
      </c>
    </row>
    <row r="22" spans="1:6" x14ac:dyDescent="0.3">
      <c r="A22" s="18">
        <f>+A20+0.1</f>
        <v>2.4000000000000004</v>
      </c>
      <c r="B22" s="1" t="s">
        <v>115</v>
      </c>
      <c r="C22" s="23">
        <f>'Financial Statements'!B22/'Financial Statements'!B8</f>
        <v>0.25309640705199732</v>
      </c>
      <c r="D22" s="23">
        <f>'Financial Statements'!C22/'Financial Statements'!C8</f>
        <v>0.25881793355694238</v>
      </c>
      <c r="E22" s="23">
        <f>'Financial Statements'!D22/'Financial Statements'!D8</f>
        <v>0.20913611278072236</v>
      </c>
    </row>
    <row r="23" spans="1:6" x14ac:dyDescent="0.3">
      <c r="A23" s="18"/>
    </row>
    <row r="24" spans="1:6" x14ac:dyDescent="0.3">
      <c r="A24" s="18">
        <f>+A16+1</f>
        <v>3</v>
      </c>
      <c r="B24" s="7" t="s">
        <v>116</v>
      </c>
    </row>
    <row r="25" spans="1:6" x14ac:dyDescent="0.3">
      <c r="A25" s="18">
        <f>+A24+0.1</f>
        <v>3.1</v>
      </c>
      <c r="B25" s="1" t="s">
        <v>117</v>
      </c>
      <c r="C25" s="24">
        <f>('Financial Statements'!B55+'Financial Statements'!B59)/'Financial Statements'!B68</f>
        <v>2.1725410483107042</v>
      </c>
      <c r="D25" s="24">
        <f>('Financial Statements'!C55+'Financial Statements'!C59)/'Financial Statements'!C68</f>
        <v>1.8817403708987162</v>
      </c>
      <c r="E25" s="24">
        <f>('Financial Statements'!D55+'Financial Statements'!D59)/'Financial Statements'!D68</f>
        <v>1.6443471739696047</v>
      </c>
      <c r="F25" t="s">
        <v>162</v>
      </c>
    </row>
    <row r="26" spans="1:6" x14ac:dyDescent="0.3">
      <c r="A26" s="18">
        <f t="shared" ref="A26:A30" si="2">+A25+0.1</f>
        <v>3.2</v>
      </c>
      <c r="B26" s="1" t="s">
        <v>118</v>
      </c>
      <c r="C26" s="24">
        <f>'Financial Statements'!B62/'Financial Statements'!B48</f>
        <v>0.85635355983614692</v>
      </c>
      <c r="D26" s="24">
        <f>'Financial Statements'!C62/'Financial Statements'!C48</f>
        <v>0.82025743443057308</v>
      </c>
      <c r="E26" s="24">
        <f>'Financial Statements'!D62/'Financial Statements'!D48</f>
        <v>0.79826668477992391</v>
      </c>
      <c r="F26" t="s">
        <v>154</v>
      </c>
    </row>
    <row r="27" spans="1:6" x14ac:dyDescent="0.3">
      <c r="A27" s="18">
        <f t="shared" si="2"/>
        <v>3.3000000000000003</v>
      </c>
      <c r="B27" s="1" t="s">
        <v>119</v>
      </c>
      <c r="C27" s="24">
        <f>('Financial Statements'!B47)/('Financial Statements'!B47+'Financial Statements'!B68)</f>
        <v>0.81094089291177585</v>
      </c>
      <c r="D27" s="24">
        <f>('Financial Statements'!C47)/('Financial Statements'!C47+'Financial Statements'!C68)</f>
        <v>0.77407826510442035</v>
      </c>
      <c r="E27" s="24">
        <f>('Financial Statements'!D47)/('Financial Statements'!D47+'Financial Statements'!D68)</f>
        <v>0.73386853702843835</v>
      </c>
      <c r="F27" t="s">
        <v>155</v>
      </c>
    </row>
    <row r="28" spans="1:6" x14ac:dyDescent="0.3">
      <c r="A28" s="18">
        <f t="shared" si="2"/>
        <v>3.4000000000000004</v>
      </c>
      <c r="B28" s="1" t="s">
        <v>120</v>
      </c>
      <c r="C28" s="24">
        <f>C21/'Financial Statements'!B114</f>
        <v>41.68830715532286</v>
      </c>
      <c r="D28" s="24">
        <f>D21/'Financial Statements'!C114</f>
        <v>40.546706363974693</v>
      </c>
      <c r="E28" s="24">
        <f>E21/'Financial Statements'!D114</f>
        <v>22.081279147235175</v>
      </c>
    </row>
    <row r="29" spans="1:6" x14ac:dyDescent="0.3">
      <c r="A29" s="18">
        <f t="shared" si="2"/>
        <v>3.5000000000000004</v>
      </c>
      <c r="B29" s="1" t="s">
        <v>121</v>
      </c>
      <c r="C29" s="24">
        <f>(C19-'Financial Statements'!B113)/('Financial Statements'!B114+'Financial Statements'!B59)</f>
        <v>1.0898020113136393</v>
      </c>
      <c r="D29" s="24">
        <f>(D19-'Financial Statements'!C113)/('Financial Statements'!C114+'Financial Statements'!C59)</f>
        <v>0.84842521445886598</v>
      </c>
      <c r="E29" s="24">
        <f>(E19-'Financial Statements'!D113)/('Financial Statements'!D114+'Financial Statements'!D59)</f>
        <v>0.66729288180271273</v>
      </c>
      <c r="F29" t="s">
        <v>156</v>
      </c>
    </row>
    <row r="30" spans="1:6" x14ac:dyDescent="0.3">
      <c r="A30" s="18">
        <f t="shared" si="2"/>
        <v>3.6000000000000005</v>
      </c>
      <c r="B30" s="1" t="s">
        <v>122</v>
      </c>
      <c r="C30" s="24">
        <f>'List of Ratios'!C32/'Financial Statements'!B27</f>
        <v>6.8724256462597997E-3</v>
      </c>
      <c r="D30" s="24">
        <f>'List of Ratios'!D32/'Financial Statements'!C27</f>
        <v>5.5656239836103499E-3</v>
      </c>
      <c r="E30" s="24">
        <f>'List of Ratios'!E32/'Financial Statements'!D27</f>
        <v>4.2280138811864997E-3</v>
      </c>
    </row>
    <row r="31" spans="1:6" x14ac:dyDescent="0.3">
      <c r="A31" s="18"/>
      <c r="B31" s="3" t="s">
        <v>123</v>
      </c>
      <c r="C31" s="24"/>
      <c r="D31" s="24"/>
      <c r="E31" s="24"/>
      <c r="F31" t="s">
        <v>163</v>
      </c>
    </row>
    <row r="32" spans="1:6" x14ac:dyDescent="0.3">
      <c r="A32" s="18"/>
      <c r="B32" s="1" t="s">
        <v>150</v>
      </c>
      <c r="C32" s="24">
        <f>'Financial Statements'!B91+'Financial Statements'!B96</f>
        <v>111443</v>
      </c>
      <c r="D32" s="24">
        <f>'Financial Statements'!C91+'Financial Statements'!C96</f>
        <v>92953</v>
      </c>
      <c r="E32" s="24">
        <f>'Financial Statements'!D91+'Financial Statements'!D96</f>
        <v>73365</v>
      </c>
      <c r="F32" t="s">
        <v>157</v>
      </c>
    </row>
    <row r="33" spans="1:6" x14ac:dyDescent="0.3">
      <c r="A33" s="18">
        <f>+A24+1</f>
        <v>4</v>
      </c>
      <c r="B33" s="17" t="s">
        <v>124</v>
      </c>
    </row>
    <row r="34" spans="1:6" x14ac:dyDescent="0.3">
      <c r="A34" s="18">
        <f>+A33+0.1</f>
        <v>4.0999999999999996</v>
      </c>
      <c r="B34" s="1" t="s">
        <v>125</v>
      </c>
      <c r="C34" s="24">
        <f>'Financial Statements'!B8/'Financial Statements'!B48</f>
        <v>1.1178523337727317</v>
      </c>
      <c r="D34" s="24">
        <f>'Financial Statements'!C8/'Financial Statements'!C48</f>
        <v>1.0422077367080529</v>
      </c>
      <c r="E34" s="24">
        <f>'Financial Statements'!D8/'Financial Statements'!D48</f>
        <v>0.84756150274168851</v>
      </c>
    </row>
    <row r="35" spans="1:6" x14ac:dyDescent="0.3">
      <c r="A35" s="18">
        <f t="shared" ref="A35:A37" si="3">+A34+0.1</f>
        <v>4.1999999999999993</v>
      </c>
      <c r="B35" s="1" t="s">
        <v>126</v>
      </c>
      <c r="C35" s="24">
        <f>'Financial Statements'!B8/'Financial Statements'!B45</f>
        <v>9.3626801529073767</v>
      </c>
      <c r="D35" s="24">
        <f>'Financial Statements'!C8/'Financial Statements'!C45</f>
        <v>9.2752789046653152</v>
      </c>
      <c r="E35" s="24">
        <f>'Financial Statements'!D8/'Financial Statements'!D45</f>
        <v>7.4665451776097482</v>
      </c>
    </row>
    <row r="36" spans="1:6" x14ac:dyDescent="0.3">
      <c r="A36" s="18">
        <f t="shared" si="3"/>
        <v>4.2999999999999989</v>
      </c>
      <c r="B36" s="1" t="s">
        <v>127</v>
      </c>
      <c r="C36" s="24">
        <f>'Financial Statements'!B12/'Financial Statements'!B39</f>
        <v>45.197331176708452</v>
      </c>
      <c r="D36" s="24">
        <f>'Financial Statements'!C12/'Financial Statements'!C39</f>
        <v>32.367933130699086</v>
      </c>
      <c r="E36" s="24">
        <f>'Financial Statements'!D12/'Financial Statements'!D39</f>
        <v>41.753016498399411</v>
      </c>
    </row>
    <row r="37" spans="1:6" x14ac:dyDescent="0.3">
      <c r="A37" s="18">
        <f t="shared" si="3"/>
        <v>4.3999999999999986</v>
      </c>
      <c r="B37" s="1" t="s">
        <v>128</v>
      </c>
      <c r="C37" s="23">
        <f>'Financial Statements'!B22/'Financial Statements'!B48</f>
        <v>0.28292440929256851</v>
      </c>
      <c r="D37" s="23">
        <f>'Financial Statements'!C22/'Financial Statements'!C48</f>
        <v>0.26974205275183616</v>
      </c>
      <c r="E37" s="23">
        <f>'Financial Statements'!D22/'Financial Statements'!D48</f>
        <v>0.1772557180259843</v>
      </c>
    </row>
    <row r="38" spans="1:6" x14ac:dyDescent="0.3">
      <c r="A38" s="18"/>
    </row>
    <row r="39" spans="1:6" x14ac:dyDescent="0.3">
      <c r="A39" s="18">
        <f>+A33+1</f>
        <v>5</v>
      </c>
      <c r="B39" s="17" t="s">
        <v>129</v>
      </c>
    </row>
    <row r="40" spans="1:6" x14ac:dyDescent="0.3">
      <c r="A40" s="18">
        <f>+A39+0.1</f>
        <v>5.0999999999999996</v>
      </c>
      <c r="B40" s="1" t="s">
        <v>130</v>
      </c>
      <c r="C40">
        <f>138.2/C41</f>
        <v>22.471544715447152</v>
      </c>
      <c r="D40">
        <f>146.92/D41</f>
        <v>25.911816578483243</v>
      </c>
      <c r="E40">
        <f>112.28/E41</f>
        <v>33.9214501510574</v>
      </c>
    </row>
    <row r="41" spans="1:6" x14ac:dyDescent="0.3">
      <c r="A41" s="18">
        <f t="shared" ref="A41:A44" si="4">+A40+0.1</f>
        <v>5.1999999999999993</v>
      </c>
      <c r="B41" s="3" t="s">
        <v>131</v>
      </c>
      <c r="C41">
        <f>'Financial Statements'!B24</f>
        <v>6.15</v>
      </c>
      <c r="D41">
        <f>'Financial Statements'!C24</f>
        <v>5.67</v>
      </c>
      <c r="E41">
        <f>'Financial Statements'!D24</f>
        <v>3.31</v>
      </c>
    </row>
    <row r="42" spans="1:6" x14ac:dyDescent="0.3">
      <c r="A42" s="18">
        <f t="shared" si="4"/>
        <v>5.2999999999999989</v>
      </c>
      <c r="B42" s="1" t="s">
        <v>132</v>
      </c>
      <c r="C42">
        <f>138.2/C43</f>
        <v>44226.517338964317</v>
      </c>
    </row>
    <row r="43" spans="1:6" x14ac:dyDescent="0.3">
      <c r="A43" s="18">
        <f t="shared" si="4"/>
        <v>5.3999999999999986</v>
      </c>
      <c r="B43" s="3" t="s">
        <v>133</v>
      </c>
      <c r="C43">
        <f>'Financial Statements'!B68/'Financial Statements'!B27</f>
        <v>3.124822127430853E-3</v>
      </c>
      <c r="D43">
        <f>'Financial Statements'!C68/'Financial Statements'!C27</f>
        <v>3.7775565837141027E-3</v>
      </c>
      <c r="E43">
        <f>'Financial Statements'!D68/'Financial Statements'!D27</f>
        <v>3.7654767120949319E-3</v>
      </c>
      <c r="F43" t="s">
        <v>158</v>
      </c>
    </row>
    <row r="44" spans="1:6" x14ac:dyDescent="0.3">
      <c r="A44" s="18">
        <f t="shared" si="4"/>
        <v>5.4999999999999982</v>
      </c>
      <c r="B44" s="1" t="s">
        <v>134</v>
      </c>
      <c r="C44" s="23">
        <f>'Financial Statements'!B102/'Financial Statements'!B22*-1</f>
        <v>0.14870294480125848</v>
      </c>
      <c r="D44" s="23">
        <f>'Financial Statements'!C102/'Financial Statements'!C22*-1</f>
        <v>0.15279890156316012</v>
      </c>
      <c r="E44" s="23">
        <f>'Financial Statements'!D102/'Financial Statements'!D22*-1</f>
        <v>0.24526658654264863</v>
      </c>
    </row>
    <row r="45" spans="1:6" x14ac:dyDescent="0.3">
      <c r="A45" s="18"/>
      <c r="B45" s="3" t="s">
        <v>135</v>
      </c>
      <c r="F45" t="s">
        <v>159</v>
      </c>
    </row>
    <row r="46" spans="1:6" x14ac:dyDescent="0.3">
      <c r="A46" s="18">
        <f>+A44+0.1</f>
        <v>5.5999999999999979</v>
      </c>
      <c r="B46" s="1" t="s">
        <v>136</v>
      </c>
      <c r="F46" t="s">
        <v>160</v>
      </c>
    </row>
    <row r="47" spans="1:6" x14ac:dyDescent="0.3">
      <c r="A47" s="18">
        <f t="shared" ref="A47:A50" si="5">+A45+0.1</f>
        <v>0.1</v>
      </c>
      <c r="B47" s="1" t="s">
        <v>137</v>
      </c>
      <c r="C47" s="24">
        <f>'Financial Statements'!B22/'Financial Statements'!B68</f>
        <v>1.9695887275023682</v>
      </c>
      <c r="D47" s="24">
        <f>'Financial Statements'!C22/'Financial Statements'!C68</f>
        <v>1.5007132667617689</v>
      </c>
      <c r="E47" s="24">
        <f>'Financial Statements'!D22/'Financial Statements'!D68</f>
        <v>0.87866358530127486</v>
      </c>
    </row>
    <row r="48" spans="1:6" x14ac:dyDescent="0.3">
      <c r="A48" s="18">
        <f t="shared" si="5"/>
        <v>5.6999999999999975</v>
      </c>
      <c r="B48" s="1" t="s">
        <v>138</v>
      </c>
      <c r="C48" s="23">
        <f>C21/C52</f>
        <v>0.60087134570590572</v>
      </c>
      <c r="D48" s="23">
        <f t="shared" ref="D48:E48" si="6">D21/D52</f>
        <v>0.48309913489209433</v>
      </c>
      <c r="E48" s="23">
        <f t="shared" si="6"/>
        <v>0.30338312829525482</v>
      </c>
    </row>
    <row r="49" spans="1:6" x14ac:dyDescent="0.3">
      <c r="A49" s="18">
        <f t="shared" si="5"/>
        <v>0.2</v>
      </c>
      <c r="B49" s="1" t="s">
        <v>128</v>
      </c>
      <c r="C49" s="23">
        <f>'Financial Statements'!B22/'Financial Statements'!B48</f>
        <v>0.28292440929256851</v>
      </c>
      <c r="D49" s="23">
        <f>'Financial Statements'!C22/'Financial Statements'!C48</f>
        <v>0.26974205275183616</v>
      </c>
      <c r="E49" s="23">
        <f>'Financial Statements'!D22/'Financial Statements'!D48</f>
        <v>0.1772557180259843</v>
      </c>
    </row>
    <row r="50" spans="1:6" x14ac:dyDescent="0.3">
      <c r="A50" s="18">
        <f t="shared" si="5"/>
        <v>5.7999999999999972</v>
      </c>
      <c r="B50" s="1" t="s">
        <v>139</v>
      </c>
      <c r="C50" s="25">
        <f>C51/C19</f>
        <v>17283.9553075279</v>
      </c>
      <c r="D50" s="25">
        <f t="shared" ref="D50:E50" si="7">D51/D19</f>
        <v>19848.244961865712</v>
      </c>
      <c r="E50" s="25">
        <f t="shared" si="7"/>
        <v>26245.962328558133</v>
      </c>
    </row>
    <row r="51" spans="1:6" x14ac:dyDescent="0.3">
      <c r="A51" s="18"/>
      <c r="B51" s="3" t="s">
        <v>140</v>
      </c>
      <c r="C51">
        <f>C53+'Financial Statements'!B60+'Financial Statements'!B55-'Financial Statements'!B36</f>
        <v>2256264809.7999997</v>
      </c>
      <c r="D51">
        <f>D53+'Financial Statements'!C60+'Financial Statements'!C55-'Financial Statements'!C36</f>
        <v>2386414036.5</v>
      </c>
      <c r="E51" s="12">
        <f>E53+'Financial Statements'!D60+'Financial Statements'!D55-'Financial Statements'!D36</f>
        <v>2029967710.3400002</v>
      </c>
    </row>
    <row r="52" spans="1:6" x14ac:dyDescent="0.3">
      <c r="B52" s="1" t="s">
        <v>151</v>
      </c>
      <c r="C52">
        <f>'Financial Statements'!B48-'Financial Statements'!B56</f>
        <v>198773</v>
      </c>
      <c r="D52">
        <f>'Financial Statements'!C48-'Financial Statements'!C56</f>
        <v>225521</v>
      </c>
      <c r="E52">
        <f>'Financial Statements'!D48-'Financial Statements'!D56</f>
        <v>218496</v>
      </c>
    </row>
    <row r="53" spans="1:6" x14ac:dyDescent="0.3">
      <c r="B53" s="1" t="s">
        <v>152</v>
      </c>
      <c r="C53" s="12">
        <f>138.2*'Financial Statements'!B28</f>
        <v>2256228185.7999997</v>
      </c>
      <c r="D53" s="12">
        <f>141.5*'Financial Statements'!C28</f>
        <v>2386386038.5</v>
      </c>
      <c r="E53" s="12">
        <f>115.81*'Financial Statements'!D28</f>
        <v>2029942463.3400002</v>
      </c>
      <c r="F53" t="s">
        <v>161</v>
      </c>
    </row>
  </sheetData>
  <mergeCells count="1">
    <mergeCell ref="C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2023-10-13T15:40:45Z</dcterms:modified>
</cp:coreProperties>
</file>