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ld\Documents\_INVESTMENT ANALYST LAUNCHPAD\Task 15\"/>
    </mc:Choice>
  </mc:AlternateContent>
  <xr:revisionPtr revIDLastSave="0" documentId="13_ncr:1_{09219B4C-5126-4A87-9790-F83E3A460F6F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  <sheet name="Schedule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5" l="1"/>
  <c r="B30" i="5"/>
  <c r="B29" i="5" l="1"/>
  <c r="B27" i="5"/>
  <c r="T24" i="5"/>
  <c r="S24" i="5"/>
  <c r="R24" i="5"/>
  <c r="Q24" i="5"/>
  <c r="T4" i="5"/>
  <c r="P4" i="5"/>
  <c r="R4" i="5" s="1"/>
  <c r="Q4" i="5"/>
  <c r="O4" i="5"/>
  <c r="T3" i="5"/>
  <c r="O3" i="5"/>
  <c r="Q3" i="5" s="1"/>
  <c r="P3" i="5"/>
  <c r="L24" i="5"/>
  <c r="K21" i="5"/>
  <c r="J21" i="5"/>
  <c r="N23" i="5"/>
  <c r="M23" i="5"/>
  <c r="L23" i="5"/>
  <c r="K23" i="5"/>
  <c r="J23" i="5"/>
  <c r="N22" i="5"/>
  <c r="M22" i="5"/>
  <c r="L22" i="5"/>
  <c r="K22" i="5"/>
  <c r="J22" i="5"/>
  <c r="K19" i="5"/>
  <c r="K17" i="5" s="1"/>
  <c r="K20" i="5"/>
  <c r="L20" i="5"/>
  <c r="J20" i="5"/>
  <c r="J15" i="5"/>
  <c r="J24" i="5" s="1"/>
  <c r="K15" i="5"/>
  <c r="K24" i="5" s="1"/>
  <c r="L15" i="5"/>
  <c r="M15" i="5"/>
  <c r="M24" i="5" s="1"/>
  <c r="N15" i="5"/>
  <c r="O15" i="5" s="1"/>
  <c r="O24" i="5" s="1"/>
  <c r="C5" i="5"/>
  <c r="D5" i="5"/>
  <c r="E5" i="5"/>
  <c r="F5" i="5"/>
  <c r="G5" i="5"/>
  <c r="H5" i="5"/>
  <c r="I5" i="5"/>
  <c r="J9" i="5"/>
  <c r="K9" i="5"/>
  <c r="L9" i="5"/>
  <c r="M9" i="5"/>
  <c r="N9" i="5"/>
  <c r="J10" i="5"/>
  <c r="K10" i="5"/>
  <c r="L10" i="5"/>
  <c r="M10" i="5"/>
  <c r="N10" i="5"/>
  <c r="J11" i="5"/>
  <c r="K11" i="5"/>
  <c r="L11" i="5"/>
  <c r="M11" i="5"/>
  <c r="N11" i="5"/>
  <c r="C6" i="5"/>
  <c r="D6" i="5"/>
  <c r="E6" i="5"/>
  <c r="F6" i="5"/>
  <c r="G6" i="5"/>
  <c r="H6" i="5"/>
  <c r="I6" i="5"/>
  <c r="I7" i="5"/>
  <c r="B6" i="5"/>
  <c r="C19" i="5"/>
  <c r="D19" i="5"/>
  <c r="E19" i="5"/>
  <c r="F19" i="5"/>
  <c r="G19" i="5"/>
  <c r="H19" i="5"/>
  <c r="I19" i="5"/>
  <c r="B19" i="5"/>
  <c r="C23" i="5"/>
  <c r="P23" i="5" s="1"/>
  <c r="D23" i="5"/>
  <c r="E23" i="5"/>
  <c r="F23" i="5"/>
  <c r="G23" i="5"/>
  <c r="H23" i="5"/>
  <c r="I23" i="5"/>
  <c r="B23" i="5"/>
  <c r="O23" i="5" s="1"/>
  <c r="C22" i="5"/>
  <c r="P22" i="5" s="1"/>
  <c r="Q22" i="5" s="1"/>
  <c r="R22" i="5" s="1"/>
  <c r="D22" i="5"/>
  <c r="E22" i="5"/>
  <c r="F22" i="5"/>
  <c r="G22" i="5"/>
  <c r="H22" i="5"/>
  <c r="I22" i="5"/>
  <c r="B22" i="5"/>
  <c r="O22" i="5" s="1"/>
  <c r="C15" i="5"/>
  <c r="D15" i="5"/>
  <c r="D16" i="5" s="1"/>
  <c r="E15" i="5"/>
  <c r="F15" i="5"/>
  <c r="G15" i="5"/>
  <c r="H15" i="5"/>
  <c r="I15" i="5"/>
  <c r="I16" i="5" s="1"/>
  <c r="B15" i="5"/>
  <c r="C11" i="5"/>
  <c r="D11" i="5"/>
  <c r="E11" i="5"/>
  <c r="F11" i="5"/>
  <c r="G11" i="5"/>
  <c r="H11" i="5"/>
  <c r="I11" i="5"/>
  <c r="B11" i="5"/>
  <c r="C10" i="5"/>
  <c r="D10" i="5"/>
  <c r="E10" i="5"/>
  <c r="F10" i="5"/>
  <c r="G10" i="5"/>
  <c r="H10" i="5"/>
  <c r="I10" i="5"/>
  <c r="B10" i="5"/>
  <c r="B5" i="5"/>
  <c r="C4" i="5"/>
  <c r="C7" i="5" s="1"/>
  <c r="D4" i="5"/>
  <c r="D7" i="5" s="1"/>
  <c r="E4" i="5"/>
  <c r="E8" i="5" s="1"/>
  <c r="F4" i="5"/>
  <c r="F7" i="5" s="1"/>
  <c r="G4" i="5"/>
  <c r="G7" i="5" s="1"/>
  <c r="H4" i="5"/>
  <c r="H7" i="5" s="1"/>
  <c r="I4" i="5"/>
  <c r="I8" i="5" s="1"/>
  <c r="B4" i="5"/>
  <c r="B8" i="5" s="1"/>
  <c r="C9" i="5"/>
  <c r="C17" i="5" s="1"/>
  <c r="D9" i="5"/>
  <c r="D17" i="5" s="1"/>
  <c r="E9" i="5"/>
  <c r="F9" i="5"/>
  <c r="F17" i="5" s="1"/>
  <c r="G9" i="5"/>
  <c r="G17" i="5" s="1"/>
  <c r="H9" i="5"/>
  <c r="H17" i="5" s="1"/>
  <c r="I9" i="5"/>
  <c r="B9" i="5"/>
  <c r="B17" i="5" s="1"/>
  <c r="C1" i="5"/>
  <c r="D1" i="5" s="1"/>
  <c r="E1" i="5" s="1"/>
  <c r="F1" i="5" s="1"/>
  <c r="G1" i="5" s="1"/>
  <c r="H1" i="5" s="1"/>
  <c r="I1" i="5" s="1"/>
  <c r="J1" i="5" s="1"/>
  <c r="K1" i="5" s="1"/>
  <c r="L1" i="5" s="1"/>
  <c r="M1" i="5" s="1"/>
  <c r="N1" i="5" s="1"/>
  <c r="O1" i="5" s="1"/>
  <c r="P1" i="5" s="1"/>
  <c r="Q1" i="5" s="1"/>
  <c r="R1" i="5" s="1"/>
  <c r="S1" i="5" s="1"/>
  <c r="K50" i="4"/>
  <c r="J50" i="4"/>
  <c r="S4" i="5" l="1"/>
  <c r="S3" i="5"/>
  <c r="R3" i="5"/>
  <c r="N16" i="5"/>
  <c r="O11" i="5"/>
  <c r="N24" i="5"/>
  <c r="D8" i="5"/>
  <c r="I17" i="5"/>
  <c r="J19" i="5"/>
  <c r="J17" i="5" s="1"/>
  <c r="L21" i="5"/>
  <c r="O9" i="5"/>
  <c r="I24" i="5"/>
  <c r="B26" i="5"/>
  <c r="E17" i="5"/>
  <c r="F16" i="5"/>
  <c r="O10" i="5"/>
  <c r="Q23" i="5"/>
  <c r="R23" i="5"/>
  <c r="S23" i="5" s="1"/>
  <c r="T23" i="5" s="1"/>
  <c r="S22" i="5"/>
  <c r="T22" i="5" s="1"/>
  <c r="M21" i="5"/>
  <c r="M19" i="5" s="1"/>
  <c r="M17" i="5" s="1"/>
  <c r="L19" i="5"/>
  <c r="L17" i="5" s="1"/>
  <c r="M16" i="5"/>
  <c r="P15" i="5"/>
  <c r="L16" i="5"/>
  <c r="J3" i="5"/>
  <c r="K16" i="5"/>
  <c r="E7" i="5"/>
  <c r="J16" i="5"/>
  <c r="G16" i="5"/>
  <c r="E16" i="5"/>
  <c r="M20" i="5"/>
  <c r="O20" i="5" s="1"/>
  <c r="N20" i="5"/>
  <c r="H16" i="5"/>
  <c r="H8" i="5"/>
  <c r="B7" i="5"/>
  <c r="C16" i="5"/>
  <c r="C8" i="5"/>
  <c r="G8" i="5"/>
  <c r="F8" i="5"/>
  <c r="C57" i="4"/>
  <c r="D57" i="4"/>
  <c r="E57" i="4"/>
  <c r="F57" i="4"/>
  <c r="G57" i="4"/>
  <c r="H57" i="4"/>
  <c r="I57" i="4"/>
  <c r="Q20" i="5" l="1"/>
  <c r="R20" i="5"/>
  <c r="O21" i="5"/>
  <c r="R21" i="5" s="1"/>
  <c r="P20" i="5"/>
  <c r="P9" i="5"/>
  <c r="P10" i="5"/>
  <c r="P24" i="5"/>
  <c r="P11" i="5"/>
  <c r="Q11" i="5" s="1"/>
  <c r="P21" i="5"/>
  <c r="Q21" i="5" s="1"/>
  <c r="Q10" i="5"/>
  <c r="B28" i="5"/>
  <c r="R10" i="5"/>
  <c r="S10" i="5" s="1"/>
  <c r="N21" i="5"/>
  <c r="N19" i="5" s="1"/>
  <c r="N17" i="5" s="1"/>
  <c r="J4" i="5"/>
  <c r="J5" i="5"/>
  <c r="J6" i="5"/>
  <c r="K3" i="5"/>
  <c r="Q15" i="5"/>
  <c r="R15" i="5" s="1"/>
  <c r="S15" i="5" s="1"/>
  <c r="T15" i="5" s="1"/>
  <c r="B57" i="4"/>
  <c r="C62" i="4"/>
  <c r="D62" i="4"/>
  <c r="E62" i="4"/>
  <c r="F62" i="4"/>
  <c r="G62" i="4"/>
  <c r="H62" i="4"/>
  <c r="I62" i="4"/>
  <c r="B62" i="4"/>
  <c r="C65" i="4"/>
  <c r="D65" i="4"/>
  <c r="E65" i="4"/>
  <c r="F65" i="4"/>
  <c r="G65" i="4"/>
  <c r="H65" i="4"/>
  <c r="I65" i="4"/>
  <c r="B65" i="4"/>
  <c r="C63" i="4"/>
  <c r="D63" i="4"/>
  <c r="E63" i="4"/>
  <c r="F63" i="4"/>
  <c r="G63" i="4"/>
  <c r="H63" i="4"/>
  <c r="I63" i="4"/>
  <c r="B63" i="4"/>
  <c r="C61" i="4"/>
  <c r="D61" i="4"/>
  <c r="E61" i="4"/>
  <c r="F61" i="4"/>
  <c r="G61" i="4"/>
  <c r="H61" i="4"/>
  <c r="I61" i="4"/>
  <c r="B61" i="4"/>
  <c r="C59" i="4"/>
  <c r="C60" i="4" s="1"/>
  <c r="D59" i="4"/>
  <c r="D60" i="4" s="1"/>
  <c r="E59" i="4"/>
  <c r="F59" i="4"/>
  <c r="G59" i="4"/>
  <c r="H59" i="4"/>
  <c r="I59" i="4"/>
  <c r="J59" i="4" s="1"/>
  <c r="K59" i="4" s="1"/>
  <c r="L59" i="4" s="1"/>
  <c r="M59" i="4" s="1"/>
  <c r="N59" i="4" s="1"/>
  <c r="B59" i="4"/>
  <c r="O19" i="5" l="1"/>
  <c r="O17" i="5" s="1"/>
  <c r="Q19" i="5"/>
  <c r="R19" i="5"/>
  <c r="P19" i="5"/>
  <c r="T10" i="5"/>
  <c r="P17" i="5"/>
  <c r="S21" i="5"/>
  <c r="T21" i="5" s="1"/>
  <c r="R11" i="5"/>
  <c r="S11" i="5" s="1"/>
  <c r="T11" i="5"/>
  <c r="Q9" i="5"/>
  <c r="Q17" i="5" s="1"/>
  <c r="S20" i="5"/>
  <c r="J8" i="5"/>
  <c r="J7" i="5"/>
  <c r="K4" i="5"/>
  <c r="K5" i="5"/>
  <c r="K6" i="5"/>
  <c r="L3" i="5"/>
  <c r="M3" i="5" s="1"/>
  <c r="B64" i="4"/>
  <c r="I60" i="4"/>
  <c r="I64" i="4"/>
  <c r="F64" i="4"/>
  <c r="F60" i="4"/>
  <c r="H64" i="4"/>
  <c r="G64" i="4"/>
  <c r="G60" i="4"/>
  <c r="E64" i="4"/>
  <c r="E60" i="4"/>
  <c r="H60" i="4"/>
  <c r="D64" i="4"/>
  <c r="C64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C23" i="4"/>
  <c r="D23" i="4"/>
  <c r="E23" i="4"/>
  <c r="F23" i="4"/>
  <c r="G23" i="4"/>
  <c r="H23" i="4"/>
  <c r="I23" i="4"/>
  <c r="B23" i="4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B35" i="4"/>
  <c r="C25" i="4"/>
  <c r="D25" i="4"/>
  <c r="E25" i="4"/>
  <c r="F25" i="4"/>
  <c r="G25" i="4"/>
  <c r="H25" i="4"/>
  <c r="I25" i="4"/>
  <c r="J25" i="4" s="1"/>
  <c r="K25" i="4" s="1"/>
  <c r="L25" i="4" s="1"/>
  <c r="M25" i="4" s="1"/>
  <c r="N25" i="4" s="1"/>
  <c r="B25" i="4"/>
  <c r="T20" i="5" l="1"/>
  <c r="T19" i="5" s="1"/>
  <c r="S19" i="5"/>
  <c r="R9" i="5"/>
  <c r="M6" i="5"/>
  <c r="M4" i="5"/>
  <c r="M5" i="5"/>
  <c r="L6" i="5"/>
  <c r="L4" i="5"/>
  <c r="L5" i="5"/>
  <c r="N3" i="5"/>
  <c r="K8" i="5"/>
  <c r="K7" i="5"/>
  <c r="E51" i="4"/>
  <c r="D51" i="4"/>
  <c r="I51" i="4"/>
  <c r="H51" i="4"/>
  <c r="G51" i="4"/>
  <c r="C51" i="4"/>
  <c r="F51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B22" i="4"/>
  <c r="C10" i="4"/>
  <c r="D10" i="4"/>
  <c r="E10" i="4"/>
  <c r="F10" i="4"/>
  <c r="G10" i="4"/>
  <c r="H10" i="4"/>
  <c r="I10" i="4"/>
  <c r="B10" i="4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B38" i="4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B42" i="4"/>
  <c r="C41" i="4"/>
  <c r="D41" i="4"/>
  <c r="E41" i="4"/>
  <c r="F41" i="4"/>
  <c r="G41" i="4"/>
  <c r="H41" i="4"/>
  <c r="I41" i="4"/>
  <c r="B41" i="4"/>
  <c r="C40" i="4"/>
  <c r="D40" i="4"/>
  <c r="E40" i="4"/>
  <c r="F40" i="4"/>
  <c r="G40" i="4"/>
  <c r="H40" i="4"/>
  <c r="I40" i="4"/>
  <c r="J40" i="4" s="1"/>
  <c r="K40" i="4" s="1"/>
  <c r="L40" i="4" s="1"/>
  <c r="M40" i="4" s="1"/>
  <c r="N40" i="4" s="1"/>
  <c r="B40" i="4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B37" i="4"/>
  <c r="C36" i="4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3" i="4"/>
  <c r="D33" i="4"/>
  <c r="E33" i="4"/>
  <c r="F33" i="4"/>
  <c r="G33" i="4"/>
  <c r="H33" i="4"/>
  <c r="I33" i="4"/>
  <c r="B33" i="4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B30" i="4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B29" i="4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B28" i="4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B27" i="4"/>
  <c r="C26" i="4"/>
  <c r="D26" i="4"/>
  <c r="E26" i="4"/>
  <c r="F26" i="4"/>
  <c r="G26" i="4"/>
  <c r="H26" i="4"/>
  <c r="I26" i="4"/>
  <c r="B26" i="4"/>
  <c r="C21" i="4"/>
  <c r="D21" i="4"/>
  <c r="E21" i="4"/>
  <c r="F21" i="4"/>
  <c r="G21" i="4"/>
  <c r="H21" i="4"/>
  <c r="I21" i="4"/>
  <c r="I31" i="4" s="1"/>
  <c r="B21" i="4"/>
  <c r="B31" i="4" s="1"/>
  <c r="S9" i="5" l="1"/>
  <c r="S17" i="5" s="1"/>
  <c r="R17" i="5"/>
  <c r="L8" i="5"/>
  <c r="L7" i="5"/>
  <c r="N5" i="5"/>
  <c r="N6" i="5"/>
  <c r="N4" i="5"/>
  <c r="M8" i="5"/>
  <c r="M7" i="5"/>
  <c r="J36" i="4"/>
  <c r="G31" i="4"/>
  <c r="B43" i="4"/>
  <c r="B44" i="4" s="1"/>
  <c r="B70" i="4"/>
  <c r="H43" i="4"/>
  <c r="H70" i="4"/>
  <c r="G43" i="4"/>
  <c r="G70" i="4"/>
  <c r="I43" i="4"/>
  <c r="I44" i="4" s="1"/>
  <c r="I70" i="4"/>
  <c r="J57" i="4" s="1"/>
  <c r="F43" i="4"/>
  <c r="F70" i="4"/>
  <c r="D70" i="4"/>
  <c r="C70" i="4"/>
  <c r="D31" i="4"/>
  <c r="C31" i="4"/>
  <c r="C44" i="4" s="1"/>
  <c r="E31" i="4"/>
  <c r="E43" i="4"/>
  <c r="E70" i="4"/>
  <c r="D43" i="4"/>
  <c r="C43" i="4"/>
  <c r="H31" i="4"/>
  <c r="F31" i="4"/>
  <c r="T9" i="5" l="1"/>
  <c r="T17" i="5" s="1"/>
  <c r="O5" i="5"/>
  <c r="P5" i="5" s="1"/>
  <c r="O6" i="5"/>
  <c r="N8" i="5"/>
  <c r="N7" i="5"/>
  <c r="O7" i="5" s="1"/>
  <c r="K36" i="4"/>
  <c r="J62" i="4"/>
  <c r="G44" i="4"/>
  <c r="E44" i="4"/>
  <c r="D44" i="4"/>
  <c r="F44" i="4"/>
  <c r="H44" i="4"/>
  <c r="C12" i="4"/>
  <c r="D12" i="4"/>
  <c r="E12" i="4"/>
  <c r="F12" i="4"/>
  <c r="G12" i="4"/>
  <c r="H12" i="4"/>
  <c r="I12" i="4"/>
  <c r="B12" i="4"/>
  <c r="P6" i="5" l="1"/>
  <c r="Q6" i="5" s="1"/>
  <c r="R6" i="5" s="1"/>
  <c r="S6" i="5" s="1"/>
  <c r="T6" i="5" s="1"/>
  <c r="O8" i="5"/>
  <c r="P8" i="5" s="1"/>
  <c r="Q8" i="5" s="1"/>
  <c r="P7" i="5"/>
  <c r="Q7" i="5" s="1"/>
  <c r="Q5" i="5"/>
  <c r="R5" i="5" s="1"/>
  <c r="S5" i="5" s="1"/>
  <c r="L36" i="4"/>
  <c r="K62" i="4"/>
  <c r="C15" i="4"/>
  <c r="C17" i="4" s="1"/>
  <c r="D15" i="4"/>
  <c r="D17" i="4" s="1"/>
  <c r="E15" i="4"/>
  <c r="E17" i="4" s="1"/>
  <c r="F15" i="4"/>
  <c r="F17" i="4" s="1"/>
  <c r="G15" i="4"/>
  <c r="G17" i="4" s="1"/>
  <c r="H15" i="4"/>
  <c r="H17" i="4" s="1"/>
  <c r="I15" i="4"/>
  <c r="J15" i="4" s="1"/>
  <c r="K15" i="4" s="1"/>
  <c r="L15" i="4" s="1"/>
  <c r="M15" i="4" s="1"/>
  <c r="N15" i="4" s="1"/>
  <c r="B15" i="4"/>
  <c r="B17" i="4" s="1"/>
  <c r="B18" i="4" s="1"/>
  <c r="R8" i="5" l="1"/>
  <c r="S8" i="5" s="1"/>
  <c r="T8" i="5" s="1"/>
  <c r="T5" i="5"/>
  <c r="R7" i="5"/>
  <c r="S7" i="5" s="1"/>
  <c r="T7" i="5" s="1"/>
  <c r="G18" i="4"/>
  <c r="M36" i="4"/>
  <c r="L62" i="4"/>
  <c r="D18" i="4"/>
  <c r="I17" i="4"/>
  <c r="F18" i="4"/>
  <c r="I18" i="4"/>
  <c r="H18" i="4"/>
  <c r="E18" i="4"/>
  <c r="C18" i="4"/>
  <c r="J1" i="4"/>
  <c r="H1" i="4"/>
  <c r="G1" i="4" s="1"/>
  <c r="F1" i="4" s="1"/>
  <c r="E1" i="4" s="1"/>
  <c r="D1" i="4" s="1"/>
  <c r="C1" i="4" s="1"/>
  <c r="B1" i="4" s="1"/>
  <c r="K204" i="3"/>
  <c r="L204" i="3" s="1"/>
  <c r="M204" i="3" s="1"/>
  <c r="N204" i="3" s="1"/>
  <c r="K203" i="3"/>
  <c r="J202" i="3"/>
  <c r="J146" i="3"/>
  <c r="K148" i="3"/>
  <c r="L148" i="3" s="1"/>
  <c r="M148" i="3" s="1"/>
  <c r="N148" i="3" s="1"/>
  <c r="K147" i="3"/>
  <c r="L147" i="3" s="1"/>
  <c r="M147" i="3" s="1"/>
  <c r="N147" i="3" s="1"/>
  <c r="K183" i="3"/>
  <c r="L183" i="3" s="1"/>
  <c r="M183" i="3" s="1"/>
  <c r="N183" i="3" s="1"/>
  <c r="K182" i="3"/>
  <c r="J181" i="3"/>
  <c r="K179" i="3"/>
  <c r="L179" i="3" s="1"/>
  <c r="M179" i="3" s="1"/>
  <c r="N179" i="3" s="1"/>
  <c r="K178" i="3"/>
  <c r="J177" i="3"/>
  <c r="K175" i="3"/>
  <c r="L175" i="3" s="1"/>
  <c r="M175" i="3" s="1"/>
  <c r="N175" i="3" s="1"/>
  <c r="K174" i="3"/>
  <c r="L174" i="3" s="1"/>
  <c r="J173" i="3"/>
  <c r="K171" i="3"/>
  <c r="L171" i="3" s="1"/>
  <c r="M171" i="3" s="1"/>
  <c r="N171" i="3" s="1"/>
  <c r="K170" i="3"/>
  <c r="L170" i="3" s="1"/>
  <c r="J169" i="3"/>
  <c r="K127" i="3"/>
  <c r="L127" i="3" s="1"/>
  <c r="M127" i="3" s="1"/>
  <c r="N127" i="3" s="1"/>
  <c r="K126" i="3"/>
  <c r="L126" i="3" s="1"/>
  <c r="M126" i="3" s="1"/>
  <c r="J125" i="3"/>
  <c r="K123" i="3"/>
  <c r="K122" i="3"/>
  <c r="L122" i="3" s="1"/>
  <c r="J121" i="3"/>
  <c r="K119" i="3"/>
  <c r="L119" i="3" s="1"/>
  <c r="M119" i="3" s="1"/>
  <c r="N119" i="3" s="1"/>
  <c r="K118" i="3"/>
  <c r="L118" i="3" s="1"/>
  <c r="J117" i="3"/>
  <c r="J116" i="3" s="1"/>
  <c r="K96" i="3"/>
  <c r="L96" i="3" s="1"/>
  <c r="M96" i="3" s="1"/>
  <c r="N96" i="3" s="1"/>
  <c r="K95" i="3"/>
  <c r="J94" i="3"/>
  <c r="K92" i="3"/>
  <c r="L92" i="3" s="1"/>
  <c r="M92" i="3" s="1"/>
  <c r="N92" i="3" s="1"/>
  <c r="K91" i="3"/>
  <c r="L91" i="3" s="1"/>
  <c r="J90" i="3"/>
  <c r="K88" i="3"/>
  <c r="L88" i="3" s="1"/>
  <c r="M88" i="3" s="1"/>
  <c r="N88" i="3" s="1"/>
  <c r="K87" i="3"/>
  <c r="L87" i="3" s="1"/>
  <c r="J86" i="3"/>
  <c r="K65" i="3"/>
  <c r="L65" i="3" s="1"/>
  <c r="M65" i="3" s="1"/>
  <c r="N65" i="3" s="1"/>
  <c r="K64" i="3"/>
  <c r="J63" i="3"/>
  <c r="K61" i="3"/>
  <c r="L61" i="3" s="1"/>
  <c r="M61" i="3" s="1"/>
  <c r="N61" i="3" s="1"/>
  <c r="K60" i="3"/>
  <c r="L60" i="3" s="1"/>
  <c r="J59" i="3"/>
  <c r="K57" i="3"/>
  <c r="L57" i="3" s="1"/>
  <c r="M57" i="3" s="1"/>
  <c r="N57" i="3" s="1"/>
  <c r="K56" i="3"/>
  <c r="L56" i="3" s="1"/>
  <c r="J55" i="3"/>
  <c r="E211" i="3"/>
  <c r="E190" i="3"/>
  <c r="G155" i="3"/>
  <c r="G134" i="3"/>
  <c r="G103" i="3"/>
  <c r="G72" i="3"/>
  <c r="G220" i="3"/>
  <c r="H219" i="3"/>
  <c r="C218" i="3"/>
  <c r="C219" i="3" s="1"/>
  <c r="D218" i="3"/>
  <c r="D219" i="3" s="1"/>
  <c r="E218" i="3"/>
  <c r="E219" i="3" s="1"/>
  <c r="F218" i="3"/>
  <c r="F219" i="3" s="1"/>
  <c r="G218" i="3"/>
  <c r="G219" i="3" s="1"/>
  <c r="H218" i="3"/>
  <c r="I218" i="3"/>
  <c r="I220" i="3" s="1"/>
  <c r="J220" i="3" s="1"/>
  <c r="B218" i="3"/>
  <c r="C197" i="3"/>
  <c r="D197" i="3"/>
  <c r="E197" i="3"/>
  <c r="F197" i="3"/>
  <c r="F17" i="3" s="1"/>
  <c r="G197" i="3"/>
  <c r="G198" i="3" s="1"/>
  <c r="H197" i="3"/>
  <c r="H198" i="3" s="1"/>
  <c r="I197" i="3"/>
  <c r="B197" i="3"/>
  <c r="B199" i="3" s="1"/>
  <c r="B198" i="3"/>
  <c r="H163" i="3"/>
  <c r="C162" i="3"/>
  <c r="D162" i="3"/>
  <c r="E162" i="3"/>
  <c r="F162" i="3"/>
  <c r="G162" i="3"/>
  <c r="G163" i="3" s="1"/>
  <c r="H162" i="3"/>
  <c r="I162" i="3"/>
  <c r="B162" i="3"/>
  <c r="B164" i="3" s="1"/>
  <c r="D142" i="3"/>
  <c r="C141" i="3"/>
  <c r="C142" i="3" s="1"/>
  <c r="D141" i="3"/>
  <c r="E141" i="3"/>
  <c r="E142" i="3" s="1"/>
  <c r="F141" i="3"/>
  <c r="G141" i="3"/>
  <c r="G142" i="3" s="1"/>
  <c r="H141" i="3"/>
  <c r="H142" i="3" s="1"/>
  <c r="I141" i="3"/>
  <c r="I142" i="3" s="1"/>
  <c r="B141" i="3"/>
  <c r="C110" i="3"/>
  <c r="D110" i="3"/>
  <c r="E110" i="3"/>
  <c r="F110" i="3"/>
  <c r="G110" i="3"/>
  <c r="H110" i="3"/>
  <c r="I110" i="3"/>
  <c r="B110" i="3"/>
  <c r="F80" i="3"/>
  <c r="C79" i="3"/>
  <c r="D79" i="3"/>
  <c r="D81" i="3" s="1"/>
  <c r="E79" i="3"/>
  <c r="E80" i="3" s="1"/>
  <c r="F79" i="3"/>
  <c r="G79" i="3"/>
  <c r="H79" i="3"/>
  <c r="H80" i="3" s="1"/>
  <c r="I79" i="3"/>
  <c r="B79" i="3"/>
  <c r="B80" i="3"/>
  <c r="G41" i="3"/>
  <c r="C48" i="3"/>
  <c r="D48" i="3"/>
  <c r="E48" i="3"/>
  <c r="E49" i="3" s="1"/>
  <c r="F48" i="3"/>
  <c r="G48" i="3"/>
  <c r="H48" i="3"/>
  <c r="B48" i="3"/>
  <c r="B49" i="3" s="1"/>
  <c r="B17" i="3"/>
  <c r="I48" i="3"/>
  <c r="K34" i="3"/>
  <c r="L34" i="3" s="1"/>
  <c r="M34" i="3" s="1"/>
  <c r="N34" i="3" s="1"/>
  <c r="K33" i="3"/>
  <c r="J32" i="3"/>
  <c r="K30" i="3"/>
  <c r="L30" i="3" s="1"/>
  <c r="M30" i="3" s="1"/>
  <c r="N30" i="3" s="1"/>
  <c r="K29" i="3"/>
  <c r="L29" i="3" s="1"/>
  <c r="J28" i="3"/>
  <c r="K26" i="3"/>
  <c r="K25" i="3"/>
  <c r="L25" i="3" s="1"/>
  <c r="M25" i="3" s="1"/>
  <c r="J24" i="3"/>
  <c r="B14" i="3"/>
  <c r="B11" i="3"/>
  <c r="B46" i="4" s="1"/>
  <c r="B49" i="4" s="1"/>
  <c r="B8" i="3"/>
  <c r="B47" i="4" s="1"/>
  <c r="B3" i="3"/>
  <c r="B4" i="3" s="1"/>
  <c r="B4" i="4" s="1"/>
  <c r="E166" i="3"/>
  <c r="B166" i="3"/>
  <c r="B167" i="3" s="1"/>
  <c r="C166" i="3"/>
  <c r="D166" i="3"/>
  <c r="D199" i="3" s="1"/>
  <c r="A20" i="3"/>
  <c r="B203" i="3"/>
  <c r="C203" i="3"/>
  <c r="D203" i="3"/>
  <c r="E203" i="3"/>
  <c r="F203" i="3"/>
  <c r="G203" i="3"/>
  <c r="H203" i="3"/>
  <c r="I203" i="3"/>
  <c r="B182" i="3"/>
  <c r="C182" i="3"/>
  <c r="D182" i="3"/>
  <c r="E182" i="3"/>
  <c r="F182" i="3"/>
  <c r="G182" i="3"/>
  <c r="H182" i="3"/>
  <c r="I182" i="3"/>
  <c r="B178" i="3"/>
  <c r="C178" i="3"/>
  <c r="D178" i="3"/>
  <c r="E178" i="3"/>
  <c r="F178" i="3"/>
  <c r="G178" i="3"/>
  <c r="H178" i="3"/>
  <c r="I178" i="3"/>
  <c r="B174" i="3"/>
  <c r="C174" i="3"/>
  <c r="D174" i="3"/>
  <c r="E174" i="3"/>
  <c r="F174" i="3"/>
  <c r="G174" i="3"/>
  <c r="H174" i="3"/>
  <c r="I174" i="3"/>
  <c r="B170" i="3"/>
  <c r="C170" i="3"/>
  <c r="D170" i="3"/>
  <c r="E170" i="3"/>
  <c r="F170" i="3"/>
  <c r="G170" i="3"/>
  <c r="H170" i="3"/>
  <c r="I170" i="3"/>
  <c r="B147" i="3"/>
  <c r="C147" i="3"/>
  <c r="D147" i="3"/>
  <c r="E147" i="3"/>
  <c r="F147" i="3"/>
  <c r="G147" i="3"/>
  <c r="H147" i="3"/>
  <c r="I147" i="3"/>
  <c r="B126" i="3"/>
  <c r="C126" i="3"/>
  <c r="D126" i="3"/>
  <c r="E126" i="3"/>
  <c r="F126" i="3"/>
  <c r="G126" i="3"/>
  <c r="H126" i="3"/>
  <c r="I126" i="3"/>
  <c r="B122" i="3"/>
  <c r="C122" i="3"/>
  <c r="D122" i="3"/>
  <c r="E122" i="3"/>
  <c r="F122" i="3"/>
  <c r="G122" i="3"/>
  <c r="H122" i="3"/>
  <c r="I122" i="3"/>
  <c r="B118" i="3"/>
  <c r="C118" i="3"/>
  <c r="D118" i="3"/>
  <c r="E118" i="3"/>
  <c r="F118" i="3"/>
  <c r="G118" i="3"/>
  <c r="H118" i="3"/>
  <c r="I118" i="3"/>
  <c r="B95" i="3"/>
  <c r="C95" i="3"/>
  <c r="D95" i="3"/>
  <c r="E95" i="3"/>
  <c r="F95" i="3"/>
  <c r="G95" i="3"/>
  <c r="H95" i="3"/>
  <c r="I95" i="3"/>
  <c r="B91" i="3"/>
  <c r="C91" i="3"/>
  <c r="D91" i="3"/>
  <c r="E91" i="3"/>
  <c r="F91" i="3"/>
  <c r="G91" i="3"/>
  <c r="H91" i="3"/>
  <c r="I91" i="3"/>
  <c r="B87" i="3"/>
  <c r="C87" i="3"/>
  <c r="D87" i="3"/>
  <c r="E87" i="3"/>
  <c r="F87" i="3"/>
  <c r="G87" i="3"/>
  <c r="H87" i="3"/>
  <c r="I87" i="3"/>
  <c r="B76" i="3"/>
  <c r="B77" i="3" s="1"/>
  <c r="C76" i="3"/>
  <c r="D76" i="3"/>
  <c r="E76" i="3"/>
  <c r="F76" i="3"/>
  <c r="G76" i="3"/>
  <c r="H76" i="3"/>
  <c r="B64" i="3"/>
  <c r="C64" i="3"/>
  <c r="D64" i="3"/>
  <c r="E64" i="3"/>
  <c r="F64" i="3"/>
  <c r="G64" i="3"/>
  <c r="H64" i="3"/>
  <c r="I64" i="3"/>
  <c r="B60" i="3"/>
  <c r="C60" i="3"/>
  <c r="D60" i="3"/>
  <c r="E60" i="3"/>
  <c r="F60" i="3"/>
  <c r="G60" i="3"/>
  <c r="H60" i="3"/>
  <c r="I60" i="3"/>
  <c r="B56" i="3"/>
  <c r="C56" i="3"/>
  <c r="D56" i="3"/>
  <c r="E56" i="3"/>
  <c r="F56" i="3"/>
  <c r="G56" i="3"/>
  <c r="H56" i="3"/>
  <c r="I56" i="3"/>
  <c r="C33" i="3"/>
  <c r="D33" i="3"/>
  <c r="E33" i="3"/>
  <c r="F33" i="3"/>
  <c r="G33" i="3"/>
  <c r="H33" i="3"/>
  <c r="I33" i="3"/>
  <c r="B33" i="3"/>
  <c r="B29" i="3"/>
  <c r="C29" i="3"/>
  <c r="D29" i="3"/>
  <c r="E29" i="3"/>
  <c r="F29" i="3"/>
  <c r="G29" i="3"/>
  <c r="H29" i="3"/>
  <c r="I29" i="3"/>
  <c r="B25" i="3"/>
  <c r="C25" i="3"/>
  <c r="D25" i="3"/>
  <c r="E25" i="3"/>
  <c r="F25" i="3"/>
  <c r="G25" i="3"/>
  <c r="H25" i="3"/>
  <c r="I25" i="3"/>
  <c r="B215" i="3"/>
  <c r="C215" i="3"/>
  <c r="D215" i="3"/>
  <c r="E215" i="3"/>
  <c r="F215" i="3"/>
  <c r="G215" i="3"/>
  <c r="H215" i="3"/>
  <c r="I215" i="3"/>
  <c r="B212" i="3"/>
  <c r="C212" i="3"/>
  <c r="D212" i="3"/>
  <c r="E212" i="3"/>
  <c r="F212" i="3"/>
  <c r="G212" i="3"/>
  <c r="H212" i="3"/>
  <c r="I212" i="3"/>
  <c r="B208" i="3"/>
  <c r="B205" i="3" s="1"/>
  <c r="C208" i="3"/>
  <c r="C211" i="3" s="1"/>
  <c r="D208" i="3"/>
  <c r="D211" i="3" s="1"/>
  <c r="E208" i="3"/>
  <c r="E205" i="3" s="1"/>
  <c r="F208" i="3"/>
  <c r="F205" i="3" s="1"/>
  <c r="G208" i="3"/>
  <c r="G205" i="3" s="1"/>
  <c r="H208" i="3"/>
  <c r="H211" i="3" s="1"/>
  <c r="I208" i="3"/>
  <c r="I211" i="3" s="1"/>
  <c r="J211" i="3" s="1"/>
  <c r="K211" i="3" s="1"/>
  <c r="B201" i="3"/>
  <c r="C201" i="3"/>
  <c r="D201" i="3"/>
  <c r="E201" i="3"/>
  <c r="F201" i="3"/>
  <c r="G201" i="3"/>
  <c r="H201" i="3"/>
  <c r="H220" i="3" s="1"/>
  <c r="I201" i="3"/>
  <c r="J201" i="3" s="1"/>
  <c r="A200" i="3"/>
  <c r="A165" i="3"/>
  <c r="B194" i="3"/>
  <c r="C194" i="3"/>
  <c r="D194" i="3"/>
  <c r="E194" i="3"/>
  <c r="F194" i="3"/>
  <c r="G194" i="3"/>
  <c r="H194" i="3"/>
  <c r="I194" i="3"/>
  <c r="B191" i="3"/>
  <c r="B192" i="3" s="1"/>
  <c r="C191" i="3"/>
  <c r="D191" i="3"/>
  <c r="E191" i="3"/>
  <c r="F191" i="3"/>
  <c r="G191" i="3"/>
  <c r="H191" i="3"/>
  <c r="I191" i="3"/>
  <c r="B187" i="3"/>
  <c r="B190" i="3" s="1"/>
  <c r="C187" i="3"/>
  <c r="C190" i="3" s="1"/>
  <c r="D187" i="3"/>
  <c r="D190" i="3" s="1"/>
  <c r="E187" i="3"/>
  <c r="F187" i="3"/>
  <c r="F190" i="3" s="1"/>
  <c r="G187" i="3"/>
  <c r="G190" i="3" s="1"/>
  <c r="H187" i="3"/>
  <c r="H190" i="3" s="1"/>
  <c r="I187" i="3"/>
  <c r="I190" i="3" s="1"/>
  <c r="J190" i="3" s="1"/>
  <c r="K190" i="3" s="1"/>
  <c r="B180" i="3"/>
  <c r="C180" i="3"/>
  <c r="D180" i="3"/>
  <c r="E180" i="3"/>
  <c r="F180" i="3"/>
  <c r="G180" i="3"/>
  <c r="H180" i="3"/>
  <c r="I180" i="3"/>
  <c r="B176" i="3"/>
  <c r="B177" i="3" s="1"/>
  <c r="C176" i="3"/>
  <c r="D176" i="3"/>
  <c r="E176" i="3"/>
  <c r="F176" i="3"/>
  <c r="G176" i="3"/>
  <c r="H176" i="3"/>
  <c r="I176" i="3"/>
  <c r="B172" i="3"/>
  <c r="B173" i="3" s="1"/>
  <c r="C172" i="3"/>
  <c r="D172" i="3"/>
  <c r="E172" i="3"/>
  <c r="F172" i="3"/>
  <c r="G172" i="3"/>
  <c r="H172" i="3"/>
  <c r="I172" i="3"/>
  <c r="B168" i="3"/>
  <c r="B169" i="3" s="1"/>
  <c r="C168" i="3"/>
  <c r="D168" i="3"/>
  <c r="E168" i="3"/>
  <c r="F168" i="3"/>
  <c r="G168" i="3"/>
  <c r="G166" i="3" s="1"/>
  <c r="G189" i="3" s="1"/>
  <c r="H168" i="3"/>
  <c r="I168" i="3"/>
  <c r="B159" i="3"/>
  <c r="B160" i="3" s="1"/>
  <c r="C159" i="3"/>
  <c r="D159" i="3"/>
  <c r="E159" i="3"/>
  <c r="F159" i="3"/>
  <c r="G159" i="3"/>
  <c r="H159" i="3"/>
  <c r="I159" i="3"/>
  <c r="B156" i="3"/>
  <c r="C156" i="3"/>
  <c r="D156" i="3"/>
  <c r="E156" i="3"/>
  <c r="F156" i="3"/>
  <c r="G156" i="3"/>
  <c r="H156" i="3"/>
  <c r="I156" i="3"/>
  <c r="B152" i="3"/>
  <c r="B153" i="3" s="1"/>
  <c r="C152" i="3"/>
  <c r="C155" i="3" s="1"/>
  <c r="D152" i="3"/>
  <c r="D155" i="3" s="1"/>
  <c r="E152" i="3"/>
  <c r="E155" i="3" s="1"/>
  <c r="F152" i="3"/>
  <c r="F155" i="3" s="1"/>
  <c r="G152" i="3"/>
  <c r="H152" i="3"/>
  <c r="H155" i="3" s="1"/>
  <c r="I152" i="3"/>
  <c r="I155" i="3" s="1"/>
  <c r="J155" i="3" s="1"/>
  <c r="K155" i="3" s="1"/>
  <c r="B145" i="3"/>
  <c r="B146" i="3" s="1"/>
  <c r="C145" i="3"/>
  <c r="D145" i="3"/>
  <c r="D164" i="3" s="1"/>
  <c r="E145" i="3"/>
  <c r="F145" i="3"/>
  <c r="G145" i="3"/>
  <c r="G164" i="3" s="1"/>
  <c r="H145" i="3"/>
  <c r="H164" i="3" s="1"/>
  <c r="I145" i="3"/>
  <c r="J145" i="3" s="1"/>
  <c r="B138" i="3"/>
  <c r="C138" i="3"/>
  <c r="D138" i="3"/>
  <c r="E138" i="3"/>
  <c r="F138" i="3"/>
  <c r="G138" i="3"/>
  <c r="H138" i="3"/>
  <c r="I138" i="3"/>
  <c r="B135" i="3"/>
  <c r="C135" i="3"/>
  <c r="D135" i="3"/>
  <c r="E135" i="3"/>
  <c r="F135" i="3"/>
  <c r="G135" i="3"/>
  <c r="H135" i="3"/>
  <c r="I135" i="3"/>
  <c r="B131" i="3"/>
  <c r="B134" i="3" s="1"/>
  <c r="C131" i="3"/>
  <c r="C134" i="3" s="1"/>
  <c r="D131" i="3"/>
  <c r="D134" i="3" s="1"/>
  <c r="E131" i="3"/>
  <c r="E134" i="3" s="1"/>
  <c r="F131" i="3"/>
  <c r="F134" i="3" s="1"/>
  <c r="G131" i="3"/>
  <c r="H131" i="3"/>
  <c r="H134" i="3" s="1"/>
  <c r="I131" i="3"/>
  <c r="I134" i="3" s="1"/>
  <c r="J134" i="3" s="1"/>
  <c r="K134" i="3" s="1"/>
  <c r="B104" i="3"/>
  <c r="C104" i="3"/>
  <c r="D104" i="3"/>
  <c r="E104" i="3"/>
  <c r="F104" i="3"/>
  <c r="G104" i="3"/>
  <c r="H104" i="3"/>
  <c r="B100" i="3"/>
  <c r="B103" i="3" s="1"/>
  <c r="C100" i="3"/>
  <c r="C103" i="3" s="1"/>
  <c r="D100" i="3"/>
  <c r="D103" i="3" s="1"/>
  <c r="E100" i="3"/>
  <c r="E103" i="3" s="1"/>
  <c r="F100" i="3"/>
  <c r="F103" i="3" s="1"/>
  <c r="G100" i="3"/>
  <c r="H100" i="3"/>
  <c r="H103" i="3" s="1"/>
  <c r="B124" i="3"/>
  <c r="B125" i="3" s="1"/>
  <c r="C124" i="3"/>
  <c r="D124" i="3"/>
  <c r="E124" i="3"/>
  <c r="F124" i="3"/>
  <c r="G124" i="3"/>
  <c r="H124" i="3"/>
  <c r="I124" i="3"/>
  <c r="B120" i="3"/>
  <c r="B121" i="3" s="1"/>
  <c r="C120" i="3"/>
  <c r="D120" i="3"/>
  <c r="E120" i="3"/>
  <c r="F120" i="3"/>
  <c r="G120" i="3"/>
  <c r="H120" i="3"/>
  <c r="I120" i="3"/>
  <c r="B116" i="3"/>
  <c r="B117" i="3" s="1"/>
  <c r="C116" i="3"/>
  <c r="C114" i="3" s="1"/>
  <c r="C143" i="3" s="1"/>
  <c r="D116" i="3"/>
  <c r="D114" i="3" s="1"/>
  <c r="D143" i="3" s="1"/>
  <c r="E116" i="3"/>
  <c r="E114" i="3" s="1"/>
  <c r="F116" i="3"/>
  <c r="G116" i="3"/>
  <c r="G114" i="3" s="1"/>
  <c r="H116" i="3"/>
  <c r="I116" i="3"/>
  <c r="B107" i="3"/>
  <c r="C107" i="3"/>
  <c r="D107" i="3"/>
  <c r="E107" i="3"/>
  <c r="F107" i="3"/>
  <c r="G107" i="3"/>
  <c r="H107" i="3"/>
  <c r="I107" i="3"/>
  <c r="I104" i="3"/>
  <c r="I100" i="3"/>
  <c r="I103" i="3" s="1"/>
  <c r="J103" i="3" s="1"/>
  <c r="K103" i="3" s="1"/>
  <c r="B93" i="3"/>
  <c r="B94" i="3" s="1"/>
  <c r="C93" i="3"/>
  <c r="D93" i="3"/>
  <c r="E93" i="3"/>
  <c r="F93" i="3"/>
  <c r="G93" i="3"/>
  <c r="H93" i="3"/>
  <c r="I93" i="3"/>
  <c r="B89" i="3"/>
  <c r="B90" i="3" s="1"/>
  <c r="C89" i="3"/>
  <c r="D89" i="3"/>
  <c r="E89" i="3"/>
  <c r="F89" i="3"/>
  <c r="G89" i="3"/>
  <c r="H89" i="3"/>
  <c r="I89" i="3"/>
  <c r="B85" i="3"/>
  <c r="C85" i="3"/>
  <c r="D85" i="3"/>
  <c r="D83" i="3" s="1"/>
  <c r="E85" i="3"/>
  <c r="E83" i="3" s="1"/>
  <c r="F85" i="3"/>
  <c r="F83" i="3" s="1"/>
  <c r="F112" i="3" s="1"/>
  <c r="G85" i="3"/>
  <c r="H85" i="3"/>
  <c r="I85" i="3"/>
  <c r="I83" i="3" s="1"/>
  <c r="I112" i="3" s="1"/>
  <c r="J112" i="3" s="1"/>
  <c r="B69" i="3"/>
  <c r="B72" i="3" s="1"/>
  <c r="C69" i="3"/>
  <c r="C72" i="3" s="1"/>
  <c r="D69" i="3"/>
  <c r="D72" i="3" s="1"/>
  <c r="E69" i="3"/>
  <c r="E72" i="3" s="1"/>
  <c r="F69" i="3"/>
  <c r="F72" i="3" s="1"/>
  <c r="G69" i="3"/>
  <c r="H69" i="3"/>
  <c r="H72" i="3" s="1"/>
  <c r="I69" i="3"/>
  <c r="I72" i="3" s="1"/>
  <c r="J72" i="3" s="1"/>
  <c r="K72" i="3" s="1"/>
  <c r="B73" i="3"/>
  <c r="C73" i="3"/>
  <c r="C66" i="3" s="1"/>
  <c r="D73" i="3"/>
  <c r="D66" i="3" s="1"/>
  <c r="E73" i="3"/>
  <c r="F73" i="3"/>
  <c r="G73" i="3"/>
  <c r="G66" i="3" s="1"/>
  <c r="H73" i="3"/>
  <c r="I73" i="3"/>
  <c r="I76" i="3"/>
  <c r="B62" i="3"/>
  <c r="B63" i="3" s="1"/>
  <c r="C62" i="3"/>
  <c r="D62" i="3"/>
  <c r="E62" i="3"/>
  <c r="F62" i="3"/>
  <c r="G62" i="3"/>
  <c r="H62" i="3"/>
  <c r="I62" i="3"/>
  <c r="B58" i="3"/>
  <c r="B59" i="3" s="1"/>
  <c r="C58" i="3"/>
  <c r="D58" i="3"/>
  <c r="E58" i="3"/>
  <c r="F58" i="3"/>
  <c r="G58" i="3"/>
  <c r="H58" i="3"/>
  <c r="I58" i="3"/>
  <c r="B54" i="3"/>
  <c r="B55" i="3" s="1"/>
  <c r="C54" i="3"/>
  <c r="C52" i="3" s="1"/>
  <c r="D54" i="3"/>
  <c r="D52" i="3" s="1"/>
  <c r="E54" i="3"/>
  <c r="E52" i="3" s="1"/>
  <c r="E81" i="3" s="1"/>
  <c r="F54" i="3"/>
  <c r="F52" i="3" s="1"/>
  <c r="F81" i="3" s="1"/>
  <c r="G54" i="3"/>
  <c r="G52" i="3" s="1"/>
  <c r="H54" i="3"/>
  <c r="I54" i="3"/>
  <c r="I52" i="3" s="1"/>
  <c r="A144" i="3"/>
  <c r="A113" i="3"/>
  <c r="A82" i="3"/>
  <c r="A51" i="3"/>
  <c r="B45" i="3"/>
  <c r="C45" i="3"/>
  <c r="D45" i="3"/>
  <c r="E45" i="3"/>
  <c r="F45" i="3"/>
  <c r="G45" i="3"/>
  <c r="H45" i="3"/>
  <c r="I45" i="3"/>
  <c r="B38" i="3"/>
  <c r="B39" i="3" s="1"/>
  <c r="C38" i="3"/>
  <c r="C41" i="3" s="1"/>
  <c r="D38" i="3"/>
  <c r="D41" i="3" s="1"/>
  <c r="E38" i="3"/>
  <c r="E41" i="3" s="1"/>
  <c r="F38" i="3"/>
  <c r="F41" i="3" s="1"/>
  <c r="G38" i="3"/>
  <c r="H38" i="3"/>
  <c r="I38" i="3"/>
  <c r="I41" i="3" s="1"/>
  <c r="J41" i="3" s="1"/>
  <c r="K41" i="3" s="1"/>
  <c r="L41" i="3" s="1"/>
  <c r="M41" i="3" s="1"/>
  <c r="N41" i="3" s="1"/>
  <c r="B42" i="3"/>
  <c r="B35" i="3" s="1"/>
  <c r="C42" i="3"/>
  <c r="D42" i="3"/>
  <c r="E42" i="3"/>
  <c r="E35" i="3" s="1"/>
  <c r="F42" i="3"/>
  <c r="G42" i="3"/>
  <c r="H42" i="3"/>
  <c r="I42" i="3"/>
  <c r="B31" i="3"/>
  <c r="B32" i="3" s="1"/>
  <c r="C31" i="3"/>
  <c r="D31" i="3"/>
  <c r="E31" i="3"/>
  <c r="F31" i="3"/>
  <c r="G31" i="3"/>
  <c r="H31" i="3"/>
  <c r="I31" i="3"/>
  <c r="B27" i="3"/>
  <c r="B28" i="3" s="1"/>
  <c r="C27" i="3"/>
  <c r="D27" i="3"/>
  <c r="E27" i="3"/>
  <c r="F27" i="3"/>
  <c r="G27" i="3"/>
  <c r="H27" i="3"/>
  <c r="I27" i="3"/>
  <c r="B23" i="3"/>
  <c r="B24" i="3" s="1"/>
  <c r="C23" i="3"/>
  <c r="D23" i="3"/>
  <c r="E23" i="3"/>
  <c r="F23" i="3"/>
  <c r="G23" i="3"/>
  <c r="G21" i="3" s="1"/>
  <c r="H23" i="3"/>
  <c r="H21" i="3" s="1"/>
  <c r="I23" i="3"/>
  <c r="J23" i="3" s="1"/>
  <c r="B4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F127" i="1"/>
  <c r="G127" i="1"/>
  <c r="B177" i="1"/>
  <c r="B178" i="1" s="1"/>
  <c r="G165" i="1"/>
  <c r="C155" i="1"/>
  <c r="C156" i="1" s="1"/>
  <c r="G152" i="1"/>
  <c r="G155" i="1" s="1"/>
  <c r="G156" i="1" s="1"/>
  <c r="H134" i="1"/>
  <c r="C97" i="1"/>
  <c r="B98" i="1"/>
  <c r="B85" i="1"/>
  <c r="C85" i="1"/>
  <c r="D85" i="1"/>
  <c r="E85" i="1"/>
  <c r="F85" i="1"/>
  <c r="G85" i="1"/>
  <c r="I174" i="1"/>
  <c r="I177" i="1" s="1"/>
  <c r="I178" i="1" s="1"/>
  <c r="H174" i="1"/>
  <c r="H177" i="1" s="1"/>
  <c r="H178" i="1" s="1"/>
  <c r="G174" i="1"/>
  <c r="G177" i="1" s="1"/>
  <c r="G178" i="1" s="1"/>
  <c r="F174" i="1"/>
  <c r="F177" i="1" s="1"/>
  <c r="F178" i="1" s="1"/>
  <c r="E174" i="1"/>
  <c r="E177" i="1" s="1"/>
  <c r="E178" i="1" s="1"/>
  <c r="D174" i="1"/>
  <c r="D177" i="1" s="1"/>
  <c r="D178" i="1" s="1"/>
  <c r="C174" i="1"/>
  <c r="C177" i="1" s="1"/>
  <c r="C178" i="1" s="1"/>
  <c r="I163" i="1"/>
  <c r="I165" i="1" s="1"/>
  <c r="H163" i="1"/>
  <c r="H165" i="1" s="1"/>
  <c r="H166" i="1" s="1"/>
  <c r="H167" i="1" s="1"/>
  <c r="G163" i="1"/>
  <c r="F163" i="1"/>
  <c r="F165" i="1" s="1"/>
  <c r="E163" i="1"/>
  <c r="E165" i="1" s="1"/>
  <c r="D163" i="1"/>
  <c r="D165" i="1" s="1"/>
  <c r="C163" i="1"/>
  <c r="C165" i="1" s="1"/>
  <c r="B165" i="1"/>
  <c r="H127" i="1"/>
  <c r="I127" i="1"/>
  <c r="I152" i="1"/>
  <c r="I155" i="1" s="1"/>
  <c r="I156" i="1" s="1"/>
  <c r="H152" i="1"/>
  <c r="H155" i="1" s="1"/>
  <c r="H156" i="1" s="1"/>
  <c r="F152" i="1"/>
  <c r="F155" i="1" s="1"/>
  <c r="F156" i="1" s="1"/>
  <c r="E152" i="1"/>
  <c r="E155" i="1" s="1"/>
  <c r="E156" i="1" s="1"/>
  <c r="D152" i="1"/>
  <c r="D155" i="1" s="1"/>
  <c r="D156" i="1" s="1"/>
  <c r="B155" i="1"/>
  <c r="B156" i="1" s="1"/>
  <c r="B54" i="4" l="1"/>
  <c r="N36" i="4"/>
  <c r="N62" i="4" s="1"/>
  <c r="M62" i="4"/>
  <c r="K220" i="3"/>
  <c r="J219" i="3"/>
  <c r="K112" i="3"/>
  <c r="K111" i="3" s="1"/>
  <c r="J111" i="3"/>
  <c r="C164" i="3"/>
  <c r="B220" i="3"/>
  <c r="I219" i="3"/>
  <c r="J172" i="3"/>
  <c r="B55" i="4"/>
  <c r="G50" i="3"/>
  <c r="C81" i="3"/>
  <c r="I164" i="3"/>
  <c r="J164" i="3" s="1"/>
  <c r="J163" i="3" s="1"/>
  <c r="E199" i="3"/>
  <c r="F220" i="3"/>
  <c r="F211" i="3"/>
  <c r="J93" i="3"/>
  <c r="B15" i="3"/>
  <c r="B52" i="4"/>
  <c r="B58" i="4" s="1"/>
  <c r="F49" i="3"/>
  <c r="E220" i="3"/>
  <c r="G211" i="3"/>
  <c r="J176" i="3"/>
  <c r="I81" i="3"/>
  <c r="J81" i="3" s="1"/>
  <c r="E112" i="3"/>
  <c r="C199" i="3"/>
  <c r="D220" i="3"/>
  <c r="J62" i="3"/>
  <c r="J85" i="3"/>
  <c r="J83" i="3" s="1"/>
  <c r="J84" i="3" s="1"/>
  <c r="J120" i="3"/>
  <c r="J114" i="3" s="1"/>
  <c r="H50" i="3"/>
  <c r="H41" i="3"/>
  <c r="F164" i="3"/>
  <c r="C220" i="3"/>
  <c r="J168" i="3"/>
  <c r="C49" i="3"/>
  <c r="G81" i="3"/>
  <c r="E164" i="3"/>
  <c r="B155" i="3"/>
  <c r="B211" i="3"/>
  <c r="J54" i="3"/>
  <c r="J180" i="3"/>
  <c r="J58" i="3"/>
  <c r="G49" i="3"/>
  <c r="J89" i="3"/>
  <c r="J124" i="3"/>
  <c r="B3" i="4"/>
  <c r="B24" i="4" s="1"/>
  <c r="B6" i="4"/>
  <c r="B7" i="4"/>
  <c r="B8" i="4" s="1"/>
  <c r="K1" i="4"/>
  <c r="N146" i="3"/>
  <c r="K177" i="3"/>
  <c r="L146" i="3"/>
  <c r="K202" i="3"/>
  <c r="K201" i="3" s="1"/>
  <c r="K181" i="3"/>
  <c r="K146" i="3"/>
  <c r="K145" i="3" s="1"/>
  <c r="M146" i="3"/>
  <c r="K125" i="3"/>
  <c r="K94" i="3"/>
  <c r="K93" i="3" s="1"/>
  <c r="K63" i="3"/>
  <c r="J166" i="3"/>
  <c r="K121" i="3"/>
  <c r="K86" i="3"/>
  <c r="K85" i="3" s="1"/>
  <c r="K55" i="3"/>
  <c r="K54" i="3" s="1"/>
  <c r="L211" i="3"/>
  <c r="K219" i="3"/>
  <c r="L220" i="3"/>
  <c r="L203" i="3"/>
  <c r="J218" i="3"/>
  <c r="J208" i="3" s="1"/>
  <c r="L190" i="3"/>
  <c r="L182" i="3"/>
  <c r="L173" i="3"/>
  <c r="M174" i="3"/>
  <c r="K176" i="3"/>
  <c r="M170" i="3"/>
  <c r="L169" i="3"/>
  <c r="K169" i="3"/>
  <c r="K168" i="3" s="1"/>
  <c r="L178" i="3"/>
  <c r="K173" i="3"/>
  <c r="K172" i="3" s="1"/>
  <c r="K164" i="3"/>
  <c r="L155" i="3"/>
  <c r="M125" i="3"/>
  <c r="N126" i="3"/>
  <c r="N125" i="3" s="1"/>
  <c r="L134" i="3"/>
  <c r="M118" i="3"/>
  <c r="L117" i="3"/>
  <c r="K117" i="3"/>
  <c r="K116" i="3" s="1"/>
  <c r="M122" i="3"/>
  <c r="L123" i="3"/>
  <c r="M123" i="3" s="1"/>
  <c r="N123" i="3" s="1"/>
  <c r="L125" i="3"/>
  <c r="L90" i="3"/>
  <c r="M91" i="3"/>
  <c r="L112" i="3"/>
  <c r="L111" i="3" s="1"/>
  <c r="M87" i="3"/>
  <c r="L86" i="3"/>
  <c r="L103" i="3"/>
  <c r="L95" i="3"/>
  <c r="K90" i="3"/>
  <c r="K89" i="3" s="1"/>
  <c r="M56" i="3"/>
  <c r="L55" i="3"/>
  <c r="L72" i="3"/>
  <c r="L59" i="3"/>
  <c r="M60" i="3"/>
  <c r="J52" i="3"/>
  <c r="L64" i="3"/>
  <c r="K59" i="3"/>
  <c r="G80" i="3"/>
  <c r="D112" i="3"/>
  <c r="I163" i="3"/>
  <c r="I198" i="3"/>
  <c r="D49" i="3"/>
  <c r="G199" i="3"/>
  <c r="D80" i="3"/>
  <c r="G143" i="3"/>
  <c r="F163" i="3"/>
  <c r="F198" i="3"/>
  <c r="E17" i="3"/>
  <c r="F18" i="3" s="1"/>
  <c r="B41" i="3"/>
  <c r="C80" i="3"/>
  <c r="E163" i="3"/>
  <c r="E198" i="3"/>
  <c r="C21" i="3"/>
  <c r="C50" i="3" s="1"/>
  <c r="G112" i="3"/>
  <c r="F142" i="3"/>
  <c r="E143" i="3"/>
  <c r="D163" i="3"/>
  <c r="D198" i="3"/>
  <c r="H49" i="3"/>
  <c r="I80" i="3"/>
  <c r="C163" i="3"/>
  <c r="C198" i="3"/>
  <c r="B219" i="3"/>
  <c r="B163" i="3"/>
  <c r="B142" i="3"/>
  <c r="D17" i="3"/>
  <c r="C17" i="3"/>
  <c r="C18" i="3" s="1"/>
  <c r="G17" i="3"/>
  <c r="G18" i="3" s="1"/>
  <c r="H17" i="3"/>
  <c r="B111" i="3"/>
  <c r="D111" i="3"/>
  <c r="E111" i="3"/>
  <c r="C111" i="3"/>
  <c r="F111" i="3"/>
  <c r="G111" i="3"/>
  <c r="H111" i="3"/>
  <c r="I111" i="3"/>
  <c r="I17" i="3"/>
  <c r="J31" i="3"/>
  <c r="I49" i="3"/>
  <c r="K32" i="3"/>
  <c r="D21" i="3"/>
  <c r="K24" i="3"/>
  <c r="K23" i="3" s="1"/>
  <c r="J27" i="3"/>
  <c r="K28" i="3"/>
  <c r="B18" i="3"/>
  <c r="B19" i="3"/>
  <c r="M29" i="3"/>
  <c r="L28" i="3"/>
  <c r="N25" i="3"/>
  <c r="L26" i="3"/>
  <c r="L33" i="3"/>
  <c r="I21" i="3"/>
  <c r="I50" i="3" s="1"/>
  <c r="J50" i="3" s="1"/>
  <c r="I114" i="3"/>
  <c r="I143" i="3" s="1"/>
  <c r="J143" i="3" s="1"/>
  <c r="B175" i="3"/>
  <c r="C202" i="3"/>
  <c r="C204" i="3" s="1"/>
  <c r="C216" i="3"/>
  <c r="B10" i="3"/>
  <c r="G83" i="3"/>
  <c r="G106" i="3" s="1"/>
  <c r="D35" i="3"/>
  <c r="E36" i="3" s="1"/>
  <c r="H52" i="3"/>
  <c r="E189" i="3"/>
  <c r="B83" i="3"/>
  <c r="H114" i="3"/>
  <c r="H140" i="3" s="1"/>
  <c r="F184" i="3"/>
  <c r="F66" i="3"/>
  <c r="G67" i="3" s="1"/>
  <c r="E21" i="3"/>
  <c r="E3" i="3" s="1"/>
  <c r="E3" i="4" s="1"/>
  <c r="E24" i="4" s="1"/>
  <c r="B196" i="3"/>
  <c r="I181" i="3"/>
  <c r="I183" i="3" s="1"/>
  <c r="D169" i="3"/>
  <c r="D171" i="3" s="1"/>
  <c r="B96" i="3"/>
  <c r="B148" i="3"/>
  <c r="B202" i="3"/>
  <c r="B204" i="3" s="1"/>
  <c r="H169" i="3"/>
  <c r="H171" i="3" s="1"/>
  <c r="H173" i="3"/>
  <c r="H175" i="3" s="1"/>
  <c r="H181" i="3"/>
  <c r="H183" i="3" s="1"/>
  <c r="D202" i="3"/>
  <c r="D204" i="3" s="1"/>
  <c r="H205" i="3"/>
  <c r="H207" i="3" s="1"/>
  <c r="F121" i="3"/>
  <c r="F123" i="3" s="1"/>
  <c r="C97" i="3"/>
  <c r="C149" i="3"/>
  <c r="C151" i="3" s="1"/>
  <c r="G202" i="3"/>
  <c r="G204" i="3" s="1"/>
  <c r="G68" i="3"/>
  <c r="D68" i="3"/>
  <c r="D71" i="3"/>
  <c r="F117" i="3"/>
  <c r="F119" i="3" s="1"/>
  <c r="F125" i="3"/>
  <c r="F127" i="3" s="1"/>
  <c r="D173" i="3"/>
  <c r="D175" i="3" s="1"/>
  <c r="D181" i="3"/>
  <c r="D183" i="3" s="1"/>
  <c r="I202" i="3"/>
  <c r="I204" i="3" s="1"/>
  <c r="C83" i="3"/>
  <c r="C102" i="3" s="1"/>
  <c r="C140" i="3"/>
  <c r="D78" i="3"/>
  <c r="H97" i="3"/>
  <c r="H154" i="3"/>
  <c r="B195" i="3"/>
  <c r="G154" i="3"/>
  <c r="C11" i="3"/>
  <c r="C8" i="3"/>
  <c r="D59" i="3"/>
  <c r="D61" i="3" s="1"/>
  <c r="I14" i="3"/>
  <c r="I52" i="4" s="1"/>
  <c r="I58" i="4" s="1"/>
  <c r="H14" i="3"/>
  <c r="H52" i="4" s="1"/>
  <c r="H58" i="4" s="1"/>
  <c r="G158" i="3"/>
  <c r="G11" i="3"/>
  <c r="G8" i="3"/>
  <c r="G14" i="3"/>
  <c r="G52" i="4" s="1"/>
  <c r="G58" i="4" s="1"/>
  <c r="G149" i="3"/>
  <c r="G151" i="3" s="1"/>
  <c r="D210" i="3"/>
  <c r="H161" i="3"/>
  <c r="H11" i="3"/>
  <c r="G161" i="3"/>
  <c r="B86" i="3"/>
  <c r="B88" i="3" s="1"/>
  <c r="C68" i="3"/>
  <c r="E75" i="3"/>
  <c r="E71" i="3"/>
  <c r="G140" i="3"/>
  <c r="E133" i="3"/>
  <c r="E140" i="3"/>
  <c r="E146" i="3"/>
  <c r="E148" i="3" s="1"/>
  <c r="E181" i="3"/>
  <c r="E183" i="3" s="1"/>
  <c r="E184" i="3"/>
  <c r="E186" i="3" s="1"/>
  <c r="H158" i="3"/>
  <c r="D109" i="3"/>
  <c r="D133" i="3"/>
  <c r="D128" i="3"/>
  <c r="D130" i="3" s="1"/>
  <c r="D140" i="3"/>
  <c r="D149" i="3"/>
  <c r="D151" i="3" s="1"/>
  <c r="D196" i="3"/>
  <c r="I8" i="3"/>
  <c r="C128" i="3"/>
  <c r="C130" i="3" s="1"/>
  <c r="C189" i="3"/>
  <c r="C193" i="3"/>
  <c r="C196" i="3"/>
  <c r="I11" i="3"/>
  <c r="H8" i="3"/>
  <c r="C14" i="3"/>
  <c r="B128" i="3"/>
  <c r="E158" i="3"/>
  <c r="E210" i="3"/>
  <c r="F8" i="3"/>
  <c r="D217" i="3"/>
  <c r="F114" i="3"/>
  <c r="F140" i="3" s="1"/>
  <c r="E11" i="3"/>
  <c r="E8" i="3"/>
  <c r="E14" i="3"/>
  <c r="E52" i="4" s="1"/>
  <c r="E58" i="4" s="1"/>
  <c r="C154" i="3"/>
  <c r="C158" i="3"/>
  <c r="C161" i="3"/>
  <c r="D189" i="3"/>
  <c r="C210" i="3"/>
  <c r="C213" i="3"/>
  <c r="C217" i="3"/>
  <c r="E214" i="3"/>
  <c r="D161" i="3"/>
  <c r="D214" i="3"/>
  <c r="D8" i="3"/>
  <c r="D14" i="3"/>
  <c r="D52" i="4" s="1"/>
  <c r="D58" i="4" s="1"/>
  <c r="D86" i="3"/>
  <c r="D88" i="3" s="1"/>
  <c r="B154" i="3"/>
  <c r="B158" i="3"/>
  <c r="B161" i="3"/>
  <c r="B207" i="3"/>
  <c r="B214" i="3"/>
  <c r="B217" i="3"/>
  <c r="I154" i="3"/>
  <c r="I158" i="3"/>
  <c r="I161" i="3"/>
  <c r="J161" i="3" s="1"/>
  <c r="K161" i="3" s="1"/>
  <c r="L161" i="3" s="1"/>
  <c r="I210" i="3"/>
  <c r="I214" i="3"/>
  <c r="I217" i="3"/>
  <c r="E161" i="3"/>
  <c r="F11" i="3"/>
  <c r="H128" i="3"/>
  <c r="H214" i="3"/>
  <c r="H217" i="3"/>
  <c r="E207" i="3"/>
  <c r="D154" i="3"/>
  <c r="F63" i="3"/>
  <c r="F65" i="3" s="1"/>
  <c r="G75" i="3"/>
  <c r="G71" i="3"/>
  <c r="G128" i="3"/>
  <c r="G130" i="3" s="1"/>
  <c r="H184" i="3"/>
  <c r="G207" i="3"/>
  <c r="G214" i="3"/>
  <c r="G217" i="3"/>
  <c r="G78" i="3"/>
  <c r="B13" i="3"/>
  <c r="E128" i="3"/>
  <c r="E130" i="3" s="1"/>
  <c r="E217" i="3"/>
  <c r="F21" i="3"/>
  <c r="F50" i="3" s="1"/>
  <c r="F14" i="3"/>
  <c r="F52" i="4" s="1"/>
  <c r="F58" i="4" s="1"/>
  <c r="D158" i="3"/>
  <c r="F97" i="3"/>
  <c r="F99" i="3" s="1"/>
  <c r="F128" i="3"/>
  <c r="F154" i="3"/>
  <c r="F158" i="3"/>
  <c r="F161" i="3"/>
  <c r="F166" i="3"/>
  <c r="F193" i="3" s="1"/>
  <c r="G181" i="3"/>
  <c r="G183" i="3" s="1"/>
  <c r="F202" i="3"/>
  <c r="F204" i="3" s="1"/>
  <c r="F207" i="3"/>
  <c r="F214" i="3"/>
  <c r="F217" i="3"/>
  <c r="D106" i="3"/>
  <c r="E109" i="3"/>
  <c r="D102" i="3"/>
  <c r="E102" i="3"/>
  <c r="I78" i="3"/>
  <c r="J78" i="3" s="1"/>
  <c r="K78" i="3" s="1"/>
  <c r="L78" i="3" s="1"/>
  <c r="M78" i="3" s="1"/>
  <c r="N78" i="3" s="1"/>
  <c r="I75" i="3"/>
  <c r="I71" i="3"/>
  <c r="E53" i="3"/>
  <c r="E78" i="3"/>
  <c r="E106" i="3"/>
  <c r="E149" i="3"/>
  <c r="E151" i="3" s="1"/>
  <c r="D75" i="3"/>
  <c r="F102" i="3"/>
  <c r="D137" i="3"/>
  <c r="B210" i="3"/>
  <c r="C214" i="3"/>
  <c r="I166" i="3"/>
  <c r="I196" i="3" s="1"/>
  <c r="J196" i="3" s="1"/>
  <c r="K196" i="3" s="1"/>
  <c r="L196" i="3" s="1"/>
  <c r="F181" i="3"/>
  <c r="F183" i="3" s="1"/>
  <c r="E154" i="3"/>
  <c r="H166" i="3"/>
  <c r="D11" i="3"/>
  <c r="B16" i="3"/>
  <c r="H210" i="3"/>
  <c r="H86" i="3"/>
  <c r="H88" i="3" s="1"/>
  <c r="D184" i="3"/>
  <c r="D186" i="3" s="1"/>
  <c r="D205" i="3"/>
  <c r="D207" i="3" s="1"/>
  <c r="G210" i="3"/>
  <c r="B21" i="3"/>
  <c r="B50" i="3" s="1"/>
  <c r="B52" i="3"/>
  <c r="B114" i="3"/>
  <c r="B143" i="3" s="1"/>
  <c r="E137" i="3"/>
  <c r="D193" i="3"/>
  <c r="F210" i="3"/>
  <c r="F78" i="3"/>
  <c r="C181" i="3"/>
  <c r="C183" i="3" s="1"/>
  <c r="E202" i="3"/>
  <c r="E204" i="3" s="1"/>
  <c r="F75" i="3"/>
  <c r="H83" i="3"/>
  <c r="H112" i="3" s="1"/>
  <c r="G193" i="3"/>
  <c r="G137" i="3"/>
  <c r="G133" i="3"/>
  <c r="F109" i="3"/>
  <c r="F106" i="3"/>
  <c r="I106" i="3"/>
  <c r="C78" i="3"/>
  <c r="F71" i="3"/>
  <c r="C75" i="3"/>
  <c r="C71" i="3"/>
  <c r="I109" i="3"/>
  <c r="J109" i="3" s="1"/>
  <c r="K109" i="3" s="1"/>
  <c r="L109" i="3" s="1"/>
  <c r="M109" i="3" s="1"/>
  <c r="N109" i="3" s="1"/>
  <c r="I102" i="3"/>
  <c r="E196" i="3"/>
  <c r="G196" i="3"/>
  <c r="E193" i="3"/>
  <c r="B189" i="3"/>
  <c r="B193" i="3"/>
  <c r="C133" i="3"/>
  <c r="C137" i="3"/>
  <c r="B61" i="3"/>
  <c r="B12" i="3"/>
  <c r="B5" i="3"/>
  <c r="B5" i="4" s="1"/>
  <c r="B9" i="3"/>
  <c r="I205" i="3"/>
  <c r="I207" i="3" s="1"/>
  <c r="J207" i="3" s="1"/>
  <c r="K207" i="3" s="1"/>
  <c r="L207" i="3" s="1"/>
  <c r="M207" i="3" s="1"/>
  <c r="N207" i="3" s="1"/>
  <c r="H202" i="3"/>
  <c r="H204" i="3" s="1"/>
  <c r="B206" i="3"/>
  <c r="B209" i="3"/>
  <c r="B213" i="3"/>
  <c r="B216" i="3"/>
  <c r="C205" i="3"/>
  <c r="C209" i="3"/>
  <c r="D209" i="3"/>
  <c r="D213" i="3"/>
  <c r="D216" i="3"/>
  <c r="E209" i="3"/>
  <c r="E213" i="3"/>
  <c r="E216" i="3"/>
  <c r="F206" i="3"/>
  <c r="F209" i="3"/>
  <c r="F213" i="3"/>
  <c r="F216" i="3"/>
  <c r="G206" i="3"/>
  <c r="G209" i="3"/>
  <c r="G213" i="3"/>
  <c r="G216" i="3"/>
  <c r="H209" i="3"/>
  <c r="H213" i="3"/>
  <c r="H216" i="3"/>
  <c r="I209" i="3"/>
  <c r="I213" i="3"/>
  <c r="I216" i="3"/>
  <c r="C184" i="3"/>
  <c r="C186" i="3" s="1"/>
  <c r="B181" i="3"/>
  <c r="B183" i="3" s="1"/>
  <c r="I149" i="3"/>
  <c r="I151" i="3" s="1"/>
  <c r="J151" i="3" s="1"/>
  <c r="K151" i="3" s="1"/>
  <c r="L151" i="3" s="1"/>
  <c r="M151" i="3" s="1"/>
  <c r="H149" i="3"/>
  <c r="H151" i="3" s="1"/>
  <c r="D63" i="3"/>
  <c r="D65" i="3" s="1"/>
  <c r="I24" i="3"/>
  <c r="I26" i="3" s="1"/>
  <c r="I28" i="3"/>
  <c r="I30" i="3" s="1"/>
  <c r="I32" i="3"/>
  <c r="I34" i="3" s="1"/>
  <c r="I184" i="3"/>
  <c r="I97" i="3"/>
  <c r="I99" i="3" s="1"/>
  <c r="J99" i="3" s="1"/>
  <c r="K99" i="3" s="1"/>
  <c r="L99" i="3" s="1"/>
  <c r="M99" i="3" s="1"/>
  <c r="N99" i="3" s="1"/>
  <c r="B119" i="3"/>
  <c r="B123" i="3"/>
  <c r="B127" i="3"/>
  <c r="H177" i="3"/>
  <c r="H179" i="3" s="1"/>
  <c r="B179" i="3"/>
  <c r="G184" i="3"/>
  <c r="G186" i="3" s="1"/>
  <c r="H105" i="3"/>
  <c r="F59" i="3"/>
  <c r="F61" i="3" s="1"/>
  <c r="H90" i="3"/>
  <c r="H92" i="3" s="1"/>
  <c r="G94" i="3"/>
  <c r="G96" i="3" s="1"/>
  <c r="B65" i="3"/>
  <c r="B92" i="3"/>
  <c r="B184" i="3"/>
  <c r="B185" i="3" s="1"/>
  <c r="E66" i="3"/>
  <c r="E68" i="3" s="1"/>
  <c r="B171" i="3"/>
  <c r="B26" i="3"/>
  <c r="B57" i="3"/>
  <c r="D90" i="3"/>
  <c r="D92" i="3" s="1"/>
  <c r="C94" i="3"/>
  <c r="C96" i="3" s="1"/>
  <c r="D167" i="3"/>
  <c r="D177" i="3"/>
  <c r="D179" i="3" s="1"/>
  <c r="B149" i="3"/>
  <c r="I146" i="3"/>
  <c r="I148" i="3" s="1"/>
  <c r="F149" i="3"/>
  <c r="F151" i="3" s="1"/>
  <c r="I128" i="3"/>
  <c r="G97" i="3"/>
  <c r="F169" i="3"/>
  <c r="F171" i="3" s="1"/>
  <c r="G24" i="3"/>
  <c r="G26" i="3" s="1"/>
  <c r="G28" i="3"/>
  <c r="G30" i="3" s="1"/>
  <c r="H32" i="3"/>
  <c r="H34" i="3" s="1"/>
  <c r="C55" i="3"/>
  <c r="C57" i="3" s="1"/>
  <c r="H117" i="3"/>
  <c r="H119" i="3" s="1"/>
  <c r="H121" i="3"/>
  <c r="H123" i="3" s="1"/>
  <c r="H125" i="3"/>
  <c r="H127" i="3" s="1"/>
  <c r="F177" i="3"/>
  <c r="F179" i="3" s="1"/>
  <c r="E55" i="3"/>
  <c r="E57" i="3" s="1"/>
  <c r="I66" i="3"/>
  <c r="I68" i="3" s="1"/>
  <c r="J68" i="3" s="1"/>
  <c r="K68" i="3" s="1"/>
  <c r="L68" i="3" s="1"/>
  <c r="M68" i="3" s="1"/>
  <c r="N68" i="3" s="1"/>
  <c r="F173" i="3"/>
  <c r="F175" i="3" s="1"/>
  <c r="I94" i="3"/>
  <c r="I96" i="3" s="1"/>
  <c r="H101" i="3"/>
  <c r="G146" i="3"/>
  <c r="G148" i="3" s="1"/>
  <c r="G53" i="3"/>
  <c r="G55" i="3"/>
  <c r="G57" i="3" s="1"/>
  <c r="F53" i="3"/>
  <c r="F55" i="3"/>
  <c r="F57" i="3" s="1"/>
  <c r="E59" i="3"/>
  <c r="E61" i="3" s="1"/>
  <c r="E63" i="3"/>
  <c r="E65" i="3" s="1"/>
  <c r="C86" i="3"/>
  <c r="C88" i="3" s="1"/>
  <c r="C90" i="3"/>
  <c r="C92" i="3" s="1"/>
  <c r="B97" i="3"/>
  <c r="I117" i="3"/>
  <c r="I119" i="3" s="1"/>
  <c r="I121" i="3"/>
  <c r="I123" i="3" s="1"/>
  <c r="I125" i="3"/>
  <c r="I127" i="3" s="1"/>
  <c r="H146" i="3"/>
  <c r="H148" i="3" s="1"/>
  <c r="G169" i="3"/>
  <c r="G171" i="3" s="1"/>
  <c r="G173" i="3"/>
  <c r="G175" i="3" s="1"/>
  <c r="G177" i="3"/>
  <c r="G179" i="3" s="1"/>
  <c r="H55" i="3"/>
  <c r="H57" i="3" s="1"/>
  <c r="G63" i="3"/>
  <c r="G65" i="3" s="1"/>
  <c r="E86" i="3"/>
  <c r="E88" i="3" s="1"/>
  <c r="E90" i="3"/>
  <c r="E92" i="3" s="1"/>
  <c r="D97" i="3"/>
  <c r="D99" i="3" s="1"/>
  <c r="E105" i="3"/>
  <c r="D108" i="3"/>
  <c r="D115" i="3"/>
  <c r="C117" i="3"/>
  <c r="C119" i="3" s="1"/>
  <c r="C121" i="3"/>
  <c r="C123" i="3" s="1"/>
  <c r="C125" i="3"/>
  <c r="C127" i="3" s="1"/>
  <c r="C132" i="3"/>
  <c r="C139" i="3"/>
  <c r="I169" i="3"/>
  <c r="I171" i="3" s="1"/>
  <c r="I173" i="3"/>
  <c r="I175" i="3" s="1"/>
  <c r="I177" i="3"/>
  <c r="I179" i="3" s="1"/>
  <c r="H195" i="3"/>
  <c r="B30" i="3"/>
  <c r="D94" i="3"/>
  <c r="D96" i="3" s="1"/>
  <c r="I35" i="3"/>
  <c r="I55" i="3"/>
  <c r="I57" i="3" s="1"/>
  <c r="H59" i="3"/>
  <c r="H61" i="3" s="1"/>
  <c r="H63" i="3"/>
  <c r="H65" i="3" s="1"/>
  <c r="H66" i="3"/>
  <c r="F84" i="3"/>
  <c r="F86" i="3"/>
  <c r="F88" i="3" s="1"/>
  <c r="F90" i="3"/>
  <c r="F92" i="3" s="1"/>
  <c r="E94" i="3"/>
  <c r="E96" i="3" s="1"/>
  <c r="E115" i="3"/>
  <c r="D117" i="3"/>
  <c r="D119" i="3" s="1"/>
  <c r="D121" i="3"/>
  <c r="D123" i="3" s="1"/>
  <c r="D125" i="3"/>
  <c r="D127" i="3" s="1"/>
  <c r="C146" i="3"/>
  <c r="C148" i="3" s="1"/>
  <c r="C157" i="3"/>
  <c r="C160" i="3"/>
  <c r="G59" i="3"/>
  <c r="G61" i="3" s="1"/>
  <c r="E84" i="3"/>
  <c r="I59" i="3"/>
  <c r="I61" i="3" s="1"/>
  <c r="I63" i="3"/>
  <c r="I65" i="3" s="1"/>
  <c r="G86" i="3"/>
  <c r="G88" i="3" s="1"/>
  <c r="G90" i="3"/>
  <c r="G92" i="3" s="1"/>
  <c r="F94" i="3"/>
  <c r="F96" i="3" s="1"/>
  <c r="E117" i="3"/>
  <c r="E119" i="3" s="1"/>
  <c r="E121" i="3"/>
  <c r="E123" i="3" s="1"/>
  <c r="E125" i="3"/>
  <c r="E127" i="3" s="1"/>
  <c r="D146" i="3"/>
  <c r="D148" i="3" s="1"/>
  <c r="C167" i="3"/>
  <c r="C169" i="3"/>
  <c r="C171" i="3" s="1"/>
  <c r="C173" i="3"/>
  <c r="C175" i="3" s="1"/>
  <c r="C177" i="3"/>
  <c r="C179" i="3" s="1"/>
  <c r="B66" i="3"/>
  <c r="B34" i="3"/>
  <c r="G35" i="3"/>
  <c r="B70" i="3"/>
  <c r="D53" i="3"/>
  <c r="D55" i="3"/>
  <c r="D57" i="3" s="1"/>
  <c r="C59" i="3"/>
  <c r="C61" i="3" s="1"/>
  <c r="C63" i="3"/>
  <c r="C65" i="3" s="1"/>
  <c r="I86" i="3"/>
  <c r="I88" i="3" s="1"/>
  <c r="I90" i="3"/>
  <c r="I92" i="3" s="1"/>
  <c r="H94" i="3"/>
  <c r="H96" i="3" s="1"/>
  <c r="G117" i="3"/>
  <c r="G119" i="3" s="1"/>
  <c r="G121" i="3"/>
  <c r="G123" i="3" s="1"/>
  <c r="G125" i="3"/>
  <c r="G127" i="3" s="1"/>
  <c r="F146" i="3"/>
  <c r="F148" i="3" s="1"/>
  <c r="E167" i="3"/>
  <c r="E169" i="3"/>
  <c r="E171" i="3" s="1"/>
  <c r="E173" i="3"/>
  <c r="E175" i="3" s="1"/>
  <c r="E177" i="3"/>
  <c r="E179" i="3" s="1"/>
  <c r="B188" i="3"/>
  <c r="C188" i="3"/>
  <c r="C192" i="3"/>
  <c r="C195" i="3"/>
  <c r="D188" i="3"/>
  <c r="D192" i="3"/>
  <c r="D195" i="3"/>
  <c r="E188" i="3"/>
  <c r="E192" i="3"/>
  <c r="E195" i="3"/>
  <c r="F188" i="3"/>
  <c r="F192" i="3"/>
  <c r="F195" i="3"/>
  <c r="G188" i="3"/>
  <c r="G192" i="3"/>
  <c r="G195" i="3"/>
  <c r="H188" i="3"/>
  <c r="H192" i="3"/>
  <c r="I188" i="3"/>
  <c r="I192" i="3"/>
  <c r="I195" i="3"/>
  <c r="C153" i="3"/>
  <c r="D153" i="3"/>
  <c r="D157" i="3"/>
  <c r="D160" i="3"/>
  <c r="B157" i="3"/>
  <c r="E153" i="3"/>
  <c r="E157" i="3"/>
  <c r="E160" i="3"/>
  <c r="F153" i="3"/>
  <c r="F157" i="3"/>
  <c r="F160" i="3"/>
  <c r="G153" i="3"/>
  <c r="G157" i="3"/>
  <c r="G160" i="3"/>
  <c r="H153" i="3"/>
  <c r="H157" i="3"/>
  <c r="H160" i="3"/>
  <c r="I153" i="3"/>
  <c r="I157" i="3"/>
  <c r="I160" i="3"/>
  <c r="B132" i="3"/>
  <c r="B136" i="3"/>
  <c r="B139" i="3"/>
  <c r="E132" i="3"/>
  <c r="E136" i="3"/>
  <c r="E139" i="3"/>
  <c r="C136" i="3"/>
  <c r="D139" i="3"/>
  <c r="F132" i="3"/>
  <c r="F136" i="3"/>
  <c r="F139" i="3"/>
  <c r="D132" i="3"/>
  <c r="G132" i="3"/>
  <c r="G136" i="3"/>
  <c r="G139" i="3"/>
  <c r="D136" i="3"/>
  <c r="H132" i="3"/>
  <c r="H136" i="3"/>
  <c r="H139" i="3"/>
  <c r="I132" i="3"/>
  <c r="I136" i="3"/>
  <c r="I139" i="3"/>
  <c r="B101" i="3"/>
  <c r="B105" i="3"/>
  <c r="B108" i="3"/>
  <c r="C101" i="3"/>
  <c r="C105" i="3"/>
  <c r="C108" i="3"/>
  <c r="H108" i="3"/>
  <c r="E97" i="3"/>
  <c r="E101" i="3"/>
  <c r="E108" i="3"/>
  <c r="D101" i="3"/>
  <c r="D105" i="3"/>
  <c r="F101" i="3"/>
  <c r="F105" i="3"/>
  <c r="F108" i="3"/>
  <c r="G101" i="3"/>
  <c r="G105" i="3"/>
  <c r="G108" i="3"/>
  <c r="I101" i="3"/>
  <c r="I105" i="3"/>
  <c r="I108" i="3"/>
  <c r="B74" i="3"/>
  <c r="C70" i="3"/>
  <c r="C74" i="3"/>
  <c r="C77" i="3"/>
  <c r="D67" i="3"/>
  <c r="D70" i="3"/>
  <c r="D74" i="3"/>
  <c r="D77" i="3"/>
  <c r="E70" i="3"/>
  <c r="E74" i="3"/>
  <c r="E77" i="3"/>
  <c r="F70" i="3"/>
  <c r="F74" i="3"/>
  <c r="F77" i="3"/>
  <c r="G70" i="3"/>
  <c r="G74" i="3"/>
  <c r="G77" i="3"/>
  <c r="H70" i="3"/>
  <c r="H74" i="3"/>
  <c r="H77" i="3"/>
  <c r="I70" i="3"/>
  <c r="I74" i="3"/>
  <c r="I77" i="3"/>
  <c r="H35" i="3"/>
  <c r="F35" i="3"/>
  <c r="E28" i="3"/>
  <c r="E30" i="3" s="1"/>
  <c r="E32" i="3"/>
  <c r="E34" i="3" s="1"/>
  <c r="E24" i="3"/>
  <c r="E26" i="3" s="1"/>
  <c r="G32" i="3"/>
  <c r="G34" i="3" s="1"/>
  <c r="C24" i="3"/>
  <c r="C26" i="3" s="1"/>
  <c r="C28" i="3"/>
  <c r="C30" i="3" s="1"/>
  <c r="C32" i="3"/>
  <c r="C34" i="3" s="1"/>
  <c r="C35" i="3"/>
  <c r="D24" i="3"/>
  <c r="D26" i="3" s="1"/>
  <c r="D28" i="3"/>
  <c r="D30" i="3" s="1"/>
  <c r="D32" i="3"/>
  <c r="D34" i="3" s="1"/>
  <c r="F24" i="3"/>
  <c r="F26" i="3" s="1"/>
  <c r="F28" i="3"/>
  <c r="F30" i="3" s="1"/>
  <c r="F32" i="3"/>
  <c r="F34" i="3" s="1"/>
  <c r="H24" i="3"/>
  <c r="H26" i="3" s="1"/>
  <c r="H28" i="3"/>
  <c r="H30" i="3" s="1"/>
  <c r="C39" i="3"/>
  <c r="C43" i="3"/>
  <c r="C46" i="3"/>
  <c r="B36" i="3"/>
  <c r="D43" i="3"/>
  <c r="E39" i="3"/>
  <c r="E43" i="3"/>
  <c r="E46" i="3"/>
  <c r="D46" i="3"/>
  <c r="F39" i="3"/>
  <c r="F43" i="3"/>
  <c r="F46" i="3"/>
  <c r="D39" i="3"/>
  <c r="G39" i="3"/>
  <c r="G43" i="3"/>
  <c r="G46" i="3"/>
  <c r="B46" i="3"/>
  <c r="H39" i="3"/>
  <c r="H43" i="3"/>
  <c r="H46" i="3"/>
  <c r="I39" i="3"/>
  <c r="I43" i="3"/>
  <c r="I46" i="3"/>
  <c r="C98" i="1"/>
  <c r="B166" i="1"/>
  <c r="B167" i="1" s="1"/>
  <c r="I166" i="1"/>
  <c r="I167" i="1" s="1"/>
  <c r="C166" i="1"/>
  <c r="C167" i="1" s="1"/>
  <c r="D166" i="1"/>
  <c r="D167" i="1" s="1"/>
  <c r="G166" i="1"/>
  <c r="G167" i="1" s="1"/>
  <c r="E166" i="1"/>
  <c r="E167" i="1" s="1"/>
  <c r="F166" i="1"/>
  <c r="F167" i="1" s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B113" i="1"/>
  <c r="H109" i="1"/>
  <c r="G109" i="1"/>
  <c r="F109" i="1"/>
  <c r="E109" i="1"/>
  <c r="D109" i="1"/>
  <c r="C109" i="1"/>
  <c r="B109" i="1"/>
  <c r="I109" i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4" i="1"/>
  <c r="B11" i="4" l="1"/>
  <c r="H46" i="4"/>
  <c r="H49" i="4" s="1"/>
  <c r="H7" i="4"/>
  <c r="E19" i="3"/>
  <c r="K62" i="3"/>
  <c r="F46" i="4"/>
  <c r="F49" i="4" s="1"/>
  <c r="F54" i="4" s="1"/>
  <c r="F7" i="4"/>
  <c r="D47" i="4"/>
  <c r="D6" i="4"/>
  <c r="F47" i="4"/>
  <c r="F6" i="4"/>
  <c r="I137" i="3"/>
  <c r="C47" i="4"/>
  <c r="C6" i="4"/>
  <c r="J21" i="3"/>
  <c r="J154" i="3" s="1"/>
  <c r="K124" i="3"/>
  <c r="I130" i="3"/>
  <c r="J130" i="3" s="1"/>
  <c r="K130" i="3" s="1"/>
  <c r="L130" i="3" s="1"/>
  <c r="M130" i="3" s="1"/>
  <c r="N130" i="3" s="1"/>
  <c r="C12" i="3"/>
  <c r="C46" i="4"/>
  <c r="C49" i="4" s="1"/>
  <c r="C7" i="4"/>
  <c r="E50" i="3"/>
  <c r="B53" i="4"/>
  <c r="J142" i="3"/>
  <c r="K143" i="3"/>
  <c r="D46" i="4"/>
  <c r="D49" i="4" s="1"/>
  <c r="D7" i="4"/>
  <c r="I47" i="4"/>
  <c r="I6" i="4"/>
  <c r="G47" i="4"/>
  <c r="G6" i="4"/>
  <c r="F199" i="3"/>
  <c r="B66" i="4"/>
  <c r="B68" i="4" s="1"/>
  <c r="I46" i="4"/>
  <c r="I49" i="4" s="1"/>
  <c r="I7" i="4"/>
  <c r="I133" i="3"/>
  <c r="E47" i="4"/>
  <c r="E6" i="4"/>
  <c r="C15" i="3"/>
  <c r="C52" i="4"/>
  <c r="C58" i="4" s="1"/>
  <c r="G46" i="4"/>
  <c r="G49" i="4" s="1"/>
  <c r="G54" i="4" s="1"/>
  <c r="G7" i="4"/>
  <c r="K31" i="3"/>
  <c r="E18" i="3"/>
  <c r="K58" i="3"/>
  <c r="L58" i="3" s="1"/>
  <c r="B9" i="4"/>
  <c r="K180" i="3"/>
  <c r="K81" i="3"/>
  <c r="J80" i="3"/>
  <c r="J205" i="3"/>
  <c r="J206" i="3" s="1"/>
  <c r="I140" i="3"/>
  <c r="J140" i="3" s="1"/>
  <c r="K140" i="3" s="1"/>
  <c r="L140" i="3" s="1"/>
  <c r="M140" i="3" s="1"/>
  <c r="N140" i="3" s="1"/>
  <c r="E46" i="4"/>
  <c r="E49" i="4" s="1"/>
  <c r="E7" i="4"/>
  <c r="H47" i="4"/>
  <c r="H6" i="4"/>
  <c r="C112" i="3"/>
  <c r="K120" i="3"/>
  <c r="J162" i="3"/>
  <c r="J152" i="3" s="1"/>
  <c r="J153" i="3" s="1"/>
  <c r="L1" i="4"/>
  <c r="L85" i="3"/>
  <c r="K218" i="3"/>
  <c r="K208" i="3" s="1"/>
  <c r="K205" i="3"/>
  <c r="L145" i="3"/>
  <c r="K149" i="3"/>
  <c r="K162" i="3"/>
  <c r="K152" i="3" s="1"/>
  <c r="K159" i="3"/>
  <c r="L124" i="3"/>
  <c r="M124" i="3" s="1"/>
  <c r="N124" i="3" s="1"/>
  <c r="L89" i="3"/>
  <c r="J97" i="3"/>
  <c r="J107" i="3"/>
  <c r="J108" i="3" s="1"/>
  <c r="J110" i="3"/>
  <c r="J100" i="3" s="1"/>
  <c r="J101" i="3" s="1"/>
  <c r="K27" i="3"/>
  <c r="L172" i="3"/>
  <c r="K166" i="3"/>
  <c r="J194" i="3"/>
  <c r="J195" i="3" s="1"/>
  <c r="J167" i="3"/>
  <c r="L54" i="3"/>
  <c r="B14" i="4"/>
  <c r="B13" i="4"/>
  <c r="J209" i="3"/>
  <c r="J210" i="3"/>
  <c r="J212" i="3"/>
  <c r="K209" i="3"/>
  <c r="L202" i="3"/>
  <c r="L201" i="3" s="1"/>
  <c r="M203" i="3"/>
  <c r="M211" i="3"/>
  <c r="M220" i="3"/>
  <c r="L219" i="3"/>
  <c r="K212" i="3"/>
  <c r="M196" i="3"/>
  <c r="M190" i="3"/>
  <c r="L181" i="3"/>
  <c r="L180" i="3" s="1"/>
  <c r="M182" i="3"/>
  <c r="L168" i="3"/>
  <c r="L177" i="3"/>
  <c r="L176" i="3" s="1"/>
  <c r="M178" i="3"/>
  <c r="N170" i="3"/>
  <c r="N169" i="3" s="1"/>
  <c r="M169" i="3"/>
  <c r="M173" i="3"/>
  <c r="N174" i="3"/>
  <c r="N173" i="3" s="1"/>
  <c r="K163" i="3"/>
  <c r="L164" i="3"/>
  <c r="M161" i="3"/>
  <c r="M155" i="3"/>
  <c r="N151" i="3"/>
  <c r="J138" i="3"/>
  <c r="J139" i="3" s="1"/>
  <c r="J115" i="3"/>
  <c r="J128" i="3"/>
  <c r="J141" i="3"/>
  <c r="J131" i="3" s="1"/>
  <c r="L116" i="3"/>
  <c r="K114" i="3"/>
  <c r="M121" i="3"/>
  <c r="N122" i="3"/>
  <c r="N121" i="3" s="1"/>
  <c r="M134" i="3"/>
  <c r="L121" i="3"/>
  <c r="L120" i="3" s="1"/>
  <c r="N118" i="3"/>
  <c r="N117" i="3" s="1"/>
  <c r="M117" i="3"/>
  <c r="M103" i="3"/>
  <c r="M90" i="3"/>
  <c r="N91" i="3"/>
  <c r="N90" i="3" s="1"/>
  <c r="K83" i="3"/>
  <c r="L94" i="3"/>
  <c r="L93" i="3" s="1"/>
  <c r="M95" i="3"/>
  <c r="J98" i="3"/>
  <c r="N87" i="3"/>
  <c r="N86" i="3" s="1"/>
  <c r="M86" i="3"/>
  <c r="M112" i="3"/>
  <c r="M111" i="3" s="1"/>
  <c r="N56" i="3"/>
  <c r="N55" i="3" s="1"/>
  <c r="M55" i="3"/>
  <c r="M59" i="3"/>
  <c r="N60" i="3"/>
  <c r="N59" i="3" s="1"/>
  <c r="L63" i="3"/>
  <c r="L62" i="3" s="1"/>
  <c r="M64" i="3"/>
  <c r="J53" i="3"/>
  <c r="J76" i="3"/>
  <c r="J77" i="3" s="1"/>
  <c r="J79" i="3"/>
  <c r="J69" i="3" s="1"/>
  <c r="J66" i="3"/>
  <c r="M72" i="3"/>
  <c r="B84" i="3"/>
  <c r="B112" i="3"/>
  <c r="H71" i="3"/>
  <c r="H81" i="3"/>
  <c r="D3" i="3"/>
  <c r="D50" i="3"/>
  <c r="B102" i="3"/>
  <c r="F143" i="3"/>
  <c r="B53" i="3"/>
  <c r="B81" i="3"/>
  <c r="I199" i="3"/>
  <c r="J199" i="3" s="1"/>
  <c r="J197" i="3" s="1"/>
  <c r="J187" i="3" s="1"/>
  <c r="J189" i="3" s="1"/>
  <c r="H167" i="3"/>
  <c r="H199" i="3"/>
  <c r="H133" i="3"/>
  <c r="H143" i="3"/>
  <c r="H18" i="3"/>
  <c r="I18" i="3"/>
  <c r="D18" i="3"/>
  <c r="J49" i="3"/>
  <c r="K50" i="3"/>
  <c r="K49" i="3" s="1"/>
  <c r="M28" i="3"/>
  <c r="N29" i="3"/>
  <c r="N28" i="3" s="1"/>
  <c r="L32" i="3"/>
  <c r="L31" i="3" s="1"/>
  <c r="M33" i="3"/>
  <c r="M26" i="3"/>
  <c r="L24" i="3"/>
  <c r="L23" i="3" s="1"/>
  <c r="J22" i="3"/>
  <c r="J48" i="3"/>
  <c r="G102" i="3"/>
  <c r="G84" i="3"/>
  <c r="H68" i="3"/>
  <c r="H78" i="3"/>
  <c r="H75" i="3"/>
  <c r="G109" i="3"/>
  <c r="G3" i="3"/>
  <c r="G3" i="4" s="1"/>
  <c r="G24" i="4" s="1"/>
  <c r="H53" i="3"/>
  <c r="I53" i="3"/>
  <c r="B99" i="3"/>
  <c r="B106" i="3"/>
  <c r="B109" i="3"/>
  <c r="H115" i="3"/>
  <c r="I115" i="3"/>
  <c r="H130" i="3"/>
  <c r="H137" i="3"/>
  <c r="F68" i="3"/>
  <c r="F9" i="3"/>
  <c r="I15" i="3"/>
  <c r="I12" i="3"/>
  <c r="I206" i="3"/>
  <c r="E15" i="3"/>
  <c r="H206" i="3"/>
  <c r="F12" i="3"/>
  <c r="G185" i="3"/>
  <c r="D9" i="3"/>
  <c r="H12" i="3"/>
  <c r="H9" i="3"/>
  <c r="B68" i="3"/>
  <c r="F167" i="3"/>
  <c r="F130" i="3"/>
  <c r="H15" i="3"/>
  <c r="G12" i="3"/>
  <c r="E150" i="3"/>
  <c r="C9" i="3"/>
  <c r="E10" i="3"/>
  <c r="I9" i="3"/>
  <c r="F186" i="3"/>
  <c r="I150" i="3"/>
  <c r="F196" i="3"/>
  <c r="F189" i="3"/>
  <c r="G167" i="3"/>
  <c r="C106" i="3"/>
  <c r="H196" i="3"/>
  <c r="C84" i="3"/>
  <c r="E9" i="3"/>
  <c r="C109" i="3"/>
  <c r="C3" i="3"/>
  <c r="C3" i="4" s="1"/>
  <c r="C24" i="4" s="1"/>
  <c r="E129" i="3"/>
  <c r="D84" i="3"/>
  <c r="C99" i="3"/>
  <c r="D150" i="3"/>
  <c r="D129" i="3"/>
  <c r="D15" i="3"/>
  <c r="E16" i="3"/>
  <c r="F15" i="3"/>
  <c r="F129" i="3"/>
  <c r="H185" i="3"/>
  <c r="F185" i="3"/>
  <c r="H150" i="3"/>
  <c r="I167" i="3"/>
  <c r="G15" i="3"/>
  <c r="I3" i="3"/>
  <c r="G129" i="3"/>
  <c r="E185" i="3"/>
  <c r="G9" i="3"/>
  <c r="G5" i="3"/>
  <c r="G5" i="4" s="1"/>
  <c r="C53" i="3"/>
  <c r="E206" i="3"/>
  <c r="G150" i="3"/>
  <c r="F133" i="3"/>
  <c r="E12" i="3"/>
  <c r="F115" i="3"/>
  <c r="B71" i="3"/>
  <c r="F5" i="3"/>
  <c r="F5" i="4" s="1"/>
  <c r="B186" i="3"/>
  <c r="B78" i="3"/>
  <c r="E13" i="3"/>
  <c r="B75" i="3"/>
  <c r="E67" i="3"/>
  <c r="D12" i="3"/>
  <c r="I193" i="3"/>
  <c r="F3" i="3"/>
  <c r="H5" i="3"/>
  <c r="H5" i="4" s="1"/>
  <c r="G115" i="3"/>
  <c r="F137" i="3"/>
  <c r="I189" i="3"/>
  <c r="H109" i="3"/>
  <c r="H106" i="3"/>
  <c r="B115" i="3"/>
  <c r="B133" i="3"/>
  <c r="C115" i="3"/>
  <c r="H3" i="3"/>
  <c r="I84" i="3"/>
  <c r="H98" i="3"/>
  <c r="G99" i="3"/>
  <c r="B130" i="3"/>
  <c r="F98" i="3"/>
  <c r="E99" i="3"/>
  <c r="H189" i="3"/>
  <c r="B140" i="3"/>
  <c r="D5" i="3"/>
  <c r="D5" i="4" s="1"/>
  <c r="B150" i="3"/>
  <c r="B151" i="3"/>
  <c r="C5" i="3"/>
  <c r="C5" i="4" s="1"/>
  <c r="H186" i="3"/>
  <c r="H99" i="3"/>
  <c r="H102" i="3"/>
  <c r="E5" i="3"/>
  <c r="E5" i="4" s="1"/>
  <c r="B137" i="3"/>
  <c r="D206" i="3"/>
  <c r="C207" i="3"/>
  <c r="I185" i="3"/>
  <c r="I186" i="3"/>
  <c r="J186" i="3" s="1"/>
  <c r="K186" i="3" s="1"/>
  <c r="L186" i="3" s="1"/>
  <c r="M186" i="3" s="1"/>
  <c r="I5" i="3"/>
  <c r="I5" i="4" s="1"/>
  <c r="H84" i="3"/>
  <c r="H193" i="3"/>
  <c r="B7" i="3"/>
  <c r="B6" i="3"/>
  <c r="C206" i="3"/>
  <c r="C185" i="3"/>
  <c r="D185" i="3"/>
  <c r="C150" i="3"/>
  <c r="I98" i="3"/>
  <c r="H67" i="3"/>
  <c r="C98" i="3"/>
  <c r="G98" i="3"/>
  <c r="I129" i="3"/>
  <c r="F67" i="3"/>
  <c r="H36" i="3"/>
  <c r="H129" i="3"/>
  <c r="F150" i="3"/>
  <c r="B129" i="3"/>
  <c r="C129" i="3"/>
  <c r="D98" i="3"/>
  <c r="B98" i="3"/>
  <c r="I67" i="3"/>
  <c r="C67" i="3"/>
  <c r="F36" i="3"/>
  <c r="G36" i="3"/>
  <c r="I36" i="3"/>
  <c r="B67" i="3"/>
  <c r="E98" i="3"/>
  <c r="C36" i="3"/>
  <c r="D36" i="3"/>
  <c r="D98" i="1"/>
  <c r="D97" i="1"/>
  <c r="H126" i="1"/>
  <c r="H133" i="1" s="1"/>
  <c r="C126" i="1"/>
  <c r="I126" i="1"/>
  <c r="E126" i="1"/>
  <c r="F126" i="1"/>
  <c r="D126" i="1"/>
  <c r="B133" i="1"/>
  <c r="B134" i="1" s="1"/>
  <c r="G126" i="1"/>
  <c r="E54" i="4" l="1"/>
  <c r="C54" i="4"/>
  <c r="H54" i="4"/>
  <c r="I54" i="4"/>
  <c r="D54" i="4"/>
  <c r="D55" i="4" s="1"/>
  <c r="D66" i="4" s="1"/>
  <c r="K184" i="3"/>
  <c r="E11" i="4"/>
  <c r="E8" i="4"/>
  <c r="E9" i="4"/>
  <c r="C11" i="4"/>
  <c r="C9" i="4"/>
  <c r="C8" i="4"/>
  <c r="F8" i="4"/>
  <c r="F11" i="4"/>
  <c r="E53" i="4"/>
  <c r="E55" i="4"/>
  <c r="E66" i="4" s="1"/>
  <c r="C53" i="4"/>
  <c r="C55" i="4"/>
  <c r="C66" i="4" s="1"/>
  <c r="F53" i="4"/>
  <c r="F55" i="4"/>
  <c r="F66" i="4" s="1"/>
  <c r="D19" i="3"/>
  <c r="D3" i="4"/>
  <c r="D24" i="4" s="1"/>
  <c r="I11" i="4"/>
  <c r="I8" i="4"/>
  <c r="D11" i="4"/>
  <c r="D8" i="4"/>
  <c r="K21" i="3"/>
  <c r="K210" i="3" s="1"/>
  <c r="G11" i="4"/>
  <c r="G9" i="4"/>
  <c r="G8" i="4"/>
  <c r="I55" i="4"/>
  <c r="I66" i="4" s="1"/>
  <c r="I53" i="4"/>
  <c r="D53" i="4"/>
  <c r="I13" i="3"/>
  <c r="I3" i="4"/>
  <c r="I24" i="4" s="1"/>
  <c r="J198" i="3"/>
  <c r="K199" i="3"/>
  <c r="K52" i="3"/>
  <c r="G53" i="4"/>
  <c r="G55" i="4"/>
  <c r="G66" i="4" s="1"/>
  <c r="B69" i="4"/>
  <c r="C67" i="4"/>
  <c r="K142" i="3"/>
  <c r="L143" i="3"/>
  <c r="J184" i="3"/>
  <c r="J185" i="3" s="1"/>
  <c r="M89" i="3"/>
  <c r="N89" i="3" s="1"/>
  <c r="K80" i="3"/>
  <c r="L81" i="3"/>
  <c r="H11" i="4"/>
  <c r="H8" i="4"/>
  <c r="F19" i="3"/>
  <c r="F3" i="4"/>
  <c r="F24" i="4" s="1"/>
  <c r="H19" i="3"/>
  <c r="H3" i="4"/>
  <c r="H24" i="4" s="1"/>
  <c r="M85" i="3"/>
  <c r="K206" i="3"/>
  <c r="H53" i="4"/>
  <c r="H55" i="4"/>
  <c r="H66" i="4" s="1"/>
  <c r="M1" i="4"/>
  <c r="M54" i="3"/>
  <c r="J188" i="3"/>
  <c r="M58" i="3"/>
  <c r="N58" i="3" s="1"/>
  <c r="L27" i="3"/>
  <c r="L21" i="3" s="1"/>
  <c r="K167" i="3"/>
  <c r="J191" i="3"/>
  <c r="J193" i="3" s="1"/>
  <c r="M172" i="3"/>
  <c r="N172" i="3" s="1"/>
  <c r="K194" i="3"/>
  <c r="K195" i="3" s="1"/>
  <c r="K197" i="3"/>
  <c r="K187" i="3" s="1"/>
  <c r="K191" i="3" s="1"/>
  <c r="M145" i="3"/>
  <c r="L162" i="3"/>
  <c r="L152" i="3" s="1"/>
  <c r="L149" i="3"/>
  <c r="L159" i="3"/>
  <c r="L160" i="3" s="1"/>
  <c r="J104" i="3"/>
  <c r="J106" i="3" s="1"/>
  <c r="J102" i="3"/>
  <c r="L166" i="3"/>
  <c r="L184" i="3" s="1"/>
  <c r="L185" i="3" s="1"/>
  <c r="M120" i="3"/>
  <c r="N120" i="3" s="1"/>
  <c r="B16" i="4"/>
  <c r="B19" i="4" s="1"/>
  <c r="J214" i="3"/>
  <c r="J213" i="3"/>
  <c r="N211" i="3"/>
  <c r="N220" i="3"/>
  <c r="N219" i="3" s="1"/>
  <c r="M219" i="3"/>
  <c r="M202" i="3"/>
  <c r="M201" i="3" s="1"/>
  <c r="N203" i="3"/>
  <c r="N202" i="3" s="1"/>
  <c r="K214" i="3"/>
  <c r="K213" i="3"/>
  <c r="L218" i="3"/>
  <c r="L208" i="3" s="1"/>
  <c r="L205" i="3"/>
  <c r="N196" i="3"/>
  <c r="N186" i="3"/>
  <c r="N190" i="3"/>
  <c r="M181" i="3"/>
  <c r="M180" i="3" s="1"/>
  <c r="N182" i="3"/>
  <c r="N181" i="3" s="1"/>
  <c r="M168" i="3"/>
  <c r="M177" i="3"/>
  <c r="M176" i="3" s="1"/>
  <c r="N178" i="3"/>
  <c r="N177" i="3" s="1"/>
  <c r="M164" i="3"/>
  <c r="L163" i="3"/>
  <c r="N155" i="3"/>
  <c r="N161" i="3"/>
  <c r="K153" i="3"/>
  <c r="K154" i="3"/>
  <c r="K115" i="3"/>
  <c r="K128" i="3"/>
  <c r="K141" i="3"/>
  <c r="K131" i="3" s="1"/>
  <c r="K138" i="3"/>
  <c r="K139" i="3" s="1"/>
  <c r="M116" i="3"/>
  <c r="L114" i="3"/>
  <c r="J129" i="3"/>
  <c r="J135" i="3"/>
  <c r="N134" i="3"/>
  <c r="J132" i="3"/>
  <c r="J133" i="3"/>
  <c r="N85" i="3"/>
  <c r="M94" i="3"/>
  <c r="M93" i="3" s="1"/>
  <c r="N95" i="3"/>
  <c r="N94" i="3" s="1"/>
  <c r="N112" i="3"/>
  <c r="N111" i="3" s="1"/>
  <c r="N103" i="3"/>
  <c r="K84" i="3"/>
  <c r="K107" i="3"/>
  <c r="K108" i="3" s="1"/>
  <c r="K110" i="3"/>
  <c r="K100" i="3" s="1"/>
  <c r="K97" i="3"/>
  <c r="L83" i="3"/>
  <c r="L52" i="3"/>
  <c r="N54" i="3"/>
  <c r="M63" i="3"/>
  <c r="M62" i="3" s="1"/>
  <c r="N64" i="3"/>
  <c r="N63" i="3" s="1"/>
  <c r="N72" i="3"/>
  <c r="J67" i="3"/>
  <c r="J73" i="3"/>
  <c r="J70" i="3"/>
  <c r="J71" i="3"/>
  <c r="K53" i="3"/>
  <c r="K79" i="3"/>
  <c r="K69" i="3" s="1"/>
  <c r="K76" i="3"/>
  <c r="K77" i="3" s="1"/>
  <c r="K66" i="3"/>
  <c r="E4" i="3"/>
  <c r="E4" i="4" s="1"/>
  <c r="D10" i="3"/>
  <c r="L50" i="3"/>
  <c r="L49" i="3" s="1"/>
  <c r="D16" i="3"/>
  <c r="D13" i="3"/>
  <c r="D7" i="3"/>
  <c r="C16" i="3"/>
  <c r="C19" i="3"/>
  <c r="I19" i="3"/>
  <c r="M27" i="3"/>
  <c r="N27" i="3" s="1"/>
  <c r="G13" i="3"/>
  <c r="G19" i="3"/>
  <c r="N26" i="3"/>
  <c r="N24" i="3" s="1"/>
  <c r="M24" i="3"/>
  <c r="M23" i="3" s="1"/>
  <c r="M32" i="3"/>
  <c r="M31" i="3" s="1"/>
  <c r="N33" i="3"/>
  <c r="N32" i="3" s="1"/>
  <c r="K22" i="3"/>
  <c r="K48" i="3"/>
  <c r="M50" i="3"/>
  <c r="G7" i="3"/>
  <c r="G10" i="3"/>
  <c r="G16" i="3"/>
  <c r="C7" i="3"/>
  <c r="H6" i="3"/>
  <c r="C13" i="3"/>
  <c r="C10" i="3"/>
  <c r="D4" i="3"/>
  <c r="D4" i="4" s="1"/>
  <c r="C4" i="3"/>
  <c r="C4" i="4" s="1"/>
  <c r="I10" i="3"/>
  <c r="I16" i="3"/>
  <c r="F4" i="3"/>
  <c r="F4" i="4" s="1"/>
  <c r="F10" i="3"/>
  <c r="F16" i="3"/>
  <c r="F13" i="3"/>
  <c r="F7" i="3"/>
  <c r="G4" i="3"/>
  <c r="G4" i="4" s="1"/>
  <c r="G6" i="3"/>
  <c r="H16" i="3"/>
  <c r="H13" i="3"/>
  <c r="H10" i="3"/>
  <c r="H4" i="3"/>
  <c r="H4" i="4" s="1"/>
  <c r="I7" i="3"/>
  <c r="I6" i="3"/>
  <c r="H7" i="3"/>
  <c r="D6" i="3"/>
  <c r="C6" i="3"/>
  <c r="E7" i="3"/>
  <c r="E6" i="3"/>
  <c r="F6" i="3"/>
  <c r="I4" i="3"/>
  <c r="I4" i="4" s="1"/>
  <c r="E98" i="1"/>
  <c r="E97" i="1"/>
  <c r="E133" i="1"/>
  <c r="E134" i="1" s="1"/>
  <c r="G133" i="1"/>
  <c r="G134" i="1" s="1"/>
  <c r="D133" i="1"/>
  <c r="D134" i="1" s="1"/>
  <c r="F133" i="1"/>
  <c r="F134" i="1" s="1"/>
  <c r="I133" i="1"/>
  <c r="I134" i="1" s="1"/>
  <c r="C133" i="1"/>
  <c r="C134" i="1" s="1"/>
  <c r="D99" i="1"/>
  <c r="C99" i="1"/>
  <c r="B99" i="1"/>
  <c r="H94" i="1"/>
  <c r="G94" i="1"/>
  <c r="F94" i="1"/>
  <c r="E94" i="1"/>
  <c r="D94" i="1"/>
  <c r="C94" i="1"/>
  <c r="B94" i="1"/>
  <c r="I94" i="1"/>
  <c r="H85" i="1"/>
  <c r="I85" i="1"/>
  <c r="H58" i="1"/>
  <c r="G58" i="1"/>
  <c r="F58" i="1"/>
  <c r="E58" i="1"/>
  <c r="D58" i="1"/>
  <c r="C58" i="1"/>
  <c r="B58" i="1"/>
  <c r="I58" i="1"/>
  <c r="H45" i="1"/>
  <c r="G45" i="1"/>
  <c r="G59" i="1" s="1"/>
  <c r="F45" i="1"/>
  <c r="F59" i="1" s="1"/>
  <c r="E45" i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E4" i="1"/>
  <c r="D4" i="1"/>
  <c r="C4" i="1"/>
  <c r="B4" i="1"/>
  <c r="B10" i="1" s="1"/>
  <c r="I4" i="1"/>
  <c r="I10" i="1" s="1"/>
  <c r="D9" i="4" l="1"/>
  <c r="C68" i="4"/>
  <c r="D67" i="4" s="1"/>
  <c r="D68" i="4" s="1"/>
  <c r="I9" i="4"/>
  <c r="J24" i="4"/>
  <c r="K24" i="4" s="1"/>
  <c r="L24" i="4" s="1"/>
  <c r="M24" i="4" s="1"/>
  <c r="N24" i="4" s="1"/>
  <c r="M81" i="3"/>
  <c r="L80" i="3"/>
  <c r="F9" i="4"/>
  <c r="D14" i="4"/>
  <c r="D16" i="4" s="1"/>
  <c r="D19" i="4" s="1"/>
  <c r="D13" i="4"/>
  <c r="C69" i="4"/>
  <c r="L199" i="3"/>
  <c r="K198" i="3"/>
  <c r="C14" i="4"/>
  <c r="C16" i="4" s="1"/>
  <c r="C19" i="4" s="1"/>
  <c r="C13" i="4"/>
  <c r="M143" i="3"/>
  <c r="L142" i="3"/>
  <c r="H14" i="4"/>
  <c r="H16" i="4" s="1"/>
  <c r="H19" i="4" s="1"/>
  <c r="H13" i="4"/>
  <c r="G14" i="4"/>
  <c r="G16" i="4" s="1"/>
  <c r="G19" i="4" s="1"/>
  <c r="G13" i="4"/>
  <c r="I14" i="4"/>
  <c r="I16" i="4" s="1"/>
  <c r="I19" i="4" s="1"/>
  <c r="I13" i="4"/>
  <c r="H9" i="4"/>
  <c r="F14" i="4"/>
  <c r="F16" i="4" s="1"/>
  <c r="F19" i="4" s="1"/>
  <c r="F13" i="4"/>
  <c r="E14" i="4"/>
  <c r="E16" i="4" s="1"/>
  <c r="E19" i="4" s="1"/>
  <c r="E13" i="4"/>
  <c r="K185" i="3"/>
  <c r="N1" i="4"/>
  <c r="K192" i="3"/>
  <c r="N180" i="3"/>
  <c r="J192" i="3"/>
  <c r="L194" i="3"/>
  <c r="L195" i="3" s="1"/>
  <c r="N93" i="3"/>
  <c r="J105" i="3"/>
  <c r="L167" i="3"/>
  <c r="K189" i="3"/>
  <c r="K188" i="3"/>
  <c r="K193" i="3"/>
  <c r="N145" i="3"/>
  <c r="M162" i="3"/>
  <c r="M152" i="3" s="1"/>
  <c r="M149" i="3"/>
  <c r="M159" i="3"/>
  <c r="M160" i="3" s="1"/>
  <c r="N176" i="3"/>
  <c r="M166" i="3"/>
  <c r="M194" i="3" s="1"/>
  <c r="M218" i="3"/>
  <c r="M208" i="3" s="1"/>
  <c r="M205" i="3"/>
  <c r="N201" i="3"/>
  <c r="L206" i="3"/>
  <c r="L212" i="3"/>
  <c r="L209" i="3"/>
  <c r="L210" i="3"/>
  <c r="J17" i="3"/>
  <c r="J18" i="3" s="1"/>
  <c r="N168" i="3"/>
  <c r="L153" i="3"/>
  <c r="L154" i="3"/>
  <c r="N164" i="3"/>
  <c r="M163" i="3"/>
  <c r="J137" i="3"/>
  <c r="J136" i="3"/>
  <c r="L115" i="3"/>
  <c r="L138" i="3"/>
  <c r="L139" i="3" s="1"/>
  <c r="L128" i="3"/>
  <c r="L141" i="3"/>
  <c r="L131" i="3" s="1"/>
  <c r="N116" i="3"/>
  <c r="N114" i="3" s="1"/>
  <c r="M114" i="3"/>
  <c r="K132" i="3"/>
  <c r="K133" i="3"/>
  <c r="K129" i="3"/>
  <c r="K135" i="3"/>
  <c r="M83" i="3"/>
  <c r="N83" i="3"/>
  <c r="L84" i="3"/>
  <c r="L107" i="3"/>
  <c r="L108" i="3" s="1"/>
  <c r="L110" i="3"/>
  <c r="L100" i="3" s="1"/>
  <c r="L97" i="3"/>
  <c r="K101" i="3"/>
  <c r="K102" i="3"/>
  <c r="K98" i="3"/>
  <c r="K104" i="3"/>
  <c r="N62" i="3"/>
  <c r="N52" i="3" s="1"/>
  <c r="M52" i="3"/>
  <c r="K70" i="3"/>
  <c r="K71" i="3"/>
  <c r="L53" i="3"/>
  <c r="L76" i="3"/>
  <c r="L77" i="3" s="1"/>
  <c r="L79" i="3"/>
  <c r="L69" i="3" s="1"/>
  <c r="L66" i="3"/>
  <c r="J75" i="3"/>
  <c r="J74" i="3"/>
  <c r="K67" i="3"/>
  <c r="K73" i="3"/>
  <c r="N31" i="3"/>
  <c r="K17" i="3"/>
  <c r="N23" i="3"/>
  <c r="M21" i="3"/>
  <c r="N50" i="3"/>
  <c r="N49" i="3" s="1"/>
  <c r="M49" i="3"/>
  <c r="L22" i="3"/>
  <c r="L48" i="3"/>
  <c r="H59" i="1"/>
  <c r="H60" i="1" s="1"/>
  <c r="F98" i="1"/>
  <c r="F97" i="1"/>
  <c r="E99" i="1"/>
  <c r="E59" i="1"/>
  <c r="F10" i="1"/>
  <c r="F12" i="1" s="1"/>
  <c r="E10" i="1"/>
  <c r="C10" i="1"/>
  <c r="D10" i="1"/>
  <c r="D145" i="1" s="1"/>
  <c r="E12" i="1"/>
  <c r="E145" i="1"/>
  <c r="H12" i="1"/>
  <c r="H20" i="1" s="1"/>
  <c r="H145" i="1"/>
  <c r="I12" i="1"/>
  <c r="I20" i="1" s="1"/>
  <c r="I145" i="1"/>
  <c r="B12" i="1"/>
  <c r="B145" i="1"/>
  <c r="C12" i="1"/>
  <c r="C145" i="1"/>
  <c r="B60" i="1"/>
  <c r="E60" i="1"/>
  <c r="F60" i="1"/>
  <c r="G10" i="1"/>
  <c r="I59" i="1"/>
  <c r="I60" i="1" s="1"/>
  <c r="G60" i="1"/>
  <c r="C60" i="1"/>
  <c r="D60" i="1"/>
  <c r="M199" i="3" l="1"/>
  <c r="L198" i="3"/>
  <c r="D69" i="4"/>
  <c r="E67" i="4"/>
  <c r="E68" i="4" s="1"/>
  <c r="N143" i="3"/>
  <c r="N142" i="3" s="1"/>
  <c r="M142" i="3"/>
  <c r="L197" i="3"/>
  <c r="L187" i="3" s="1"/>
  <c r="L188" i="3" s="1"/>
  <c r="N81" i="3"/>
  <c r="N80" i="3" s="1"/>
  <c r="M80" i="3"/>
  <c r="M195" i="3"/>
  <c r="N166" i="3"/>
  <c r="N167" i="3" s="1"/>
  <c r="M197" i="3"/>
  <c r="M187" i="3" s="1"/>
  <c r="M167" i="3"/>
  <c r="M184" i="3"/>
  <c r="M185" i="3" s="1"/>
  <c r="N162" i="3"/>
  <c r="N152" i="3" s="1"/>
  <c r="N149" i="3"/>
  <c r="N159" i="3"/>
  <c r="N160" i="3" s="1"/>
  <c r="N21" i="3"/>
  <c r="N48" i="3" s="1"/>
  <c r="N194" i="3"/>
  <c r="N195" i="3" s="1"/>
  <c r="L214" i="3"/>
  <c r="L213" i="3"/>
  <c r="N218" i="3"/>
  <c r="N208" i="3" s="1"/>
  <c r="N205" i="3"/>
  <c r="M209" i="3"/>
  <c r="M210" i="3"/>
  <c r="M212" i="3"/>
  <c r="M206" i="3"/>
  <c r="N163" i="3"/>
  <c r="M153" i="3"/>
  <c r="M154" i="3"/>
  <c r="K3" i="3"/>
  <c r="K3" i="4" s="1"/>
  <c r="K23" i="4" s="1"/>
  <c r="N138" i="3"/>
  <c r="N141" i="3"/>
  <c r="N131" i="3" s="1"/>
  <c r="N128" i="3"/>
  <c r="N115" i="3"/>
  <c r="K137" i="3"/>
  <c r="K136" i="3"/>
  <c r="M138" i="3"/>
  <c r="M139" i="3" s="1"/>
  <c r="M141" i="3"/>
  <c r="M131" i="3" s="1"/>
  <c r="M128" i="3"/>
  <c r="M115" i="3"/>
  <c r="L132" i="3"/>
  <c r="L133" i="3"/>
  <c r="L129" i="3"/>
  <c r="L135" i="3"/>
  <c r="N107" i="3"/>
  <c r="N110" i="3"/>
  <c r="N100" i="3" s="1"/>
  <c r="N97" i="3"/>
  <c r="N84" i="3"/>
  <c r="M107" i="3"/>
  <c r="M108" i="3" s="1"/>
  <c r="M110" i="3"/>
  <c r="M100" i="3" s="1"/>
  <c r="M97" i="3"/>
  <c r="M84" i="3"/>
  <c r="L98" i="3"/>
  <c r="L104" i="3"/>
  <c r="L101" i="3"/>
  <c r="L102" i="3"/>
  <c r="K106" i="3"/>
  <c r="K105" i="3"/>
  <c r="N76" i="3"/>
  <c r="N66" i="3"/>
  <c r="N53" i="3"/>
  <c r="M76" i="3"/>
  <c r="M77" i="3" s="1"/>
  <c r="M79" i="3"/>
  <c r="M69" i="3" s="1"/>
  <c r="M66" i="3"/>
  <c r="M53" i="3"/>
  <c r="L67" i="3"/>
  <c r="L73" i="3"/>
  <c r="L70" i="3"/>
  <c r="L71" i="3"/>
  <c r="K75" i="3"/>
  <c r="K74" i="3"/>
  <c r="K18" i="3"/>
  <c r="M22" i="3"/>
  <c r="M48" i="3"/>
  <c r="G98" i="1"/>
  <c r="G97" i="1"/>
  <c r="F99" i="1"/>
  <c r="E20" i="1"/>
  <c r="E64" i="1"/>
  <c r="E76" i="1" s="1"/>
  <c r="E96" i="1" s="1"/>
  <c r="H64" i="1"/>
  <c r="H76" i="1" s="1"/>
  <c r="H96" i="1" s="1"/>
  <c r="B20" i="1"/>
  <c r="B64" i="1"/>
  <c r="B76" i="1" s="1"/>
  <c r="B96" i="1" s="1"/>
  <c r="C20" i="1"/>
  <c r="C64" i="1"/>
  <c r="C76" i="1" s="1"/>
  <c r="C96" i="1" s="1"/>
  <c r="F20" i="1"/>
  <c r="F64" i="1"/>
  <c r="F76" i="1" s="1"/>
  <c r="F96" i="1" s="1"/>
  <c r="F145" i="1"/>
  <c r="D12" i="1"/>
  <c r="I64" i="1"/>
  <c r="I76" i="1" s="1"/>
  <c r="I96" i="1" s="1"/>
  <c r="G12" i="1"/>
  <c r="G145" i="1"/>
  <c r="M188" i="3" l="1"/>
  <c r="L189" i="3"/>
  <c r="E69" i="4"/>
  <c r="F67" i="4"/>
  <c r="F68" i="4" s="1"/>
  <c r="L191" i="3"/>
  <c r="N79" i="3"/>
  <c r="N69" i="3" s="1"/>
  <c r="N71" i="3" s="1"/>
  <c r="L17" i="3"/>
  <c r="L18" i="3" s="1"/>
  <c r="N199" i="3"/>
  <c r="M198" i="3"/>
  <c r="N184" i="3"/>
  <c r="N185" i="3" s="1"/>
  <c r="M191" i="3"/>
  <c r="M189" i="3"/>
  <c r="N22" i="3"/>
  <c r="N108" i="3"/>
  <c r="N77" i="3"/>
  <c r="M213" i="3"/>
  <c r="M214" i="3"/>
  <c r="N212" i="3"/>
  <c r="N206" i="3"/>
  <c r="N209" i="3"/>
  <c r="N210" i="3"/>
  <c r="M193" i="3"/>
  <c r="N154" i="3"/>
  <c r="N153" i="3"/>
  <c r="K19" i="3"/>
  <c r="L3" i="3"/>
  <c r="M132" i="3"/>
  <c r="M133" i="3"/>
  <c r="L137" i="3"/>
  <c r="L136" i="3"/>
  <c r="N135" i="3"/>
  <c r="N129" i="3"/>
  <c r="N133" i="3"/>
  <c r="N132" i="3"/>
  <c r="M135" i="3"/>
  <c r="M129" i="3"/>
  <c r="N139" i="3"/>
  <c r="N102" i="3"/>
  <c r="N101" i="3"/>
  <c r="L106" i="3"/>
  <c r="L105" i="3"/>
  <c r="M101" i="3"/>
  <c r="M102" i="3"/>
  <c r="M104" i="3"/>
  <c r="M98" i="3"/>
  <c r="N104" i="3"/>
  <c r="N98" i="3"/>
  <c r="M70" i="3"/>
  <c r="M71" i="3"/>
  <c r="M73" i="3"/>
  <c r="M67" i="3"/>
  <c r="N73" i="3"/>
  <c r="N67" i="3"/>
  <c r="L75" i="3"/>
  <c r="L74" i="3"/>
  <c r="M17" i="3"/>
  <c r="H97" i="1"/>
  <c r="H98" i="1" s="1"/>
  <c r="G99" i="1"/>
  <c r="D20" i="1"/>
  <c r="D64" i="1"/>
  <c r="D76" i="1" s="1"/>
  <c r="D96" i="1" s="1"/>
  <c r="G20" i="1"/>
  <c r="G64" i="1"/>
  <c r="G76" i="1" s="1"/>
  <c r="G96" i="1" s="1"/>
  <c r="H1" i="1"/>
  <c r="G1" i="1" s="1"/>
  <c r="F1" i="1" s="1"/>
  <c r="E1" i="1" s="1"/>
  <c r="D1" i="1" s="1"/>
  <c r="C1" i="1" s="1"/>
  <c r="B1" i="1" s="1"/>
  <c r="N197" i="3" l="1"/>
  <c r="N187" i="3" s="1"/>
  <c r="N198" i="3"/>
  <c r="L193" i="3"/>
  <c r="L192" i="3"/>
  <c r="G67" i="4"/>
  <c r="G68" i="4" s="1"/>
  <c r="F69" i="4"/>
  <c r="N70" i="3"/>
  <c r="M192" i="3"/>
  <c r="N191" i="3"/>
  <c r="L4" i="3"/>
  <c r="L4" i="4" s="1"/>
  <c r="L3" i="4"/>
  <c r="L23" i="4" s="1"/>
  <c r="N213" i="3"/>
  <c r="N214" i="3"/>
  <c r="N193" i="3"/>
  <c r="N192" i="3"/>
  <c r="L19" i="3"/>
  <c r="M3" i="3"/>
  <c r="N3" i="3"/>
  <c r="M136" i="3"/>
  <c r="M137" i="3"/>
  <c r="N137" i="3"/>
  <c r="N136" i="3"/>
  <c r="M105" i="3"/>
  <c r="M106" i="3"/>
  <c r="N105" i="3"/>
  <c r="N106" i="3"/>
  <c r="M74" i="3"/>
  <c r="M75" i="3"/>
  <c r="N74" i="3"/>
  <c r="N75" i="3"/>
  <c r="M18" i="3"/>
  <c r="I97" i="1"/>
  <c r="I98" i="1" s="1"/>
  <c r="I99" i="1" s="1"/>
  <c r="H99" i="1"/>
  <c r="H67" i="4" l="1"/>
  <c r="H68" i="4" s="1"/>
  <c r="G69" i="4"/>
  <c r="N188" i="3"/>
  <c r="N189" i="3"/>
  <c r="L51" i="4"/>
  <c r="M4" i="3"/>
  <c r="M4" i="4" s="1"/>
  <c r="M3" i="4"/>
  <c r="M23" i="4" s="1"/>
  <c r="N4" i="3"/>
  <c r="N4" i="4" s="1"/>
  <c r="N3" i="4"/>
  <c r="N23" i="4" s="1"/>
  <c r="N17" i="3"/>
  <c r="N18" i="3" s="1"/>
  <c r="M19" i="3"/>
  <c r="H37" i="3"/>
  <c r="H47" i="3"/>
  <c r="H44" i="3"/>
  <c r="H22" i="3"/>
  <c r="H40" i="3"/>
  <c r="C37" i="3"/>
  <c r="C22" i="3"/>
  <c r="C40" i="3"/>
  <c r="C47" i="3"/>
  <c r="C44" i="3"/>
  <c r="F37" i="3"/>
  <c r="F22" i="3"/>
  <c r="F40" i="3"/>
  <c r="F47" i="3"/>
  <c r="F44" i="3"/>
  <c r="G37" i="3"/>
  <c r="G40" i="3"/>
  <c r="G22" i="3"/>
  <c r="G47" i="3"/>
  <c r="G44" i="3"/>
  <c r="D47" i="3"/>
  <c r="D44" i="3"/>
  <c r="D40" i="3"/>
  <c r="D22" i="3"/>
  <c r="D37" i="3"/>
  <c r="I37" i="3"/>
  <c r="J37" i="3" s="1"/>
  <c r="I47" i="3"/>
  <c r="J47" i="3" s="1"/>
  <c r="I44" i="3"/>
  <c r="I40" i="3"/>
  <c r="I22" i="3"/>
  <c r="B37" i="3"/>
  <c r="B47" i="3"/>
  <c r="B44" i="3"/>
  <c r="B40" i="3"/>
  <c r="B22" i="3"/>
  <c r="E37" i="3"/>
  <c r="E47" i="3"/>
  <c r="E44" i="3"/>
  <c r="E40" i="3"/>
  <c r="E22" i="3"/>
  <c r="I67" i="4" l="1"/>
  <c r="I68" i="4" s="1"/>
  <c r="H69" i="4"/>
  <c r="N51" i="4"/>
  <c r="M51" i="4"/>
  <c r="N19" i="3"/>
  <c r="K47" i="3"/>
  <c r="J45" i="3"/>
  <c r="K37" i="3"/>
  <c r="J35" i="3"/>
  <c r="J67" i="4" l="1"/>
  <c r="I69" i="4"/>
  <c r="J36" i="3"/>
  <c r="L37" i="3"/>
  <c r="K35" i="3"/>
  <c r="J46" i="3"/>
  <c r="L47" i="3"/>
  <c r="K45" i="3"/>
  <c r="M47" i="3" l="1"/>
  <c r="L45" i="3"/>
  <c r="K36" i="3"/>
  <c r="M37" i="3"/>
  <c r="L35" i="3"/>
  <c r="K46" i="3"/>
  <c r="N37" i="3" l="1"/>
  <c r="N35" i="3" s="1"/>
  <c r="M35" i="3"/>
  <c r="L36" i="3"/>
  <c r="L46" i="3"/>
  <c r="N47" i="3"/>
  <c r="N45" i="3" s="1"/>
  <c r="M45" i="3"/>
  <c r="N46" i="3" l="1"/>
  <c r="M36" i="3"/>
  <c r="N36" i="3"/>
  <c r="M46" i="3"/>
  <c r="N38" i="3" l="1"/>
  <c r="N40" i="3" s="1"/>
  <c r="M38" i="3"/>
  <c r="L38" i="3"/>
  <c r="L8" i="3" s="1"/>
  <c r="L47" i="4" s="1"/>
  <c r="K38" i="3"/>
  <c r="J38" i="3"/>
  <c r="J8" i="3" s="1"/>
  <c r="J6" i="4" l="1"/>
  <c r="J47" i="4"/>
  <c r="L40" i="3"/>
  <c r="K39" i="3"/>
  <c r="L10" i="3"/>
  <c r="L6" i="4"/>
  <c r="M39" i="3"/>
  <c r="K8" i="3"/>
  <c r="K40" i="3"/>
  <c r="L39" i="3"/>
  <c r="J40" i="3"/>
  <c r="L42" i="3"/>
  <c r="J9" i="3"/>
  <c r="M42" i="3"/>
  <c r="M8" i="3"/>
  <c r="M40" i="3"/>
  <c r="N39" i="3"/>
  <c r="N8" i="3"/>
  <c r="N42" i="3"/>
  <c r="J39" i="3"/>
  <c r="J42" i="3"/>
  <c r="K42" i="3"/>
  <c r="K9" i="3" l="1"/>
  <c r="K47" i="4"/>
  <c r="M6" i="4"/>
  <c r="M47" i="4"/>
  <c r="N6" i="4"/>
  <c r="N47" i="4"/>
  <c r="L9" i="3"/>
  <c r="K10" i="3"/>
  <c r="K6" i="4"/>
  <c r="L44" i="3"/>
  <c r="K43" i="3"/>
  <c r="L43" i="3"/>
  <c r="K44" i="3"/>
  <c r="J44" i="3"/>
  <c r="J43" i="3"/>
  <c r="M10" i="3"/>
  <c r="M9" i="3"/>
  <c r="N43" i="3"/>
  <c r="N44" i="3"/>
  <c r="M43" i="3"/>
  <c r="M44" i="3"/>
  <c r="N9" i="3"/>
  <c r="N10" i="3"/>
  <c r="M5" i="3"/>
  <c r="N5" i="3"/>
  <c r="N5" i="4" s="1"/>
  <c r="L5" i="3"/>
  <c r="K5" i="3"/>
  <c r="N150" i="3"/>
  <c r="M150" i="3"/>
  <c r="L150" i="3"/>
  <c r="N156" i="3"/>
  <c r="N11" i="3" s="1"/>
  <c r="M156" i="3"/>
  <c r="M158" i="3" s="1"/>
  <c r="L156" i="3"/>
  <c r="L11" i="3" s="1"/>
  <c r="K156" i="3"/>
  <c r="K158" i="3" s="1"/>
  <c r="N7" i="4" l="1"/>
  <c r="N46" i="4"/>
  <c r="L7" i="4"/>
  <c r="L46" i="4"/>
  <c r="K11" i="3"/>
  <c r="K7" i="3"/>
  <c r="K5" i="4"/>
  <c r="M7" i="3"/>
  <c r="M5" i="4"/>
  <c r="L7" i="3"/>
  <c r="L5" i="4"/>
  <c r="L9" i="4"/>
  <c r="N9" i="4"/>
  <c r="N6" i="3"/>
  <c r="M6" i="3"/>
  <c r="L13" i="3"/>
  <c r="N13" i="3"/>
  <c r="M157" i="3"/>
  <c r="L158" i="3"/>
  <c r="N158" i="3"/>
  <c r="M11" i="3"/>
  <c r="M46" i="4" s="1"/>
  <c r="N7" i="3"/>
  <c r="N157" i="3"/>
  <c r="L6" i="3"/>
  <c r="L157" i="3"/>
  <c r="K13" i="3" l="1"/>
  <c r="K46" i="4"/>
  <c r="L12" i="3"/>
  <c r="K7" i="4"/>
  <c r="L8" i="4" s="1"/>
  <c r="N12" i="3"/>
  <c r="M7" i="4"/>
  <c r="M12" i="3"/>
  <c r="M13" i="3"/>
  <c r="J149" i="3"/>
  <c r="J5" i="3" s="1"/>
  <c r="J5" i="4" s="1"/>
  <c r="J3" i="3"/>
  <c r="J159" i="3"/>
  <c r="K160" i="3" s="1"/>
  <c r="K9" i="4" l="1"/>
  <c r="M9" i="4"/>
  <c r="M8" i="4"/>
  <c r="N8" i="4"/>
  <c r="J4" i="3"/>
  <c r="J4" i="4" s="1"/>
  <c r="J3" i="4"/>
  <c r="J23" i="4" s="1"/>
  <c r="J19" i="3"/>
  <c r="J160" i="3"/>
  <c r="J6" i="3"/>
  <c r="J7" i="3"/>
  <c r="K6" i="3"/>
  <c r="K4" i="3"/>
  <c r="K4" i="4" s="1"/>
  <c r="J150" i="3"/>
  <c r="J10" i="3"/>
  <c r="J156" i="3"/>
  <c r="K150" i="3"/>
  <c r="K51" i="4" l="1"/>
  <c r="J51" i="4"/>
  <c r="K157" i="3"/>
  <c r="J158" i="3"/>
  <c r="J11" i="3"/>
  <c r="J157" i="3"/>
  <c r="J7" i="4" l="1"/>
  <c r="J46" i="4"/>
  <c r="J9" i="4"/>
  <c r="J8" i="4"/>
  <c r="K8" i="4"/>
  <c r="J12" i="3"/>
  <c r="K12" i="3"/>
  <c r="J13" i="3"/>
  <c r="J10" i="4" l="1"/>
  <c r="J11" i="4" s="1"/>
  <c r="J12" i="4" l="1"/>
  <c r="J48" i="4" s="1"/>
  <c r="J49" i="4" s="1"/>
  <c r="J14" i="4"/>
  <c r="J16" i="4" l="1"/>
  <c r="J17" i="4" s="1"/>
  <c r="J55" i="4"/>
  <c r="J18" i="4" l="1"/>
  <c r="J61" i="4"/>
  <c r="J41" i="4" s="1"/>
  <c r="J64" i="4" l="1"/>
  <c r="N14" i="3"/>
  <c r="N52" i="4" s="1"/>
  <c r="M14" i="3"/>
  <c r="M52" i="4" s="1"/>
  <c r="L14" i="3"/>
  <c r="L52" i="4" s="1"/>
  <c r="K14" i="3"/>
  <c r="K16" i="3" l="1"/>
  <c r="K52" i="4"/>
  <c r="M15" i="3"/>
  <c r="M16" i="3"/>
  <c r="L16" i="3"/>
  <c r="L15" i="3"/>
  <c r="J43" i="4"/>
  <c r="N16" i="3"/>
  <c r="N15" i="3"/>
  <c r="J14" i="3"/>
  <c r="K15" i="3" l="1"/>
  <c r="J52" i="4"/>
  <c r="J58" i="4" s="1"/>
  <c r="J16" i="3"/>
  <c r="J15" i="3"/>
  <c r="J66" i="4" l="1"/>
  <c r="J68" i="4" s="1"/>
  <c r="J26" i="4"/>
  <c r="K26" i="4" s="1"/>
  <c r="L26" i="4" s="1"/>
  <c r="M26" i="4" s="1"/>
  <c r="N26" i="4" s="1"/>
  <c r="J53" i="4"/>
  <c r="K67" i="4" l="1"/>
  <c r="J21" i="4"/>
  <c r="J69" i="4" l="1"/>
  <c r="J31" i="4"/>
  <c r="J44" i="4" s="1"/>
  <c r="J70" i="4"/>
  <c r="K57" i="4" s="1"/>
  <c r="K58" i="4" s="1"/>
  <c r="K10" i="4" l="1"/>
  <c r="K11" i="4" s="1"/>
  <c r="K12" i="4" l="1"/>
  <c r="K48" i="4" s="1"/>
  <c r="K49" i="4" s="1"/>
  <c r="K14" i="4" l="1"/>
  <c r="K16" i="4" s="1"/>
  <c r="K17" i="4" s="1"/>
  <c r="K61" i="4" s="1"/>
  <c r="K53" i="4"/>
  <c r="K55" i="4"/>
  <c r="K18" i="4" l="1"/>
  <c r="K41" i="4"/>
  <c r="K43" i="4" s="1"/>
  <c r="K64" i="4"/>
  <c r="K66" i="4" s="1"/>
  <c r="K68" i="4" s="1"/>
  <c r="K21" i="4" l="1"/>
  <c r="K69" i="4" s="1"/>
  <c r="L67" i="4"/>
  <c r="K70" i="4" l="1"/>
  <c r="K31" i="4"/>
  <c r="K44" i="4" s="1"/>
  <c r="L50" i="4" l="1"/>
  <c r="L57" i="4" s="1"/>
  <c r="L58" i="4" s="1"/>
  <c r="L10" i="4"/>
  <c r="L11" i="4" s="1"/>
  <c r="L12" i="4" l="1"/>
  <c r="L48" i="4" s="1"/>
  <c r="L49" i="4" s="1"/>
  <c r="L14" i="4" l="1"/>
  <c r="L16" i="4" s="1"/>
  <c r="L17" i="4" s="1"/>
  <c r="L18" i="4" s="1"/>
  <c r="L55" i="4"/>
  <c r="L53" i="4"/>
  <c r="L61" i="4" l="1"/>
  <c r="L41" i="4" s="1"/>
  <c r="L43" i="4" s="1"/>
  <c r="L64" i="4" l="1"/>
  <c r="L66" i="4" s="1"/>
  <c r="L68" i="4" s="1"/>
  <c r="M67" i="4" s="1"/>
  <c r="L21" i="4" l="1"/>
  <c r="L69" i="4" s="1"/>
  <c r="L31" i="4"/>
  <c r="L44" i="4" s="1"/>
  <c r="L70" i="4"/>
  <c r="M50" i="4" l="1"/>
  <c r="M57" i="4" s="1"/>
  <c r="M58" i="4" s="1"/>
  <c r="M10" i="4"/>
  <c r="M11" i="4" s="1"/>
  <c r="M12" i="4" l="1"/>
  <c r="M48" i="4" s="1"/>
  <c r="M49" i="4" s="1"/>
  <c r="M14" i="4" l="1"/>
  <c r="M16" i="4" s="1"/>
  <c r="M17" i="4" s="1"/>
  <c r="M61" i="4" s="1"/>
  <c r="M55" i="4"/>
  <c r="M53" i="4"/>
  <c r="M18" i="4" l="1"/>
  <c r="M41" i="4"/>
  <c r="M43" i="4" s="1"/>
  <c r="M64" i="4"/>
  <c r="M66" i="4" s="1"/>
  <c r="M68" i="4" s="1"/>
  <c r="N67" i="4" l="1"/>
  <c r="M21" i="4"/>
  <c r="M69" i="4"/>
  <c r="M70" i="4" l="1"/>
  <c r="M31" i="4"/>
  <c r="M44" i="4" s="1"/>
  <c r="N50" i="4" l="1"/>
  <c r="N57" i="4" s="1"/>
  <c r="N58" i="4" s="1"/>
  <c r="N10" i="4" l="1"/>
  <c r="N11" i="4" s="1"/>
  <c r="N12" i="4"/>
  <c r="N48" i="4" s="1"/>
  <c r="N49" i="4" s="1"/>
  <c r="N14" i="4" l="1"/>
  <c r="N16" i="4" s="1"/>
  <c r="N17" i="4" s="1"/>
  <c r="N18" i="4"/>
  <c r="N61" i="4"/>
  <c r="N53" i="4"/>
  <c r="N55" i="4"/>
  <c r="N41" i="4" l="1"/>
  <c r="N43" i="4" s="1"/>
  <c r="N64" i="4"/>
  <c r="N66" i="4" s="1"/>
  <c r="N68" i="4" s="1"/>
  <c r="N21" i="4" l="1"/>
  <c r="N69" i="4" s="1"/>
  <c r="N70" i="4" l="1"/>
  <c r="N31" i="4"/>
  <c r="N4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sheld</author>
    <author>Dell</author>
  </authors>
  <commentList>
    <comment ref="A113" authorId="0" shapeId="0" xr:uid="{109B1191-AD28-41B7-A32D-A8693A82ACA1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available.</t>
        </r>
      </text>
    </comment>
    <comment ref="A121" authorId="0" shapeId="0" xr:uid="{788EC630-F4F5-46C1-A298-6E638F140D88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available.</t>
        </r>
      </text>
    </comment>
    <comment ref="B126" authorId="0" shapeId="0" xr:uid="{A85DE07E-B984-4A99-8181-21F541463510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informaton on breakdown available. Total revenue remains the same as taken from annual report.</t>
        </r>
      </text>
    </comment>
    <comment ref="A128" authorId="0" shapeId="0" xr:uid="{DF7B7F10-825E-4094-A4E7-D5E80071E49A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Historical breakdown for Converse segments unavailable prior to 2019.</t>
        </r>
      </text>
    </comment>
    <comment ref="A165" authorId="1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  <comment ref="A185" authorId="0" shapeId="0" xr:uid="{0F4F6F7F-96F6-4987-8697-EB5FF44B828D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 or information.</t>
        </r>
      </text>
    </comment>
    <comment ref="A193" authorId="0" shapeId="0" xr:uid="{0A44B9E5-7F33-4DEE-9492-AA0ECF58F6F7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 or information.</t>
        </r>
      </text>
    </comment>
    <comment ref="A200" authorId="0" shapeId="0" xr:uid="{AD092112-3532-43C3-B18B-629F14C1EFC1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Historical breakdown for Converse segments unavailable prior to 2019.</t>
        </r>
      </text>
    </comment>
  </commentList>
</comments>
</file>

<file path=xl/sharedStrings.xml><?xml version="1.0" encoding="utf-8"?>
<sst xmlns="http://schemas.openxmlformats.org/spreadsheetml/2006/main" count="561" uniqueCount="253">
  <si>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</si>
  <si>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</si>
  <si>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</si>
  <si>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</si>
  <si>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</si>
  <si>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</si>
  <si>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</si>
  <si>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</si>
  <si>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</si>
  <si>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</si>
  <si>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</si>
  <si>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</si>
  <si>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</si>
  <si>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</si>
  <si>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</si>
  <si>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</si>
  <si>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</si>
  <si>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</si>
  <si>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</si>
  <si>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</si>
  <si>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Notes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</si>
  <si>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</si>
  <si>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</si>
  <si>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</si>
  <si>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</si>
  <si>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</si>
  <si>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</si>
  <si>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</si>
  <si>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</si>
  <si>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</si>
  <si>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</si>
  <si>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</si>
  <si>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</si>
  <si>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</si>
  <si>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</si>
  <si>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</si>
  <si>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</si>
  <si>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</si>
  <si>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</si>
  <si>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</si>
  <si>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</si>
  <si>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</si>
  <si>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</si>
  <si>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</si>
  <si>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</si>
  <si>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</si>
  <si>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</si>
  <si>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</si>
  <si>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</si>
  <si>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</si>
  <si>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</si>
  <si>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</si>
  <si>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</si>
  <si>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</si>
  <si>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</si>
  <si>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</si>
  <si>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</si>
  <si>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</si>
  <si>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</si>
  <si>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</si>
  <si>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</si>
  <si>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</si>
  <si>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</si>
  <si>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</si>
  <si>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</si>
  <si>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</si>
  <si>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</si>
  <si>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</si>
  <si>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</si>
  <si>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</si>
  <si>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</si>
  <si>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</si>
  <si>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</si>
  <si>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</si>
  <si>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</si>
  <si>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</si>
  <si>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</si>
  <si>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</si>
  <si>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</si>
  <si>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</si>
  <si>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</si>
  <si>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</si>
  <si>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</si>
  <si>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</si>
  <si>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</si>
  <si>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</si>
  <si>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</si>
  <si>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</si>
  <si>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</si>
  <si>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</si>
  <si>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</si>
  <si>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</si>
  <si>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</si>
  <si>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</si>
  <si>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</si>
  <si>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</si>
  <si>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</si>
  <si>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</si>
  <si>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</si>
  <si>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</si>
  <si>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</si>
  <si>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</si>
  <si>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</si>
  <si>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</si>
  <si>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</si>
  <si>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</si>
  <si>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</si>
  <si>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</si>
  <si>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</si>
  <si>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</si>
  <si>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</si>
  <si>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</si>
  <si>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</si>
  <si>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</si>
  <si>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</si>
  <si>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</si>
  <si>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</si>
  <si>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</si>
  <si>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</si>
  <si>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</si>
  <si>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</si>
  <si>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</si>
  <si>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</si>
  <si>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</si>
  <si>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</si>
  <si>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</si>
  <si>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</si>
  <si>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</si>
  <si>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Investments in reverse repurchase agreements</t>
  </si>
  <si>
    <t>Disposals of property, plant and equipment</t>
  </si>
  <si>
    <t>Group Totals</t>
  </si>
  <si>
    <t>Group Revenue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</si>
  <si>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</si>
  <si>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</si>
  <si>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</si>
  <si>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</si>
  <si>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</si>
  <si>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</si>
  <si>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</si>
  <si>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</si>
  <si>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</si>
  <si>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</si>
  <si>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r>
      <rPr>
        <b/>
        <sz val="16"/>
        <color rgb="FFFFFFFF"/>
        <rFont val="Calibri"/>
        <family val="2"/>
      </rPr>
      <t>NIKE, INC.</t>
    </r>
    <r>
      <rPr>
        <b/>
        <sz val="20"/>
        <color rgb="FFFFFFFF"/>
        <rFont val="Calibri"/>
        <family val="2"/>
      </rPr>
      <t xml:space="preserve">
</t>
    </r>
    <r>
      <rPr>
        <sz val="11"/>
        <color rgb="FFFFFFFF"/>
        <rFont val="Calibri"/>
        <family val="2"/>
      </rPr>
      <t>(Dollars and Shares in Millions Except Per Share Amounts)</t>
    </r>
  </si>
  <si>
    <t>Property, plant and equipment</t>
  </si>
  <si>
    <t>As a % of PPE</t>
  </si>
  <si>
    <t>Income Statement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</si>
  <si>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</si>
  <si>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</si>
  <si>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</si>
  <si>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</si>
  <si>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</si>
  <si>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</si>
  <si>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</si>
  <si>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</si>
  <si>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</si>
  <si>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</si>
  <si>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</si>
  <si>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</si>
  <si>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</si>
  <si>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</si>
  <si>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</si>
  <si>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</si>
  <si>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</si>
  <si>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</si>
  <si>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</si>
  <si>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</si>
  <si>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</si>
  <si>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</si>
  <si>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</si>
  <si>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</si>
  <si>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</si>
  <si>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</si>
  <si>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</si>
  <si>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</si>
  <si>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</si>
  <si>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</si>
  <si>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</si>
  <si>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</si>
  <si>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</si>
  <si>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</si>
  <si>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</si>
  <si>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</si>
  <si>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</si>
  <si>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</si>
  <si>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</si>
  <si>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</si>
  <si>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</si>
  <si>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</si>
  <si>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</si>
  <si>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</si>
  <si>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</si>
  <si>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</si>
  <si>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</si>
  <si>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Unlikely to change due to trend over past 3 years</t>
  </si>
  <si>
    <t>Linear regression forecast - revenue growth was volatile even before the pandemic, while Nike predicts low double digit growth overall in 2023, a more conservative forecast fits the overall trend and continues the trend from 2021 to 2022</t>
  </si>
  <si>
    <t>Linear regression forecast - growth in APLA has been fairly consistent in this region, a linear regression average makes sense</t>
  </si>
  <si>
    <t>It is unlikely that brand licensing will grow at a rate comparable to that of 2022, historically there are more instances of negative growth than positive</t>
  </si>
  <si>
    <t>Linear regression forecast - this carries the trend of growth in good years at a good average rate</t>
  </si>
  <si>
    <t>Linear regression forecast - Nike has seen good growth in some years, but has considered a conservative estimate for growth in Greater China due to continiung COVID-19 impact</t>
  </si>
  <si>
    <t>Linear regression forecast - disregarding the negative growth in 2020, there is a fairly steady growth in EMEA</t>
  </si>
  <si>
    <t>Linear regression forecast - growth was largely negative historically, although an increase was seen in 2022 it cannot be assumed that this will continue</t>
  </si>
  <si>
    <t>Comments</t>
  </si>
  <si>
    <t>Nike predicts a tax rate in the mid-teens range, this is consistent with the historical average not counting the 2018 outlier rate.</t>
  </si>
  <si>
    <t>Historical average</t>
  </si>
  <si>
    <t>Nike believes that existing cash, cash equivalents, short-term investments and cash generated by operations, together with access to external sources of funds will be sufficient to meet domestic and foreign capital needs in the foreseeable future</t>
  </si>
  <si>
    <t>Based on Nike's stated scheduled maturity</t>
  </si>
  <si>
    <t>As of and for the period ended May 31, 2022, no amounts were outstanding under any of the Company's committed credit facilities.</t>
  </si>
  <si>
    <t>Average payout percentage disregarding outlier years</t>
  </si>
  <si>
    <t>1 year Average share price - Sourced from Yahoo finance</t>
  </si>
  <si>
    <t>Forecasted share buy back based on growth (5% per year)</t>
  </si>
  <si>
    <t>Based on historical average of cash tax as percentage of opening debt (cash)</t>
  </si>
  <si>
    <t xml:space="preserve">Value of Equity per Share </t>
  </si>
  <si>
    <t xml:space="preserve">Value of Equity </t>
  </si>
  <si>
    <t xml:space="preserve">Book Value of Debt </t>
  </si>
  <si>
    <t xml:space="preserve">Value of the firm </t>
  </si>
  <si>
    <t xml:space="preserve">Present Value of Terminal Value of Firm </t>
  </si>
  <si>
    <t xml:space="preserve">Present Value of FCFF in high growth phase </t>
  </si>
  <si>
    <t>Calculate for periods from 2022 onwards</t>
  </si>
  <si>
    <t>Present Values</t>
  </si>
  <si>
    <t>Calculate from Income statement sheet</t>
  </si>
  <si>
    <t>Debt Ratio</t>
  </si>
  <si>
    <t>Cost of Debt</t>
  </si>
  <si>
    <t>S&amp;P 500 index 1 year return (Source from a financial website)</t>
  </si>
  <si>
    <t>Rm</t>
  </si>
  <si>
    <t>https://www.treasury.gov/resource-center/data-chart-center/interest-rates/Pages/TextView.aspx?data=longtermrate</t>
  </si>
  <si>
    <t>Rf</t>
  </si>
  <si>
    <t>CAPM</t>
  </si>
  <si>
    <t>Cost of Equity</t>
  </si>
  <si>
    <t>Source from a financial website</t>
  </si>
  <si>
    <t>Beta</t>
  </si>
  <si>
    <t>Calculate using below figures</t>
  </si>
  <si>
    <t>WACC</t>
  </si>
  <si>
    <t>Extend the FCFF to 2027, forecast FCFF based on historical growth trend for 2024-terminal year</t>
  </si>
  <si>
    <t xml:space="preserve">FCFF in high growth phase </t>
  </si>
  <si>
    <t>ROE</t>
  </si>
  <si>
    <t>Debt/Capital</t>
  </si>
  <si>
    <t>Debt/Equity</t>
  </si>
  <si>
    <t>EV/FCFF</t>
  </si>
  <si>
    <t>EV/EBITDA</t>
  </si>
  <si>
    <t>P/BV</t>
  </si>
  <si>
    <t>P/E</t>
  </si>
  <si>
    <t>EV</t>
  </si>
  <si>
    <t>Average Share Price</t>
  </si>
  <si>
    <t>Mulitples</t>
  </si>
  <si>
    <t>Terminal year</t>
  </si>
  <si>
    <t>Instructions</t>
  </si>
  <si>
    <t>NIKE, INC.
(Dollars and Shares in Millions Except Per Share Amounts)</t>
  </si>
  <si>
    <t>Follow the instructions on the Schedules sheet and complete the schedule</t>
  </si>
  <si>
    <t>Obtain share prices at Yahoo Finance by filtering relevant financial year for monthly average shareprice and calculate the average of 12 months to obtain annual average share price</t>
  </si>
  <si>
    <t>https://finance.yahoo.com/quote/NKE/history?p=NKE</t>
  </si>
  <si>
    <t>Copy this sheet to your finalized model from the previous task</t>
  </si>
  <si>
    <t>Submission time is 3 days from the day the task was given to you</t>
  </si>
  <si>
    <t>Feel free to reach out, if you have any questions or issues related to the task.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</si>
</sst>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&quot;$&quot;* #,##0_);_(&quot;$&quot;* \(#,##0\);_(&quot;$&quot;* &quot;-&quot;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20"/>
      <color rgb="FFFFFFFF"/>
      <name val="Calibri"/>
      <family val="2"/>
    </font>
    <font>
      <b/>
      <sz val="16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i/>
      <sz val="9"/>
      <color rgb="FF000000"/>
      <name val="Calibri"/>
      <family val="2"/>
    </font>
    <font>
      <i/>
      <sz val="10"/>
      <color rgb="FF000000"/>
      <name val="Calibri"/>
      <family val="2"/>
    </font>
    <font>
      <i/>
      <sz val="10"/>
      <color rgb="FF002060"/>
      <name val="Calibri"/>
      <family val="2"/>
      <scheme val="minor"/>
    </font>
    <font>
      <i/>
      <sz val="10"/>
      <color rgb="FF002060"/>
      <name val="Calibri"/>
      <family val="2"/>
    </font>
    <font>
      <b/>
      <sz val="11"/>
      <color theme="1"/>
      <name val="Calibri"/>
      <family val="2"/>
    </font>
    <font>
      <i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002060"/>
        <bgColor rgb="FF000000"/>
      </patternFill>
    </fill>
    <fill>
      <patternFill patternType="solid">
        <fgColor rgb="FF8497B0"/>
        <bgColor rgb="FF000000"/>
      </patternFill>
    </fill>
    <fill>
      <patternFill patternType="solid">
        <fgColor rgb="FF4472C4"/>
        <bgColor rgb="FFFFFFFF"/>
      </patternFill>
    </fill>
    <fill>
      <patternFill patternType="solid">
        <fgColor rgb="FF8EA9DB"/>
        <bgColor rgb="FFFFFFFF"/>
      </patternFill>
    </fill>
    <fill>
      <patternFill patternType="solid">
        <fgColor rgb="FFEDEDED"/>
        <bgColor rgb="FF000000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>
      <alignment vertical="top"/>
    </xf>
    <xf numFmtId="0" fontId="14" fillId="0" borderId="0">
      <alignment vertical="top"/>
    </xf>
    <xf numFmtId="0" fontId="3" fillId="5" borderId="0" applyNumberFormat="0" applyBorder="0" applyAlignment="0" applyProtection="0"/>
    <xf numFmtId="0" fontId="1" fillId="6" borderId="0" applyNumberFormat="0" applyBorder="0" applyAlignment="0" applyProtection="0"/>
    <xf numFmtId="43" fontId="1" fillId="0" borderId="0" applyFont="0" applyFill="0" applyBorder="0" applyAlignment="0" applyProtection="0"/>
    <xf numFmtId="0" fontId="3" fillId="6" borderId="0" applyNumberFormat="0" applyBorder="0" applyAlignment="0" applyProtection="0"/>
    <xf numFmtId="0" fontId="28" fillId="0" borderId="0" applyNumberForma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37" fontId="13" fillId="0" borderId="0" xfId="0" applyNumberFormat="1" applyFont="1" applyAlignment="1">
      <alignment vertical="top"/>
    </xf>
    <xf numFmtId="164" fontId="14" fillId="0" borderId="0" xfId="0" applyNumberFormat="1" applyFont="1" applyAlignment="1">
      <alignment vertical="top"/>
    </xf>
    <xf numFmtId="37" fontId="14" fillId="0" borderId="0" xfId="0" applyNumberFormat="1" applyFont="1" applyAlignment="1">
      <alignment vertical="top"/>
    </xf>
    <xf numFmtId="37" fontId="13" fillId="0" borderId="0" xfId="4" applyNumberFormat="1">
      <alignment vertical="top"/>
    </xf>
    <xf numFmtId="165" fontId="1" fillId="0" borderId="0" xfId="1" applyNumberFormat="1" applyFont="1"/>
    <xf numFmtId="37" fontId="15" fillId="0" borderId="0" xfId="0" applyNumberFormat="1" applyFont="1" applyAlignment="1">
      <alignment vertical="top"/>
    </xf>
    <xf numFmtId="37" fontId="15" fillId="0" borderId="0" xfId="4" applyNumberFormat="1" applyFont="1">
      <alignment vertical="top"/>
    </xf>
    <xf numFmtId="37" fontId="0" fillId="0" borderId="0" xfId="0" applyNumberFormat="1"/>
    <xf numFmtId="37" fontId="14" fillId="0" borderId="0" xfId="5" applyNumberFormat="1">
      <alignment vertical="top"/>
    </xf>
    <xf numFmtId="167" fontId="13" fillId="0" borderId="0" xfId="0" applyNumberFormat="1" applyFont="1" applyAlignment="1">
      <alignment vertical="top"/>
    </xf>
    <xf numFmtId="166" fontId="0" fillId="0" borderId="0" xfId="0" applyNumberFormat="1"/>
    <xf numFmtId="166" fontId="11" fillId="4" borderId="0" xfId="2" applyNumberFormat="1" applyFont="1" applyFill="1"/>
    <xf numFmtId="0" fontId="0" fillId="4" borderId="0" xfId="0" applyFill="1"/>
    <xf numFmtId="165" fontId="0" fillId="4" borderId="0" xfId="1" applyNumberFormat="1" applyFont="1" applyFill="1"/>
    <xf numFmtId="0" fontId="16" fillId="7" borderId="0" xfId="0" applyFont="1" applyFill="1" applyAlignment="1">
      <alignment vertical="center" wrapText="1"/>
    </xf>
    <xf numFmtId="0" fontId="19" fillId="7" borderId="0" xfId="0" applyFont="1" applyFill="1" applyAlignment="1">
      <alignment horizontal="right"/>
    </xf>
    <xf numFmtId="0" fontId="20" fillId="8" borderId="0" xfId="0" applyFont="1" applyFill="1"/>
    <xf numFmtId="165" fontId="19" fillId="9" borderId="0" xfId="6" applyNumberFormat="1" applyFont="1" applyFill="1" applyBorder="1" applyAlignment="1">
      <alignment horizontal="left"/>
    </xf>
    <xf numFmtId="165" fontId="20" fillId="0" borderId="0" xfId="1" applyNumberFormat="1" applyFont="1" applyFill="1" applyBorder="1"/>
    <xf numFmtId="165" fontId="22" fillId="0" borderId="0" xfId="1" applyNumberFormat="1" applyFont="1" applyFill="1" applyBorder="1" applyAlignment="1">
      <alignment horizontal="left" indent="1"/>
    </xf>
    <xf numFmtId="165" fontId="20" fillId="10" borderId="0" xfId="7" applyNumberFormat="1" applyFont="1" applyFill="1" applyBorder="1"/>
    <xf numFmtId="165" fontId="22" fillId="0" borderId="0" xfId="1" applyNumberFormat="1" applyFont="1" applyFill="1" applyBorder="1" applyAlignment="1">
      <alignment horizontal="left" indent="2"/>
    </xf>
    <xf numFmtId="166" fontId="23" fillId="0" borderId="0" xfId="2" applyNumberFormat="1" applyFont="1" applyFill="1" applyBorder="1" applyAlignment="1">
      <alignment horizontal="right"/>
    </xf>
    <xf numFmtId="165" fontId="21" fillId="0" borderId="0" xfId="1" applyNumberFormat="1" applyFont="1" applyFill="1" applyBorder="1" applyAlignment="1">
      <alignment horizontal="left" indent="1"/>
    </xf>
    <xf numFmtId="165" fontId="21" fillId="0" borderId="0" xfId="1" applyNumberFormat="1" applyFont="1" applyFill="1" applyBorder="1"/>
    <xf numFmtId="165" fontId="20" fillId="0" borderId="0" xfId="0" applyNumberFormat="1" applyFont="1"/>
    <xf numFmtId="166" fontId="11" fillId="0" borderId="0" xfId="2" applyNumberFormat="1" applyFont="1" applyAlignment="1">
      <alignment horizontal="right"/>
    </xf>
    <xf numFmtId="166" fontId="25" fillId="11" borderId="0" xfId="2" applyNumberFormat="1" applyFont="1" applyFill="1" applyBorder="1"/>
    <xf numFmtId="165" fontId="2" fillId="0" borderId="0" xfId="1" applyNumberFormat="1" applyFont="1" applyFill="1"/>
    <xf numFmtId="166" fontId="11" fillId="0" borderId="0" xfId="2" applyNumberFormat="1" applyFont="1" applyFill="1" applyAlignment="1">
      <alignment horizontal="right"/>
    </xf>
    <xf numFmtId="165" fontId="0" fillId="0" borderId="0" xfId="1" applyNumberFormat="1" applyFont="1" applyFill="1"/>
    <xf numFmtId="166" fontId="24" fillId="0" borderId="0" xfId="2" applyNumberFormat="1" applyFont="1" applyFill="1"/>
    <xf numFmtId="165" fontId="2" fillId="0" borderId="0" xfId="0" applyNumberFormat="1" applyFont="1"/>
    <xf numFmtId="165" fontId="26" fillId="0" borderId="0" xfId="1" applyNumberFormat="1" applyFont="1" applyFill="1" applyBorder="1"/>
    <xf numFmtId="0" fontId="2" fillId="12" borderId="0" xfId="0" applyFont="1" applyFill="1"/>
    <xf numFmtId="165" fontId="6" fillId="5" borderId="0" xfId="6" applyNumberFormat="1" applyFont="1" applyBorder="1" applyAlignment="1">
      <alignment horizontal="left"/>
    </xf>
    <xf numFmtId="165" fontId="27" fillId="0" borderId="0" xfId="1" applyNumberFormat="1" applyFont="1" applyBorder="1" applyAlignment="1">
      <alignment horizontal="left" indent="1"/>
    </xf>
    <xf numFmtId="166" fontId="27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27" fillId="0" borderId="0" xfId="1" applyNumberFormat="1" applyFont="1" applyAlignment="1">
      <alignment horizontal="left"/>
    </xf>
    <xf numFmtId="166" fontId="27" fillId="0" borderId="0" xfId="2" applyNumberFormat="1" applyFont="1" applyAlignment="1">
      <alignment horizontal="right"/>
    </xf>
    <xf numFmtId="164" fontId="0" fillId="0" borderId="0" xfId="1" applyFont="1"/>
    <xf numFmtId="0" fontId="6" fillId="5" borderId="0" xfId="6" applyFont="1"/>
    <xf numFmtId="0" fontId="0" fillId="0" borderId="0" xfId="0" applyAlignment="1">
      <alignment horizontal="left"/>
    </xf>
    <xf numFmtId="165" fontId="0" fillId="0" borderId="0" xfId="0" applyNumberFormat="1"/>
    <xf numFmtId="166" fontId="27" fillId="13" borderId="0" xfId="2" applyNumberFormat="1" applyFont="1" applyFill="1" applyAlignment="1">
      <alignment horizontal="right"/>
    </xf>
    <xf numFmtId="164" fontId="5" fillId="0" borderId="0" xfId="1" applyFont="1" applyBorder="1"/>
    <xf numFmtId="165" fontId="15" fillId="0" borderId="0" xfId="4" applyNumberFormat="1" applyFont="1">
      <alignment vertical="top"/>
    </xf>
    <xf numFmtId="165" fontId="0" fillId="0" borderId="0" xfId="3" applyNumberFormat="1" applyFont="1"/>
    <xf numFmtId="2" fontId="0" fillId="0" borderId="0" xfId="0" applyNumberFormat="1"/>
    <xf numFmtId="166" fontId="27" fillId="14" borderId="0" xfId="2" applyNumberFormat="1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166" fontId="0" fillId="0" borderId="0" xfId="2" applyNumberFormat="1" applyFont="1" applyFill="1"/>
    <xf numFmtId="0" fontId="28" fillId="0" borderId="0" xfId="10" applyAlignment="1">
      <alignment horizontal="left" indent="1"/>
    </xf>
    <xf numFmtId="0" fontId="29" fillId="0" borderId="0" xfId="0" applyFont="1"/>
    <xf numFmtId="10" fontId="29" fillId="0" borderId="0" xfId="2" applyNumberFormat="1" applyFont="1" applyBorder="1"/>
    <xf numFmtId="10" fontId="27" fillId="0" borderId="0" xfId="2" applyNumberFormat="1" applyFont="1" applyBorder="1" applyAlignment="1">
      <alignment horizontal="left"/>
    </xf>
    <xf numFmtId="10" fontId="29" fillId="0" borderId="0" xfId="1" applyNumberFormat="1" applyFont="1" applyBorder="1" applyAlignment="1">
      <alignment horizontal="right"/>
    </xf>
    <xf numFmtId="166" fontId="0" fillId="0" borderId="0" xfId="2" applyNumberFormat="1" applyFont="1"/>
    <xf numFmtId="164" fontId="0" fillId="0" borderId="0" xfId="0" applyNumberFormat="1"/>
    <xf numFmtId="0" fontId="0" fillId="16" borderId="0" xfId="0" applyFill="1"/>
    <xf numFmtId="0" fontId="6" fillId="17" borderId="0" xfId="0" applyFont="1" applyFill="1" applyAlignment="1">
      <alignment horizontal="right" wrapText="1"/>
    </xf>
    <xf numFmtId="0" fontId="6" fillId="17" borderId="0" xfId="0" applyFont="1" applyFill="1" applyAlignment="1">
      <alignment horizontal="right"/>
    </xf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vertical="center" wrapText="1"/>
    </xf>
    <xf numFmtId="4" fontId="0" fillId="0" borderId="0" xfId="0" applyNumberFormat="1"/>
    <xf numFmtId="10" fontId="29" fillId="15" borderId="0" xfId="0" applyNumberFormat="1" applyFont="1" applyFill="1"/>
    <xf numFmtId="0" fontId="0" fillId="0" borderId="0" xfId="0" applyAlignment="1">
      <alignment horizontal="left" wrapText="1"/>
    </xf>
    <xf numFmtId="0" fontId="28" fillId="0" borderId="0" xfId="10" applyAlignment="1">
      <alignment horizontal="left" wrapText="1"/>
    </xf>
    <xf numFmtId="0" fontId="30" fillId="0" borderId="0" xfId="0" applyFont="1" applyAlignment="1">
      <alignment horizontal="left" wrapText="1"/>
    </xf>
    <xf numFmtId="0" fontId="0" fillId="0" borderId="0" xfId="0" applyAlignment="1">
      <alignment horizontal="left" wrapText="1" indent="1"/>
    </xf>
    <xf numFmtId="10" fontId="0" fillId="0" borderId="0" xfId="2" applyNumberFormat="1" applyFont="1"/>
    <xf numFmtId="10" fontId="0" fillId="0" borderId="0" xfId="0" applyNumberFormat="1"/>
    <xf numFmtId="43" fontId="0" fillId="0" borderId="9" xfId="0" applyNumberFormat="1" applyBorder="1"/>
    <xf numFmtId="43" fontId="0" fillId="0" borderId="7" xfId="0" applyNumberFormat="1" applyBorder="1"/>
    <xf numFmtId="165" fontId="0" fillId="0" borderId="7" xfId="0" applyNumberFormat="1" applyBorder="1"/>
    <xf numFmtId="43" fontId="0" fillId="0" borderId="5" xfId="0" applyNumberFormat="1" applyBorder="1"/>
  </cellXfs>
  <cellStyles count="11">
    <cellStyle name="60% - Accent1" xfId="7" builtinId="32"/>
    <cellStyle name="60% - Accent1 2" xfId="9" xr:uid="{DBC32A61-58DF-4E2F-859A-C8D9E6E91C78}"/>
    <cellStyle name="Accent1" xfId="6" builtinId="29"/>
    <cellStyle name="Comma" xfId="1" builtinId="3"/>
    <cellStyle name="Comma 2" xfId="3" xr:uid="{00000000-0005-0000-0000-000001000000}"/>
    <cellStyle name="Comma 2 2" xfId="8" xr:uid="{68DFCA87-AC42-4DD8-9573-BD9D40E01AC7}"/>
    <cellStyle name="Hyperlink" xfId="10" builtinId="8"/>
    <cellStyle name="Normal" xfId="0" builtinId="0"/>
    <cellStyle name="Normal 2" xfId="5" xr:uid="{4FE8A8CA-3F73-4285-BCCB-D7F40B1CD789}"/>
    <cellStyle name="Normal 3" xfId="4" xr:uid="{F3A34F2A-AD09-43CA-8ACA-9FD0F4EBCC7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6918960</xdr:colOff>
      <xdr:row>28</xdr:row>
      <xdr:rowOff>144780</xdr:rowOff>
    </xdr:from>
    <xdr:to>
      <xdr:col>3</xdr:col>
      <xdr:colOff>167640</xdr:colOff>
      <xdr:row>39</xdr:row>
      <xdr:rowOff>7620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6918960" y="560832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137160</xdr:colOff>
      <xdr:row>29</xdr:row>
      <xdr:rowOff>0</xdr:rowOff>
    </xdr:from>
    <xdr:to>
      <xdr:col>0</xdr:col>
      <xdr:colOff>4175760</xdr:colOff>
      <xdr:row>48</xdr:row>
      <xdr:rowOff>53341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137160" y="564642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4175760</xdr:colOff>
      <xdr:row>25</xdr:row>
      <xdr:rowOff>60960</xdr:rowOff>
    </xdr:from>
    <xdr:to>
      <xdr:col>0</xdr:col>
      <xdr:colOff>5935980</xdr:colOff>
      <xdr:row>31</xdr:row>
      <xdr:rowOff>68580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175760" y="497586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4183380</xdr:colOff>
      <xdr:row>31</xdr:row>
      <xdr:rowOff>129540</xdr:rowOff>
    </xdr:from>
    <xdr:to>
      <xdr:col>0</xdr:col>
      <xdr:colOff>5981700</xdr:colOff>
      <xdr:row>37</xdr:row>
      <xdr:rowOff>137160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183380" y="614172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4198620</xdr:colOff>
      <xdr:row>38</xdr:row>
      <xdr:rowOff>0</xdr:rowOff>
    </xdr:from>
    <xdr:to>
      <xdr:col>0</xdr:col>
      <xdr:colOff>6141720</xdr:colOff>
      <xdr:row>44</xdr:row>
      <xdr:rowOff>7620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198620" y="729234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4213860</xdr:colOff>
      <xdr:row>44</xdr:row>
      <xdr:rowOff>7620</xdr:rowOff>
    </xdr:from>
    <xdr:to>
      <xdr:col>0</xdr:col>
      <xdr:colOff>6941820</xdr:colOff>
      <xdr:row>51</xdr:row>
      <xdr:rowOff>53340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213860" y="839724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2164080</xdr:colOff>
      <xdr:row>48</xdr:row>
      <xdr:rowOff>68580</xdr:rowOff>
    </xdr:from>
    <xdr:to>
      <xdr:col>0</xdr:col>
      <xdr:colOff>4602480</xdr:colOff>
      <xdr:row>54</xdr:row>
      <xdr:rowOff>114300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2811780" y="854202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inance.yahoo.com/quote/NKE/history?p=NK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treasury.gov/resource-center/data-chart-center/interest-rates/Pages/TextView.aspx?data=longtermr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4"/>
  <sheetViews>
    <sheetView workbookViewId="0">
      <selection activeCell="A2" sqref="A2:A10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ht="23.4" x14ac:dyDescent="0.45">
      <c r="A2" s="18" t="s">
        <v>20</v>
      </c>
    </row>
    <row r="3" spans="1:1" x14ac:dyDescent="0.3">
      <c r="A3" s="110" t="s">
        <v>252</v>
      </c>
    </row>
    <row r="4" spans="1:1" x14ac:dyDescent="0.3">
      <c r="A4" s="111"/>
    </row>
    <row r="5" spans="1:1" ht="23.4" x14ac:dyDescent="0.45">
      <c r="A5" s="18" t="s">
        <v>245</v>
      </c>
    </row>
    <row r="6" spans="1:1" x14ac:dyDescent="0.3">
      <c r="A6" s="108" t="s">
        <v>247</v>
      </c>
    </row>
    <row r="7" spans="1:1" x14ac:dyDescent="0.3">
      <c r="A7" s="108" t="s">
        <v>248</v>
      </c>
    </row>
    <row r="8" spans="1:1" x14ac:dyDescent="0.3">
      <c r="A8" s="109" t="s">
        <v>249</v>
      </c>
    </row>
    <row r="9" spans="1:1" x14ac:dyDescent="0.3">
      <c r="A9" s="108" t="s">
        <v>250</v>
      </c>
    </row>
    <row r="10" spans="1:1" x14ac:dyDescent="0.3">
      <c r="A10" s="19" t="s">
        <v>251</v>
      </c>
    </row>
    <row r="11" spans="1:1" x14ac:dyDescent="0.3">
      <c r="A11"/>
    </row>
    <row r="12" spans="1:1" x14ac:dyDescent="0.3">
      <c r="A12"/>
    </row>
    <row r="13" spans="1:1" x14ac:dyDescent="0.3">
      <c r="A13"/>
    </row>
    <row r="14" spans="1:1" x14ac:dyDescent="0.3">
      <c r="A14"/>
    </row>
    <row r="15" spans="1:1" x14ac:dyDescent="0.3">
      <c r="A15"/>
    </row>
    <row r="16" spans="1:1" x14ac:dyDescent="0.3">
      <c r="A16"/>
    </row>
    <row r="17" spans="1:1" x14ac:dyDescent="0.3">
      <c r="A17"/>
    </row>
    <row r="18" spans="1:1" x14ac:dyDescent="0.3">
      <c r="A18"/>
    </row>
    <row r="19" spans="1:1" x14ac:dyDescent="0.3">
      <c r="A19"/>
    </row>
    <row r="20" spans="1:1" x14ac:dyDescent="0.3">
      <c r="A20"/>
    </row>
    <row r="21" spans="1:1" x14ac:dyDescent="0.3">
      <c r="A21"/>
    </row>
    <row r="22" spans="1:1" x14ac:dyDescent="0.3">
      <c r="A22"/>
    </row>
    <row r="23" spans="1:1" x14ac:dyDescent="0.3">
      <c r="A23"/>
    </row>
    <row r="24" spans="1:1" x14ac:dyDescent="0.3">
      <c r="A24"/>
    </row>
  </sheetData>
  <hyperlinks>
    <hyperlink ref="A8" r:id="rId1" xr:uid="{CFDA4571-6BF3-4E43-A6CB-96FB6536DF34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6"/>
  <sheetViews>
    <sheetView workbookViewId="0">
      <pane ySplit="1" topLeftCell="A12" activePane="bottomLeft" state="frozen"/>
      <selection pane="bottomLeft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  <col min="11" max="11" width="10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2" t="s">
        <v>28</v>
      </c>
      <c r="B3" s="23">
        <v>16534</v>
      </c>
      <c r="C3" s="23">
        <v>17405</v>
      </c>
      <c r="D3" s="23">
        <v>19038</v>
      </c>
      <c r="E3" s="23">
        <v>20441</v>
      </c>
      <c r="F3" s="23">
        <v>21643</v>
      </c>
      <c r="G3" s="23">
        <v>21162</v>
      </c>
      <c r="H3" s="23">
        <v>24576</v>
      </c>
      <c r="I3" s="23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1" t="s">
        <v>23</v>
      </c>
      <c r="B7" s="20">
        <f t="shared" ref="B7:H7" si="2">+B5+B6</f>
        <v>9892</v>
      </c>
      <c r="C7" s="20">
        <f t="shared" si="2"/>
        <v>10469</v>
      </c>
      <c r="D7" s="20">
        <f t="shared" si="2"/>
        <v>10563</v>
      </c>
      <c r="E7" s="20">
        <f t="shared" si="2"/>
        <v>11511</v>
      </c>
      <c r="F7" s="20">
        <f t="shared" si="2"/>
        <v>12702</v>
      </c>
      <c r="G7" s="20">
        <f t="shared" si="2"/>
        <v>13126</v>
      </c>
      <c r="H7" s="20">
        <f t="shared" si="2"/>
        <v>13025</v>
      </c>
      <c r="I7" s="20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7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7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7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7">
        <v>2587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21379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>
        <v>0</v>
      </c>
      <c r="C53" s="3">
        <v>0</v>
      </c>
      <c r="D53" s="3">
        <v>0</v>
      </c>
      <c r="E53" s="38">
        <v>0</v>
      </c>
      <c r="F53" s="3">
        <v>0</v>
      </c>
      <c r="G53" s="3">
        <v>0</v>
      </c>
      <c r="H53" s="3">
        <v>0</v>
      </c>
      <c r="I53" s="3">
        <v>0</v>
      </c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9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9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9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9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21379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 t="shared" ref="B64:G64" si="12">+B12</f>
        <v>3273</v>
      </c>
      <c r="C64" s="9">
        <f t="shared" si="12"/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11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11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11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  <c r="K67" s="81"/>
    </row>
    <row r="68" spans="1:11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11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11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11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11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40">
        <v>1239</v>
      </c>
      <c r="H72" s="3">
        <v>-1606</v>
      </c>
      <c r="I72" s="3">
        <v>-504</v>
      </c>
    </row>
    <row r="73" spans="1:11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40">
        <v>-1854</v>
      </c>
      <c r="H73" s="3">
        <v>507</v>
      </c>
      <c r="I73" s="3">
        <v>-1676</v>
      </c>
    </row>
    <row r="74" spans="1:11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11" x14ac:dyDescent="0.3">
      <c r="A75" s="11" t="s">
        <v>97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11" x14ac:dyDescent="0.3">
      <c r="A76" s="24" t="s">
        <v>74</v>
      </c>
      <c r="B76" s="25">
        <f t="shared" ref="B76:H76" si="13">+SUM(B64:B75)</f>
        <v>4680</v>
      </c>
      <c r="C76" s="25">
        <f t="shared" si="13"/>
        <v>3399</v>
      </c>
      <c r="D76" s="25">
        <f t="shared" si="13"/>
        <v>3846</v>
      </c>
      <c r="E76" s="25">
        <f t="shared" si="13"/>
        <v>4955</v>
      </c>
      <c r="F76" s="25">
        <f t="shared" si="13"/>
        <v>5903</v>
      </c>
      <c r="G76" s="25">
        <f t="shared" si="13"/>
        <v>2485</v>
      </c>
      <c r="H76" s="25">
        <f t="shared" si="13"/>
        <v>6657</v>
      </c>
      <c r="I76" s="25">
        <f>+SUM(I64:I75)</f>
        <v>5188</v>
      </c>
    </row>
    <row r="77" spans="1:11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11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11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11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11" x14ac:dyDescent="0.3">
      <c r="A81" s="2" t="s">
        <v>128</v>
      </c>
      <c r="B81" s="3">
        <v>-150</v>
      </c>
      <c r="C81" s="3">
        <v>150</v>
      </c>
      <c r="D81" s="3">
        <v>0</v>
      </c>
      <c r="E81" s="3">
        <v>0</v>
      </c>
      <c r="F81" s="3">
        <v>0</v>
      </c>
      <c r="G81" s="3">
        <v>0</v>
      </c>
      <c r="H81" s="3"/>
      <c r="I81" s="3"/>
    </row>
    <row r="82" spans="1:11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11" x14ac:dyDescent="0.3">
      <c r="A83" s="2" t="s">
        <v>129</v>
      </c>
      <c r="B83" s="3">
        <v>3</v>
      </c>
      <c r="C83" s="3">
        <v>10</v>
      </c>
      <c r="D83" s="3">
        <v>13</v>
      </c>
      <c r="E83" s="3">
        <v>3</v>
      </c>
      <c r="F83" s="3">
        <v>0</v>
      </c>
      <c r="G83" s="3">
        <v>0</v>
      </c>
      <c r="H83" s="3"/>
      <c r="I83" s="3"/>
    </row>
    <row r="84" spans="1:11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11" x14ac:dyDescent="0.3">
      <c r="A85" s="26" t="s">
        <v>80</v>
      </c>
      <c r="B85" s="25">
        <f t="shared" ref="B85:H85" si="14">+SUM(B78:B84)</f>
        <v>-175</v>
      </c>
      <c r="C85" s="25">
        <f t="shared" si="14"/>
        <v>-1034</v>
      </c>
      <c r="D85" s="25">
        <f t="shared" si="14"/>
        <v>-1008</v>
      </c>
      <c r="E85" s="25">
        <f t="shared" si="14"/>
        <v>276</v>
      </c>
      <c r="F85" s="25">
        <f t="shared" si="14"/>
        <v>-264</v>
      </c>
      <c r="G85" s="25">
        <f t="shared" si="14"/>
        <v>-1028</v>
      </c>
      <c r="H85" s="25">
        <f t="shared" si="14"/>
        <v>-3800</v>
      </c>
      <c r="I85" s="25">
        <f>+SUM(I78:I84)</f>
        <v>-1524</v>
      </c>
    </row>
    <row r="86" spans="1:11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11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41">
        <v>6134</v>
      </c>
      <c r="H87" s="3">
        <v>0</v>
      </c>
      <c r="I87" s="3">
        <v>0</v>
      </c>
    </row>
    <row r="88" spans="1:11" x14ac:dyDescent="0.3">
      <c r="A88" s="2" t="s">
        <v>83</v>
      </c>
      <c r="B88" s="3">
        <v>-63</v>
      </c>
      <c r="C88" s="3">
        <v>-67</v>
      </c>
      <c r="D88" s="3">
        <v>327</v>
      </c>
      <c r="E88" s="42">
        <v>13</v>
      </c>
      <c r="F88" s="3">
        <v>-325</v>
      </c>
      <c r="G88" s="41">
        <v>49</v>
      </c>
      <c r="H88" s="3">
        <v>-52</v>
      </c>
      <c r="I88" s="3">
        <v>15</v>
      </c>
    </row>
    <row r="89" spans="1:11" x14ac:dyDescent="0.3">
      <c r="A89" s="2" t="s">
        <v>84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41">
        <v>0</v>
      </c>
      <c r="H89" s="3">
        <v>-197</v>
      </c>
      <c r="I89" s="3">
        <v>0</v>
      </c>
    </row>
    <row r="90" spans="1:11" x14ac:dyDescent="0.3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43">
        <v>885</v>
      </c>
      <c r="H90" s="3">
        <v>1172</v>
      </c>
      <c r="I90" s="3">
        <v>1151</v>
      </c>
    </row>
    <row r="91" spans="1:11" x14ac:dyDescent="0.3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84">
        <v>-3067</v>
      </c>
      <c r="H91" s="3">
        <v>-608</v>
      </c>
      <c r="I91" s="3">
        <v>-4014</v>
      </c>
    </row>
    <row r="92" spans="1:11" x14ac:dyDescent="0.3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84">
        <v>-1452</v>
      </c>
      <c r="H92" s="3">
        <v>-1638</v>
      </c>
      <c r="I92" s="3">
        <v>-1837</v>
      </c>
    </row>
    <row r="93" spans="1:11" x14ac:dyDescent="0.3">
      <c r="A93" s="2" t="s">
        <v>87</v>
      </c>
      <c r="B93" s="3">
        <v>192</v>
      </c>
      <c r="C93" s="3">
        <v>-135</v>
      </c>
      <c r="D93" s="44">
        <v>-90</v>
      </c>
      <c r="E93" s="3">
        <v>-84</v>
      </c>
      <c r="F93" s="3">
        <v>-50</v>
      </c>
      <c r="G93" s="43">
        <v>-58</v>
      </c>
      <c r="H93" s="3">
        <v>-136</v>
      </c>
      <c r="I93" s="3">
        <v>-151</v>
      </c>
    </row>
    <row r="94" spans="1:11" x14ac:dyDescent="0.3">
      <c r="A94" s="26" t="s">
        <v>88</v>
      </c>
      <c r="B94" s="25">
        <f t="shared" ref="B94:I94" si="15">+SUM(B87:B93)</f>
        <v>-2790</v>
      </c>
      <c r="C94" s="25">
        <f t="shared" si="15"/>
        <v>-2974</v>
      </c>
      <c r="D94" s="25">
        <f t="shared" si="15"/>
        <v>-2148</v>
      </c>
      <c r="E94" s="25">
        <f t="shared" si="15"/>
        <v>-4835</v>
      </c>
      <c r="F94" s="25">
        <f t="shared" si="15"/>
        <v>-5293</v>
      </c>
      <c r="G94" s="25">
        <f t="shared" si="15"/>
        <v>2491</v>
      </c>
      <c r="H94" s="25">
        <f t="shared" si="15"/>
        <v>-1459</v>
      </c>
      <c r="I94" s="25">
        <f t="shared" si="15"/>
        <v>-4836</v>
      </c>
      <c r="K94" s="81"/>
    </row>
    <row r="95" spans="1:11" x14ac:dyDescent="0.3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11" x14ac:dyDescent="0.3">
      <c r="A96" s="26" t="s">
        <v>90</v>
      </c>
      <c r="B96" s="25">
        <f t="shared" ref="B96:I96" si="16">+B76+B85+B94+B95</f>
        <v>1632</v>
      </c>
      <c r="C96" s="25">
        <f t="shared" si="16"/>
        <v>-714</v>
      </c>
      <c r="D96" s="25">
        <f t="shared" si="16"/>
        <v>670</v>
      </c>
      <c r="E96" s="25">
        <f t="shared" si="16"/>
        <v>441</v>
      </c>
      <c r="F96" s="25">
        <f t="shared" si="16"/>
        <v>217</v>
      </c>
      <c r="G96" s="25">
        <f t="shared" si="16"/>
        <v>3882</v>
      </c>
      <c r="H96" s="25">
        <f t="shared" si="16"/>
        <v>1541</v>
      </c>
      <c r="I96" s="25">
        <f t="shared" si="16"/>
        <v>-1315</v>
      </c>
    </row>
    <row r="97" spans="1:11" x14ac:dyDescent="0.3">
      <c r="A97" t="s">
        <v>91</v>
      </c>
      <c r="B97" s="3">
        <v>2220</v>
      </c>
      <c r="C97" s="3">
        <f t="shared" ref="C97:H97" si="17">+B98</f>
        <v>3852</v>
      </c>
      <c r="D97" s="3">
        <f t="shared" si="17"/>
        <v>3138</v>
      </c>
      <c r="E97" s="3">
        <f t="shared" si="17"/>
        <v>3808</v>
      </c>
      <c r="F97" s="3">
        <f t="shared" si="17"/>
        <v>4249</v>
      </c>
      <c r="G97" s="3">
        <f t="shared" si="17"/>
        <v>4466</v>
      </c>
      <c r="H97" s="3">
        <f t="shared" si="17"/>
        <v>8348</v>
      </c>
      <c r="I97" s="3">
        <f>+H98</f>
        <v>9889</v>
      </c>
    </row>
    <row r="98" spans="1:11" ht="15" thickBot="1" x14ac:dyDescent="0.35">
      <c r="A98" s="6" t="s">
        <v>92</v>
      </c>
      <c r="B98" s="7">
        <f t="shared" ref="B98:G98" si="18">+B96+B97</f>
        <v>3852</v>
      </c>
      <c r="C98" s="7">
        <f t="shared" si="18"/>
        <v>3138</v>
      </c>
      <c r="D98" s="7">
        <f t="shared" si="18"/>
        <v>3808</v>
      </c>
      <c r="E98" s="7">
        <f t="shared" si="18"/>
        <v>4249</v>
      </c>
      <c r="F98" s="7">
        <f t="shared" si="18"/>
        <v>4466</v>
      </c>
      <c r="G98" s="7">
        <f t="shared" si="18"/>
        <v>8348</v>
      </c>
      <c r="H98" s="7">
        <f>+H96+H97</f>
        <v>9889</v>
      </c>
      <c r="I98" s="7">
        <f>+I96+I97</f>
        <v>8574</v>
      </c>
    </row>
    <row r="99" spans="1:11" s="12" customFormat="1" ht="15" thickTop="1" x14ac:dyDescent="0.3">
      <c r="A99" s="12" t="s">
        <v>19</v>
      </c>
      <c r="B99" s="13">
        <f t="shared" ref="B99:I99" si="19">+B98-B25</f>
        <v>0</v>
      </c>
      <c r="C99" s="13">
        <f t="shared" si="19"/>
        <v>0</v>
      </c>
      <c r="D99" s="13">
        <f t="shared" si="19"/>
        <v>0</v>
      </c>
      <c r="E99" s="13">
        <f t="shared" si="19"/>
        <v>0</v>
      </c>
      <c r="F99" s="13">
        <f t="shared" si="19"/>
        <v>0</v>
      </c>
      <c r="G99" s="13">
        <f t="shared" si="19"/>
        <v>0</v>
      </c>
      <c r="H99" s="13">
        <f t="shared" si="19"/>
        <v>0</v>
      </c>
      <c r="I99" s="13">
        <f t="shared" si="19"/>
        <v>0</v>
      </c>
    </row>
    <row r="100" spans="1:11" x14ac:dyDescent="0.3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11" x14ac:dyDescent="0.3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11" x14ac:dyDescent="0.3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  <c r="K102" s="81"/>
    </row>
    <row r="103" spans="1:11" x14ac:dyDescent="0.3">
      <c r="A103" s="11" t="s">
        <v>18</v>
      </c>
      <c r="B103" s="3">
        <v>856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11" x14ac:dyDescent="0.3">
      <c r="A104" s="11" t="s">
        <v>95</v>
      </c>
      <c r="B104" s="3">
        <v>167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11" x14ac:dyDescent="0.3">
      <c r="A105" s="11" t="s">
        <v>96</v>
      </c>
      <c r="B105" s="3">
        <v>209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11" x14ac:dyDescent="0.3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11" x14ac:dyDescent="0.3">
      <c r="A108" s="27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11" x14ac:dyDescent="0.3">
      <c r="A109" s="2" t="s">
        <v>100</v>
      </c>
      <c r="B109" s="3">
        <f t="shared" ref="B109:H109" si="20">+SUM(B110:B112)</f>
        <v>13740</v>
      </c>
      <c r="C109" s="3">
        <f t="shared" si="20"/>
        <v>14764</v>
      </c>
      <c r="D109" s="3">
        <f t="shared" si="20"/>
        <v>15216</v>
      </c>
      <c r="E109" s="3">
        <f t="shared" si="20"/>
        <v>14855</v>
      </c>
      <c r="F109" s="3">
        <f t="shared" si="20"/>
        <v>15902</v>
      </c>
      <c r="G109" s="3">
        <f t="shared" si="20"/>
        <v>14484</v>
      </c>
      <c r="H109" s="3">
        <f t="shared" si="20"/>
        <v>17179</v>
      </c>
      <c r="I109" s="3">
        <f>+SUM(I110:I112)</f>
        <v>18353</v>
      </c>
    </row>
    <row r="110" spans="1:11" x14ac:dyDescent="0.3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 s="8">
        <v>10045</v>
      </c>
      <c r="G110" s="8">
        <v>9329</v>
      </c>
      <c r="H110" s="8">
        <v>11644</v>
      </c>
      <c r="I110" s="8">
        <v>12228</v>
      </c>
    </row>
    <row r="111" spans="1:11" x14ac:dyDescent="0.3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 s="8">
        <v>5260</v>
      </c>
      <c r="G111" s="8">
        <v>4639</v>
      </c>
      <c r="H111" s="8">
        <v>5028</v>
      </c>
      <c r="I111" s="8">
        <v>5492</v>
      </c>
    </row>
    <row r="112" spans="1:11" x14ac:dyDescent="0.3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9" x14ac:dyDescent="0.3">
      <c r="A113" s="2" t="s">
        <v>101</v>
      </c>
      <c r="B113" s="50">
        <f t="shared" ref="B113" si="21">+SUM(B114:B116)</f>
        <v>0</v>
      </c>
      <c r="C113" s="3">
        <f t="shared" ref="C113" si="22">+SUM(C114:C116)</f>
        <v>7568</v>
      </c>
      <c r="D113" s="3">
        <f t="shared" ref="D113" si="23">+SUM(D114:D116)</f>
        <v>7970</v>
      </c>
      <c r="E113" s="3">
        <f t="shared" ref="E113" si="24">+SUM(E114:E116)</f>
        <v>9242</v>
      </c>
      <c r="F113" s="3">
        <f t="shared" ref="F113" si="25">+SUM(F114:F116)</f>
        <v>9812</v>
      </c>
      <c r="G113" s="3">
        <f t="shared" ref="G113" si="26">+SUM(G114:G116)</f>
        <v>9347</v>
      </c>
      <c r="H113" s="3">
        <f t="shared" ref="H113" si="27">+SUM(H114:H116)</f>
        <v>11456</v>
      </c>
      <c r="I113" s="3">
        <f>+SUM(I114:I116)</f>
        <v>12479</v>
      </c>
    </row>
    <row r="114" spans="1:9" x14ac:dyDescent="0.3">
      <c r="A114" s="11" t="s">
        <v>113</v>
      </c>
      <c r="B114" s="49"/>
      <c r="C114">
        <v>5043</v>
      </c>
      <c r="D114">
        <v>5192</v>
      </c>
      <c r="E114">
        <v>5875</v>
      </c>
      <c r="F114" s="8">
        <v>6293</v>
      </c>
      <c r="G114" s="8">
        <v>5892</v>
      </c>
      <c r="H114" s="8">
        <v>6970</v>
      </c>
      <c r="I114" s="8">
        <v>7388</v>
      </c>
    </row>
    <row r="115" spans="1:9" x14ac:dyDescent="0.3">
      <c r="A115" s="11" t="s">
        <v>114</v>
      </c>
      <c r="B115" s="49"/>
      <c r="C115">
        <v>2149</v>
      </c>
      <c r="D115">
        <v>2395</v>
      </c>
      <c r="E115">
        <v>2940</v>
      </c>
      <c r="F115" s="8">
        <v>3087</v>
      </c>
      <c r="G115" s="8">
        <v>3053</v>
      </c>
      <c r="H115" s="8">
        <v>3996</v>
      </c>
      <c r="I115" s="8">
        <v>4527</v>
      </c>
    </row>
    <row r="116" spans="1:9" x14ac:dyDescent="0.3">
      <c r="A116" s="11" t="s">
        <v>115</v>
      </c>
      <c r="B116" s="49"/>
      <c r="C116">
        <v>376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 x14ac:dyDescent="0.3">
      <c r="A117" s="2" t="s">
        <v>102</v>
      </c>
      <c r="B117" s="3">
        <f t="shared" ref="B117" si="28">+SUM(B118:B120)</f>
        <v>3067</v>
      </c>
      <c r="C117" s="3">
        <f t="shared" ref="C117" si="29">+SUM(C118:C120)</f>
        <v>3785</v>
      </c>
      <c r="D117" s="3">
        <f t="shared" ref="D117" si="30">+SUM(D118:D120)</f>
        <v>4237</v>
      </c>
      <c r="E117" s="3">
        <f t="shared" ref="E117" si="31">+SUM(E118:E120)</f>
        <v>5134</v>
      </c>
      <c r="F117" s="3">
        <f t="shared" ref="F117" si="32">+SUM(F118:F120)</f>
        <v>6208</v>
      </c>
      <c r="G117" s="3">
        <f t="shared" ref="G117" si="33">+SUM(G118:G120)</f>
        <v>6679</v>
      </c>
      <c r="H117" s="3">
        <f t="shared" ref="H117" si="34">+SUM(H118:H120)</f>
        <v>8290</v>
      </c>
      <c r="I117" s="3">
        <f>+SUM(I118:I120)</f>
        <v>7547</v>
      </c>
    </row>
    <row r="118" spans="1:9" x14ac:dyDescent="0.3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 s="8">
        <v>4262</v>
      </c>
      <c r="G118" s="8">
        <v>4635</v>
      </c>
      <c r="H118" s="8">
        <v>5748</v>
      </c>
      <c r="I118" s="8">
        <v>5416</v>
      </c>
    </row>
    <row r="119" spans="1:9" x14ac:dyDescent="0.3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 s="8">
        <v>1808</v>
      </c>
      <c r="G119" s="8">
        <v>1896</v>
      </c>
      <c r="H119" s="8">
        <v>2347</v>
      </c>
      <c r="I119" s="8">
        <v>1938</v>
      </c>
    </row>
    <row r="120" spans="1:9" x14ac:dyDescent="0.3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 x14ac:dyDescent="0.3">
      <c r="A121" s="2" t="s">
        <v>106</v>
      </c>
      <c r="B121" s="50">
        <f t="shared" ref="B121" si="35">+SUM(B122:B124)</f>
        <v>0</v>
      </c>
      <c r="C121" s="3">
        <f t="shared" ref="C121" si="36">+SUM(C122:C124)</f>
        <v>4317</v>
      </c>
      <c r="D121" s="3">
        <f t="shared" ref="D121" si="37">+SUM(D122:D124)</f>
        <v>4737</v>
      </c>
      <c r="E121" s="3">
        <f t="shared" ref="E121" si="38">+SUM(E122:E124)</f>
        <v>5166</v>
      </c>
      <c r="F121" s="3">
        <f t="shared" ref="F121" si="39">+SUM(F122:F124)</f>
        <v>5254</v>
      </c>
      <c r="G121" s="3">
        <f t="shared" ref="G121" si="40">+SUM(G122:G124)</f>
        <v>5028</v>
      </c>
      <c r="H121" s="3">
        <f t="shared" ref="H121" si="41">+SUM(H122:H124)</f>
        <v>5343</v>
      </c>
      <c r="I121" s="3">
        <f>+SUM(I122:I124)</f>
        <v>5955</v>
      </c>
    </row>
    <row r="122" spans="1:9" x14ac:dyDescent="0.3">
      <c r="A122" s="11" t="s">
        <v>113</v>
      </c>
      <c r="B122" s="49"/>
      <c r="C122">
        <v>2930</v>
      </c>
      <c r="D122">
        <v>3285</v>
      </c>
      <c r="E122">
        <v>3575</v>
      </c>
      <c r="F122" s="8">
        <v>3622</v>
      </c>
      <c r="G122" s="8">
        <v>3449</v>
      </c>
      <c r="H122" s="8">
        <v>3659</v>
      </c>
      <c r="I122" s="8">
        <v>4111</v>
      </c>
    </row>
    <row r="123" spans="1:9" x14ac:dyDescent="0.3">
      <c r="A123" s="11" t="s">
        <v>114</v>
      </c>
      <c r="B123" s="49"/>
      <c r="C123">
        <v>1117</v>
      </c>
      <c r="D123">
        <v>1185</v>
      </c>
      <c r="E123">
        <v>1347</v>
      </c>
      <c r="F123" s="8">
        <v>1395</v>
      </c>
      <c r="G123" s="8">
        <v>1365</v>
      </c>
      <c r="H123" s="8">
        <v>1494</v>
      </c>
      <c r="I123" s="8">
        <v>1610</v>
      </c>
    </row>
    <row r="124" spans="1:9" x14ac:dyDescent="0.3">
      <c r="A124" s="11" t="s">
        <v>115</v>
      </c>
      <c r="B124" s="49"/>
      <c r="C124">
        <v>270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9" x14ac:dyDescent="0.3">
      <c r="A125" s="2" t="s">
        <v>107</v>
      </c>
      <c r="B125" s="50"/>
      <c r="C125" s="3">
        <v>73</v>
      </c>
      <c r="D125" s="3">
        <v>73</v>
      </c>
      <c r="E125" s="3">
        <v>88</v>
      </c>
      <c r="F125" s="3">
        <v>42</v>
      </c>
      <c r="G125" s="45">
        <v>30</v>
      </c>
      <c r="H125" s="3">
        <v>25</v>
      </c>
      <c r="I125" s="3">
        <v>102</v>
      </c>
    </row>
    <row r="126" spans="1:9" x14ac:dyDescent="0.3">
      <c r="A126" s="4" t="s">
        <v>103</v>
      </c>
      <c r="B126" s="5">
        <v>28701</v>
      </c>
      <c r="C126" s="5">
        <f t="shared" ref="C126:I126" si="42">+C109+C113+C117+C121+C125</f>
        <v>30507</v>
      </c>
      <c r="D126" s="5">
        <f t="shared" si="42"/>
        <v>32233</v>
      </c>
      <c r="E126" s="5">
        <f t="shared" si="42"/>
        <v>34485</v>
      </c>
      <c r="F126" s="5">
        <f t="shared" si="42"/>
        <v>37218</v>
      </c>
      <c r="G126" s="5">
        <f t="shared" si="42"/>
        <v>35568</v>
      </c>
      <c r="H126" s="5">
        <f t="shared" si="42"/>
        <v>42293</v>
      </c>
      <c r="I126" s="5">
        <f t="shared" si="42"/>
        <v>44436</v>
      </c>
    </row>
    <row r="127" spans="1:9" x14ac:dyDescent="0.3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f t="shared" ref="F127:G127" si="43">+SUM(F128:F131)</f>
        <v>1906</v>
      </c>
      <c r="G127" s="3">
        <f t="shared" si="43"/>
        <v>1846</v>
      </c>
      <c r="H127" s="3">
        <f>+SUM(H128:H131)</f>
        <v>2205</v>
      </c>
      <c r="I127" s="3">
        <f>+SUM(I128:I131)</f>
        <v>2346</v>
      </c>
    </row>
    <row r="128" spans="1:9" x14ac:dyDescent="0.3">
      <c r="A128" s="11" t="s">
        <v>113</v>
      </c>
      <c r="B128" s="50"/>
      <c r="C128" s="50"/>
      <c r="D128" s="50"/>
      <c r="E128" s="50"/>
      <c r="F128" s="3">
        <v>1658</v>
      </c>
      <c r="G128" s="3">
        <v>1642</v>
      </c>
      <c r="H128" s="3">
        <v>1986</v>
      </c>
      <c r="I128" s="3">
        <v>2094</v>
      </c>
    </row>
    <row r="129" spans="1:12" x14ac:dyDescent="0.3">
      <c r="A129" s="11" t="s">
        <v>114</v>
      </c>
      <c r="B129" s="50"/>
      <c r="C129" s="50"/>
      <c r="D129" s="50"/>
      <c r="E129" s="50"/>
      <c r="F129" s="3">
        <v>118</v>
      </c>
      <c r="G129" s="3">
        <v>89</v>
      </c>
      <c r="H129" s="3">
        <v>104</v>
      </c>
      <c r="I129" s="3">
        <v>103</v>
      </c>
    </row>
    <row r="130" spans="1:12" x14ac:dyDescent="0.3">
      <c r="A130" s="11" t="s">
        <v>115</v>
      </c>
      <c r="B130" s="50"/>
      <c r="C130" s="50"/>
      <c r="D130" s="50"/>
      <c r="E130" s="50"/>
      <c r="F130" s="3">
        <v>24</v>
      </c>
      <c r="G130" s="3">
        <v>25</v>
      </c>
      <c r="H130" s="3">
        <v>29</v>
      </c>
      <c r="I130" s="3">
        <v>26</v>
      </c>
    </row>
    <row r="131" spans="1:12" x14ac:dyDescent="0.3">
      <c r="A131" s="11" t="s">
        <v>121</v>
      </c>
      <c r="B131" s="50"/>
      <c r="C131" s="50"/>
      <c r="D131" s="50"/>
      <c r="E131" s="50"/>
      <c r="F131" s="3">
        <v>106</v>
      </c>
      <c r="G131" s="3">
        <v>90</v>
      </c>
      <c r="H131" s="3">
        <v>86</v>
      </c>
      <c r="I131" s="3">
        <v>123</v>
      </c>
      <c r="L131" s="46"/>
    </row>
    <row r="132" spans="1:12" x14ac:dyDescent="0.3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  <c r="L132" s="37"/>
    </row>
    <row r="133" spans="1:12" ht="15" thickBot="1" x14ac:dyDescent="0.35">
      <c r="A133" s="6" t="s">
        <v>105</v>
      </c>
      <c r="B133" s="7">
        <f t="shared" ref="B133:H133" si="44">+B126+B127+B132</f>
        <v>30601</v>
      </c>
      <c r="C133" s="7">
        <f t="shared" si="44"/>
        <v>32376</v>
      </c>
      <c r="D133" s="7">
        <f t="shared" si="44"/>
        <v>34350</v>
      </c>
      <c r="E133" s="7">
        <f t="shared" si="44"/>
        <v>36397</v>
      </c>
      <c r="F133" s="7">
        <f t="shared" si="44"/>
        <v>39117</v>
      </c>
      <c r="G133" s="7">
        <f t="shared" si="44"/>
        <v>37403</v>
      </c>
      <c r="H133" s="7">
        <f t="shared" si="44"/>
        <v>44538</v>
      </c>
      <c r="I133" s="7">
        <f>+I126+I127+I132</f>
        <v>46710</v>
      </c>
      <c r="L133" s="37"/>
    </row>
    <row r="134" spans="1:12" s="12" customFormat="1" ht="15" thickTop="1" x14ac:dyDescent="0.3">
      <c r="A134" s="12" t="s">
        <v>111</v>
      </c>
      <c r="B134" s="13">
        <f t="shared" ref="B134:H134" si="45">+B133-B2</f>
        <v>0</v>
      </c>
      <c r="C134" s="13">
        <f t="shared" si="45"/>
        <v>0</v>
      </c>
      <c r="D134" s="13">
        <f t="shared" si="45"/>
        <v>0</v>
      </c>
      <c r="E134" s="13">
        <f t="shared" si="45"/>
        <v>0</v>
      </c>
      <c r="F134" s="13">
        <f t="shared" si="45"/>
        <v>0</v>
      </c>
      <c r="G134" s="13">
        <f t="shared" si="45"/>
        <v>0</v>
      </c>
      <c r="H134" s="13">
        <f t="shared" si="45"/>
        <v>0</v>
      </c>
      <c r="I134" s="13">
        <f>+I133-I2</f>
        <v>0</v>
      </c>
      <c r="L134" s="37"/>
    </row>
    <row r="135" spans="1:12" x14ac:dyDescent="0.3">
      <c r="A135" s="1" t="s">
        <v>110</v>
      </c>
    </row>
    <row r="136" spans="1:12" x14ac:dyDescent="0.3">
      <c r="A136" s="2" t="s">
        <v>100</v>
      </c>
      <c r="B136" s="3">
        <v>3645</v>
      </c>
      <c r="C136" s="37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12" x14ac:dyDescent="0.3">
      <c r="A137" s="2" t="s">
        <v>101</v>
      </c>
      <c r="B137" s="50"/>
      <c r="C137" s="37">
        <v>1787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12" x14ac:dyDescent="0.3">
      <c r="A138" s="2" t="s">
        <v>102</v>
      </c>
      <c r="B138" s="3">
        <v>993</v>
      </c>
      <c r="C138" s="37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12" x14ac:dyDescent="0.3">
      <c r="A139" s="2" t="s">
        <v>106</v>
      </c>
      <c r="B139" s="50"/>
      <c r="C139" s="37">
        <v>1002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12" x14ac:dyDescent="0.3">
      <c r="A140" s="2" t="s">
        <v>107</v>
      </c>
      <c r="B140" s="3">
        <v>-2267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12" x14ac:dyDescent="0.3">
      <c r="A141" s="4" t="s">
        <v>103</v>
      </c>
      <c r="B141" s="5">
        <v>4813</v>
      </c>
      <c r="C141" s="5">
        <f t="shared" ref="C141:I141" si="46">+SUM(C136:C140)</f>
        <v>5328</v>
      </c>
      <c r="D141" s="5">
        <f t="shared" si="46"/>
        <v>5192</v>
      </c>
      <c r="E141" s="5">
        <f t="shared" si="46"/>
        <v>5525</v>
      </c>
      <c r="F141" s="5">
        <f t="shared" si="46"/>
        <v>6357</v>
      </c>
      <c r="G141" s="5">
        <f t="shared" si="46"/>
        <v>4646</v>
      </c>
      <c r="H141" s="5">
        <f t="shared" si="46"/>
        <v>8641</v>
      </c>
      <c r="I141" s="5">
        <f t="shared" si="46"/>
        <v>8406</v>
      </c>
    </row>
    <row r="142" spans="1:12" x14ac:dyDescent="0.3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12" x14ac:dyDescent="0.3">
      <c r="A143" s="2" t="s">
        <v>108</v>
      </c>
      <c r="B143" s="3">
        <v>-1097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12" ht="15" thickBot="1" x14ac:dyDescent="0.35">
      <c r="A144" s="6" t="s">
        <v>112</v>
      </c>
      <c r="B144" s="7">
        <f t="shared" ref="B144" si="47">+SUM(B141:B143)</f>
        <v>4233</v>
      </c>
      <c r="C144" s="7">
        <f t="shared" ref="C144" si="48">+SUM(C141:C143)</f>
        <v>4642</v>
      </c>
      <c r="D144" s="7">
        <f t="shared" ref="D144" si="49">+SUM(D141:D143)</f>
        <v>4945</v>
      </c>
      <c r="E144" s="7">
        <f t="shared" ref="E144" si="50">+SUM(E141:E143)</f>
        <v>4379</v>
      </c>
      <c r="F144" s="7">
        <f t="shared" ref="F144" si="51">+SUM(F141:F143)</f>
        <v>4850</v>
      </c>
      <c r="G144" s="7">
        <f t="shared" ref="G144" si="52">+SUM(G141:G143)</f>
        <v>2976</v>
      </c>
      <c r="H144" s="7">
        <f t="shared" ref="H144" si="53">+SUM(H141:H143)</f>
        <v>6923</v>
      </c>
      <c r="I144" s="7">
        <f>+SUM(I141:I143)</f>
        <v>6856</v>
      </c>
    </row>
    <row r="145" spans="1:9" s="12" customFormat="1" ht="15" thickTop="1" x14ac:dyDescent="0.3">
      <c r="A145" s="12" t="s">
        <v>111</v>
      </c>
      <c r="B145" s="13">
        <f t="shared" ref="B145:I145" si="54">+B144-B10-B8</f>
        <v>0</v>
      </c>
      <c r="C145" s="13">
        <f t="shared" si="54"/>
        <v>0</v>
      </c>
      <c r="D145" s="13">
        <f t="shared" si="54"/>
        <v>0</v>
      </c>
      <c r="E145" s="13">
        <f t="shared" si="54"/>
        <v>0</v>
      </c>
      <c r="F145" s="13">
        <f t="shared" si="54"/>
        <v>0</v>
      </c>
      <c r="G145" s="13">
        <f t="shared" si="54"/>
        <v>0</v>
      </c>
      <c r="H145" s="13">
        <f t="shared" si="54"/>
        <v>0</v>
      </c>
      <c r="I145" s="13">
        <f t="shared" si="54"/>
        <v>0</v>
      </c>
    </row>
    <row r="146" spans="1:9" x14ac:dyDescent="0.3">
      <c r="A146" s="1" t="s">
        <v>117</v>
      </c>
    </row>
    <row r="147" spans="1:9" x14ac:dyDescent="0.3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3">
      <c r="A148" s="2" t="s">
        <v>101</v>
      </c>
      <c r="B148" s="50"/>
      <c r="C148" s="50"/>
      <c r="D148" s="3">
        <v>709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3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3">
      <c r="A150" s="2" t="s">
        <v>118</v>
      </c>
      <c r="B150" s="50"/>
      <c r="C150" s="50"/>
      <c r="D150" s="3">
        <v>340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3">
      <c r="A151" s="2" t="s">
        <v>107</v>
      </c>
      <c r="B151" s="3">
        <v>484</v>
      </c>
      <c r="C151" s="3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3">
      <c r="A152" s="4" t="s">
        <v>119</v>
      </c>
      <c r="B152" s="5">
        <v>2176</v>
      </c>
      <c r="C152" s="5">
        <v>2458</v>
      </c>
      <c r="D152" s="5">
        <f t="shared" ref="D152:I152" si="55">+SUM(D147:D151)</f>
        <v>2626</v>
      </c>
      <c r="E152" s="5">
        <f t="shared" si="55"/>
        <v>2889</v>
      </c>
      <c r="F152" s="5">
        <f t="shared" si="55"/>
        <v>2971</v>
      </c>
      <c r="G152" s="5">
        <f t="shared" si="55"/>
        <v>2870</v>
      </c>
      <c r="H152" s="5">
        <f t="shared" si="55"/>
        <v>2971</v>
      </c>
      <c r="I152" s="5">
        <f t="shared" si="55"/>
        <v>2925</v>
      </c>
    </row>
    <row r="153" spans="1:9" x14ac:dyDescent="0.3">
      <c r="A153" s="2" t="s">
        <v>104</v>
      </c>
      <c r="B153" s="3">
        <v>122</v>
      </c>
      <c r="C153" s="3">
        <v>125</v>
      </c>
      <c r="D153" s="3">
        <v>125</v>
      </c>
      <c r="E153" s="3">
        <v>115</v>
      </c>
      <c r="F153" s="3">
        <v>100</v>
      </c>
      <c r="G153" s="3">
        <v>80</v>
      </c>
      <c r="H153" s="3">
        <v>63</v>
      </c>
      <c r="I153" s="3">
        <v>49</v>
      </c>
    </row>
    <row r="154" spans="1:9" x14ac:dyDescent="0.3">
      <c r="A154" s="2" t="s">
        <v>108</v>
      </c>
      <c r="B154" s="3">
        <v>713</v>
      </c>
      <c r="C154" s="3">
        <v>937</v>
      </c>
      <c r="D154" s="3">
        <v>1238</v>
      </c>
      <c r="E154" s="3">
        <v>1450</v>
      </c>
      <c r="F154" s="3">
        <v>1673</v>
      </c>
      <c r="G154" s="3">
        <v>1916</v>
      </c>
      <c r="H154" s="3">
        <v>1870</v>
      </c>
      <c r="I154" s="3">
        <v>1817</v>
      </c>
    </row>
    <row r="155" spans="1:9" ht="15" thickBot="1" x14ac:dyDescent="0.35">
      <c r="A155" s="6" t="s">
        <v>120</v>
      </c>
      <c r="B155" s="7">
        <f t="shared" ref="B155:H155" si="56">+SUM(B152:B154)</f>
        <v>3011</v>
      </c>
      <c r="C155" s="7">
        <f t="shared" si="56"/>
        <v>3520</v>
      </c>
      <c r="D155" s="7">
        <f t="shared" si="56"/>
        <v>3989</v>
      </c>
      <c r="E155" s="7">
        <f t="shared" si="56"/>
        <v>4454</v>
      </c>
      <c r="F155" s="7">
        <f t="shared" si="56"/>
        <v>4744</v>
      </c>
      <c r="G155" s="7">
        <f t="shared" si="56"/>
        <v>4866</v>
      </c>
      <c r="H155" s="7">
        <f t="shared" si="56"/>
        <v>4904</v>
      </c>
      <c r="I155" s="7">
        <f>+SUM(I152:I154)</f>
        <v>4791</v>
      </c>
    </row>
    <row r="156" spans="1:9" ht="15" thickTop="1" x14ac:dyDescent="0.3">
      <c r="A156" s="12" t="s">
        <v>111</v>
      </c>
      <c r="B156" s="13">
        <f t="shared" ref="B156:I156" si="57">+B155-B31</f>
        <v>0</v>
      </c>
      <c r="C156" s="13">
        <f t="shared" si="57"/>
        <v>0</v>
      </c>
      <c r="D156" s="13">
        <f t="shared" si="57"/>
        <v>0</v>
      </c>
      <c r="E156" s="13">
        <f t="shared" si="57"/>
        <v>0</v>
      </c>
      <c r="F156" s="13">
        <f t="shared" si="57"/>
        <v>0</v>
      </c>
      <c r="G156" s="13">
        <f t="shared" si="57"/>
        <v>0</v>
      </c>
      <c r="H156" s="13">
        <f t="shared" si="57"/>
        <v>0</v>
      </c>
      <c r="I156" s="13">
        <f t="shared" si="57"/>
        <v>0</v>
      </c>
    </row>
    <row r="157" spans="1:9" x14ac:dyDescent="0.3">
      <c r="A157" s="1" t="s">
        <v>122</v>
      </c>
    </row>
    <row r="158" spans="1:9" x14ac:dyDescent="0.3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3">
      <c r="A159" s="2" t="s">
        <v>101</v>
      </c>
      <c r="B159" s="50"/>
      <c r="C159" s="3">
        <v>234</v>
      </c>
      <c r="D159" s="3">
        <v>173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3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3">
      <c r="A161" s="2" t="s">
        <v>118</v>
      </c>
      <c r="B161" s="50"/>
      <c r="C161" s="3">
        <v>62</v>
      </c>
      <c r="D161" s="3">
        <v>59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3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3">
      <c r="A163" s="4" t="s">
        <v>119</v>
      </c>
      <c r="B163" s="5">
        <v>790</v>
      </c>
      <c r="C163" s="5">
        <f t="shared" ref="C163:I163" si="58">+SUM(C158:C162)</f>
        <v>840</v>
      </c>
      <c r="D163" s="5">
        <f t="shared" si="58"/>
        <v>784</v>
      </c>
      <c r="E163" s="5">
        <f t="shared" si="58"/>
        <v>847</v>
      </c>
      <c r="F163" s="5">
        <f t="shared" si="58"/>
        <v>724</v>
      </c>
      <c r="G163" s="5">
        <f t="shared" si="58"/>
        <v>756</v>
      </c>
      <c r="H163" s="5">
        <f t="shared" si="58"/>
        <v>677</v>
      </c>
      <c r="I163" s="5">
        <f t="shared" si="58"/>
        <v>699</v>
      </c>
    </row>
    <row r="164" spans="1:9" x14ac:dyDescent="0.3">
      <c r="A164" s="2" t="s">
        <v>104</v>
      </c>
      <c r="B164" s="3">
        <v>69</v>
      </c>
      <c r="C164" s="3">
        <v>39</v>
      </c>
      <c r="D164" s="3">
        <v>30</v>
      </c>
      <c r="E164" s="3">
        <v>22</v>
      </c>
      <c r="F164" s="3">
        <v>18</v>
      </c>
      <c r="G164" s="42">
        <v>12</v>
      </c>
      <c r="H164" s="3">
        <v>7</v>
      </c>
      <c r="I164" s="3">
        <v>9</v>
      </c>
    </row>
    <row r="165" spans="1:9" x14ac:dyDescent="0.3">
      <c r="A165" s="2" t="s">
        <v>108</v>
      </c>
      <c r="B165" s="3">
        <f t="shared" ref="B165:I165" si="59">-(SUM(B163:B164)+B82)</f>
        <v>104</v>
      </c>
      <c r="C165" s="3">
        <f t="shared" si="59"/>
        <v>264</v>
      </c>
      <c r="D165" s="3">
        <f t="shared" si="59"/>
        <v>291</v>
      </c>
      <c r="E165" s="3">
        <f t="shared" si="59"/>
        <v>159</v>
      </c>
      <c r="F165" s="3">
        <f t="shared" si="59"/>
        <v>377</v>
      </c>
      <c r="G165" s="3">
        <f t="shared" si="59"/>
        <v>318</v>
      </c>
      <c r="H165" s="3">
        <f t="shared" si="59"/>
        <v>11</v>
      </c>
      <c r="I165" s="3">
        <f t="shared" si="59"/>
        <v>50</v>
      </c>
    </row>
    <row r="166" spans="1:9" ht="15" thickBot="1" x14ac:dyDescent="0.35">
      <c r="A166" s="6" t="s">
        <v>123</v>
      </c>
      <c r="B166" s="7">
        <f t="shared" ref="B166:H166" si="60">+SUM(B163:B165)</f>
        <v>963</v>
      </c>
      <c r="C166" s="7">
        <f t="shared" si="60"/>
        <v>1143</v>
      </c>
      <c r="D166" s="7">
        <f t="shared" si="60"/>
        <v>1105</v>
      </c>
      <c r="E166" s="7">
        <f t="shared" si="60"/>
        <v>1028</v>
      </c>
      <c r="F166" s="7">
        <f t="shared" si="60"/>
        <v>1119</v>
      </c>
      <c r="G166" s="7">
        <f t="shared" si="60"/>
        <v>1086</v>
      </c>
      <c r="H166" s="7">
        <f t="shared" si="60"/>
        <v>695</v>
      </c>
      <c r="I166" s="7">
        <f>+SUM(I163:I165)</f>
        <v>758</v>
      </c>
    </row>
    <row r="167" spans="1:9" ht="15" thickTop="1" x14ac:dyDescent="0.3">
      <c r="A167" s="12" t="s">
        <v>111</v>
      </c>
      <c r="B167" s="13">
        <f t="shared" ref="B167:I167" si="61">+B166+B82</f>
        <v>0</v>
      </c>
      <c r="C167" s="13">
        <f t="shared" si="61"/>
        <v>0</v>
      </c>
      <c r="D167" s="13">
        <f t="shared" si="61"/>
        <v>0</v>
      </c>
      <c r="E167" s="13">
        <f t="shared" si="61"/>
        <v>0</v>
      </c>
      <c r="F167" s="13">
        <f t="shared" si="61"/>
        <v>0</v>
      </c>
      <c r="G167" s="13">
        <f t="shared" si="61"/>
        <v>0</v>
      </c>
      <c r="H167" s="13">
        <f t="shared" si="61"/>
        <v>0</v>
      </c>
      <c r="I167" s="13">
        <f t="shared" si="61"/>
        <v>0</v>
      </c>
    </row>
    <row r="168" spans="1:9" x14ac:dyDescent="0.3">
      <c r="A168" s="1" t="s">
        <v>124</v>
      </c>
    </row>
    <row r="169" spans="1:9" x14ac:dyDescent="0.3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3">
      <c r="A170" s="2" t="s">
        <v>101</v>
      </c>
      <c r="B170" s="50"/>
      <c r="C170" s="3">
        <v>85</v>
      </c>
      <c r="D170" s="3">
        <v>106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3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3">
      <c r="A172" s="2" t="s">
        <v>106</v>
      </c>
      <c r="B172" s="50"/>
      <c r="C172" s="3">
        <v>42</v>
      </c>
      <c r="D172" s="3">
        <v>54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3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3">
      <c r="A174" s="4" t="s">
        <v>119</v>
      </c>
      <c r="B174" s="5">
        <v>513</v>
      </c>
      <c r="C174" s="5">
        <f t="shared" ref="C174:I174" si="62">+SUM(C169:C173)</f>
        <v>538</v>
      </c>
      <c r="D174" s="5">
        <f t="shared" si="62"/>
        <v>587</v>
      </c>
      <c r="E174" s="5">
        <f t="shared" si="62"/>
        <v>604</v>
      </c>
      <c r="F174" s="5">
        <f t="shared" si="62"/>
        <v>558</v>
      </c>
      <c r="G174" s="5">
        <f t="shared" si="62"/>
        <v>584</v>
      </c>
      <c r="H174" s="5">
        <f t="shared" si="62"/>
        <v>577</v>
      </c>
      <c r="I174" s="5">
        <f t="shared" si="62"/>
        <v>561</v>
      </c>
    </row>
    <row r="175" spans="1:9" x14ac:dyDescent="0.3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3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11" ht="15" thickBot="1" x14ac:dyDescent="0.35">
      <c r="A177" s="6" t="s">
        <v>125</v>
      </c>
      <c r="B177" s="7">
        <f t="shared" ref="B177:H177" si="63">+SUM(B174:B176)</f>
        <v>606</v>
      </c>
      <c r="C177" s="7">
        <f t="shared" si="63"/>
        <v>649</v>
      </c>
      <c r="D177" s="7">
        <f t="shared" si="63"/>
        <v>706</v>
      </c>
      <c r="E177" s="7">
        <f t="shared" si="63"/>
        <v>747</v>
      </c>
      <c r="F177" s="7">
        <f t="shared" si="63"/>
        <v>705</v>
      </c>
      <c r="G177" s="7">
        <f t="shared" si="63"/>
        <v>721</v>
      </c>
      <c r="H177" s="7">
        <f t="shared" si="63"/>
        <v>744</v>
      </c>
      <c r="I177" s="7">
        <f>+SUM(I174:I176)</f>
        <v>717</v>
      </c>
    </row>
    <row r="178" spans="1:11" ht="15" thickTop="1" x14ac:dyDescent="0.3">
      <c r="A178" s="12" t="s">
        <v>111</v>
      </c>
      <c r="B178" s="13">
        <f t="shared" ref="B178:I178" si="64">+B177-B66</f>
        <v>0</v>
      </c>
      <c r="C178" s="13">
        <f t="shared" si="64"/>
        <v>0</v>
      </c>
      <c r="D178" s="13">
        <f t="shared" si="64"/>
        <v>0</v>
      </c>
      <c r="E178" s="13">
        <f t="shared" si="64"/>
        <v>0</v>
      </c>
      <c r="F178" s="13">
        <f t="shared" si="64"/>
        <v>0</v>
      </c>
      <c r="G178" s="13">
        <f t="shared" si="64"/>
        <v>0</v>
      </c>
      <c r="H178" s="13">
        <f t="shared" si="64"/>
        <v>0</v>
      </c>
      <c r="I178" s="13">
        <f t="shared" si="64"/>
        <v>0</v>
      </c>
    </row>
    <row r="179" spans="1:11" x14ac:dyDescent="0.3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11" x14ac:dyDescent="0.3">
      <c r="A180" s="27" t="s">
        <v>127</v>
      </c>
    </row>
    <row r="181" spans="1:11" x14ac:dyDescent="0.3">
      <c r="A181" s="32" t="s">
        <v>100</v>
      </c>
      <c r="B181" s="33">
        <v>0.12</v>
      </c>
      <c r="C181" s="33">
        <v>0.08</v>
      </c>
      <c r="D181" s="33">
        <v>0.03</v>
      </c>
      <c r="E181" s="33">
        <v>-0.02</v>
      </c>
      <c r="F181" s="33">
        <v>7.0000000000000007E-2</v>
      </c>
      <c r="G181" s="33">
        <v>-0.09</v>
      </c>
      <c r="H181" s="33">
        <v>0.19</v>
      </c>
      <c r="I181" s="33">
        <v>7.0000000000000007E-2</v>
      </c>
      <c r="K181" s="47"/>
    </row>
    <row r="182" spans="1:11" x14ac:dyDescent="0.3">
      <c r="A182" s="30" t="s">
        <v>113</v>
      </c>
      <c r="B182" s="29">
        <v>0.14000000000000001</v>
      </c>
      <c r="C182" s="29">
        <v>0.1</v>
      </c>
      <c r="D182" s="29">
        <v>0.04</v>
      </c>
      <c r="E182" s="29">
        <v>-0.04</v>
      </c>
      <c r="F182" s="29">
        <v>0.08</v>
      </c>
      <c r="G182" s="29">
        <v>-7.0000000000000007E-2</v>
      </c>
      <c r="H182" s="29">
        <v>0.25</v>
      </c>
      <c r="I182" s="29">
        <v>0.05</v>
      </c>
      <c r="K182" s="47"/>
    </row>
    <row r="183" spans="1:11" x14ac:dyDescent="0.3">
      <c r="A183" s="30" t="s">
        <v>114</v>
      </c>
      <c r="B183" s="29">
        <v>0.12</v>
      </c>
      <c r="C183" s="29">
        <v>0.08</v>
      </c>
      <c r="D183" s="29">
        <v>0.03</v>
      </c>
      <c r="E183" s="29">
        <v>0.01</v>
      </c>
      <c r="F183" s="29">
        <v>7.0000000000000007E-2</v>
      </c>
      <c r="G183" s="29">
        <v>-0.12</v>
      </c>
      <c r="H183" s="29">
        <v>0.08</v>
      </c>
      <c r="I183" s="29">
        <v>0.09</v>
      </c>
      <c r="K183" s="47"/>
    </row>
    <row r="184" spans="1:11" x14ac:dyDescent="0.3">
      <c r="A184" s="30" t="s">
        <v>115</v>
      </c>
      <c r="B184" s="29">
        <v>-0.05</v>
      </c>
      <c r="C184" s="29">
        <v>-0.13</v>
      </c>
      <c r="D184" s="29">
        <v>-0.1</v>
      </c>
      <c r="E184" s="29">
        <v>-0.08</v>
      </c>
      <c r="F184" s="29">
        <v>0</v>
      </c>
      <c r="G184" s="29">
        <v>-0.14000000000000001</v>
      </c>
      <c r="H184" s="29">
        <v>-0.02</v>
      </c>
      <c r="I184" s="29">
        <v>0.25</v>
      </c>
      <c r="K184" s="47"/>
    </row>
    <row r="185" spans="1:11" x14ac:dyDescent="0.3">
      <c r="A185" s="32" t="s">
        <v>101</v>
      </c>
      <c r="B185" s="49"/>
      <c r="C185" s="49"/>
      <c r="D185" s="33">
        <v>0.1</v>
      </c>
      <c r="E185" s="33">
        <v>0.09</v>
      </c>
      <c r="F185" s="33">
        <v>0.11</v>
      </c>
      <c r="G185" s="33">
        <v>-0.01</v>
      </c>
      <c r="H185" s="33">
        <v>0.17</v>
      </c>
      <c r="I185" s="33">
        <v>0.12</v>
      </c>
      <c r="K185" s="47"/>
    </row>
    <row r="186" spans="1:11" x14ac:dyDescent="0.3">
      <c r="A186" s="30" t="s">
        <v>113</v>
      </c>
      <c r="B186" s="48"/>
      <c r="C186" s="48"/>
      <c r="D186" s="29">
        <v>0.08</v>
      </c>
      <c r="E186" s="29">
        <v>0.06</v>
      </c>
      <c r="F186" s="29">
        <v>0.12</v>
      </c>
      <c r="G186" s="29">
        <v>-0.03</v>
      </c>
      <c r="H186" s="29">
        <v>0.13</v>
      </c>
      <c r="I186" s="29">
        <v>0.09</v>
      </c>
      <c r="K186" s="47"/>
    </row>
    <row r="187" spans="1:11" x14ac:dyDescent="0.3">
      <c r="A187" s="30" t="s">
        <v>114</v>
      </c>
      <c r="B187" s="48"/>
      <c r="C187" s="48"/>
      <c r="D187" s="29">
        <v>0.17</v>
      </c>
      <c r="E187" s="29">
        <v>0.16</v>
      </c>
      <c r="F187" s="29">
        <v>0.09</v>
      </c>
      <c r="G187" s="29">
        <v>0.02</v>
      </c>
      <c r="H187" s="29">
        <v>0.25</v>
      </c>
      <c r="I187" s="29">
        <v>0.16</v>
      </c>
      <c r="K187" s="47"/>
    </row>
    <row r="188" spans="1:11" x14ac:dyDescent="0.3">
      <c r="A188" s="30" t="s">
        <v>115</v>
      </c>
      <c r="B188" s="48"/>
      <c r="C188" s="48"/>
      <c r="D188" s="29">
        <v>7.0000000000000007E-2</v>
      </c>
      <c r="E188" s="29">
        <v>0.06</v>
      </c>
      <c r="F188" s="29">
        <v>0.05</v>
      </c>
      <c r="G188" s="29">
        <v>-0.03</v>
      </c>
      <c r="H188" s="29">
        <v>0.19</v>
      </c>
      <c r="I188" s="29">
        <v>0.17</v>
      </c>
      <c r="K188" s="47"/>
    </row>
    <row r="189" spans="1:11" x14ac:dyDescent="0.3">
      <c r="A189" s="32" t="s">
        <v>102</v>
      </c>
      <c r="B189" s="33">
        <v>0.19</v>
      </c>
      <c r="C189" s="33">
        <v>0.27</v>
      </c>
      <c r="D189" s="33">
        <v>0.17</v>
      </c>
      <c r="E189" s="33">
        <v>0.18</v>
      </c>
      <c r="F189" s="33">
        <v>0.24</v>
      </c>
      <c r="G189" s="33">
        <v>0.11</v>
      </c>
      <c r="H189" s="33">
        <v>0.19</v>
      </c>
      <c r="I189" s="33">
        <v>-0.13</v>
      </c>
      <c r="K189" s="47"/>
    </row>
    <row r="190" spans="1:11" x14ac:dyDescent="0.3">
      <c r="A190" s="30" t="s">
        <v>113</v>
      </c>
      <c r="B190" s="29">
        <v>0.28000000000000003</v>
      </c>
      <c r="C190" s="29">
        <v>0.33</v>
      </c>
      <c r="D190" s="29">
        <v>0.18</v>
      </c>
      <c r="E190" s="29">
        <v>0.16</v>
      </c>
      <c r="F190" s="29">
        <v>0.25</v>
      </c>
      <c r="G190" s="29">
        <v>0.12</v>
      </c>
      <c r="H190" s="29">
        <v>0.19</v>
      </c>
      <c r="I190" s="29">
        <v>-0.1</v>
      </c>
      <c r="K190" s="47"/>
    </row>
    <row r="191" spans="1:11" x14ac:dyDescent="0.3">
      <c r="A191" s="30" t="s">
        <v>114</v>
      </c>
      <c r="B191" s="29">
        <v>7.0000000000000007E-2</v>
      </c>
      <c r="C191" s="29">
        <v>0.17</v>
      </c>
      <c r="D191" s="29">
        <v>0.18</v>
      </c>
      <c r="E191" s="29">
        <v>0.23</v>
      </c>
      <c r="F191" s="29">
        <v>0.23</v>
      </c>
      <c r="G191" s="29">
        <v>0.08</v>
      </c>
      <c r="H191" s="29">
        <v>0.19</v>
      </c>
      <c r="I191" s="29">
        <v>-0.21</v>
      </c>
      <c r="K191" s="47"/>
    </row>
    <row r="192" spans="1:11" x14ac:dyDescent="0.3">
      <c r="A192" s="30" t="s">
        <v>115</v>
      </c>
      <c r="B192" s="29">
        <v>0.01</v>
      </c>
      <c r="C192" s="29">
        <v>7.0000000000000007E-2</v>
      </c>
      <c r="D192" s="29">
        <v>0.03</v>
      </c>
      <c r="E192" s="29">
        <v>-0.01</v>
      </c>
      <c r="F192" s="29">
        <v>0.08</v>
      </c>
      <c r="G192" s="29">
        <v>0.11</v>
      </c>
      <c r="H192" s="29">
        <v>0.26</v>
      </c>
      <c r="I192" s="29">
        <v>-0.06</v>
      </c>
      <c r="K192" s="47"/>
    </row>
    <row r="193" spans="1:11" x14ac:dyDescent="0.3">
      <c r="A193" s="32" t="s">
        <v>106</v>
      </c>
      <c r="B193" s="49"/>
      <c r="C193" s="49"/>
      <c r="D193" s="33">
        <v>0.13</v>
      </c>
      <c r="E193" s="33">
        <v>0.1</v>
      </c>
      <c r="F193" s="33">
        <v>0.13</v>
      </c>
      <c r="G193" s="33">
        <v>0.01</v>
      </c>
      <c r="H193" s="33">
        <v>0.08</v>
      </c>
      <c r="I193" s="33">
        <v>0.16</v>
      </c>
      <c r="K193" s="47"/>
    </row>
    <row r="194" spans="1:11" x14ac:dyDescent="0.3">
      <c r="A194" s="30" t="s">
        <v>113</v>
      </c>
      <c r="B194" s="48"/>
      <c r="C194" s="48"/>
      <c r="D194" s="29">
        <v>0.16</v>
      </c>
      <c r="E194" s="29">
        <v>0.09</v>
      </c>
      <c r="F194" s="29">
        <v>0.12</v>
      </c>
      <c r="G194" s="29">
        <v>0</v>
      </c>
      <c r="H194" s="29">
        <v>0.08</v>
      </c>
      <c r="I194" s="29">
        <v>0.17</v>
      </c>
      <c r="K194" s="47"/>
    </row>
    <row r="195" spans="1:11" x14ac:dyDescent="0.3">
      <c r="A195" s="30" t="s">
        <v>114</v>
      </c>
      <c r="B195" s="48"/>
      <c r="C195" s="48"/>
      <c r="D195" s="29">
        <v>0.09</v>
      </c>
      <c r="E195" s="29">
        <v>0.15</v>
      </c>
      <c r="F195" s="29">
        <v>0.15</v>
      </c>
      <c r="G195" s="29">
        <v>0.03</v>
      </c>
      <c r="H195" s="29">
        <v>0.1</v>
      </c>
      <c r="I195" s="29">
        <v>0.12</v>
      </c>
      <c r="K195" s="47"/>
    </row>
    <row r="196" spans="1:11" x14ac:dyDescent="0.3">
      <c r="A196" s="30" t="s">
        <v>115</v>
      </c>
      <c r="B196" s="48"/>
      <c r="C196" s="48"/>
      <c r="D196" s="29">
        <v>-0.01</v>
      </c>
      <c r="E196" s="29">
        <v>-0.08</v>
      </c>
      <c r="F196" s="29">
        <v>0.08</v>
      </c>
      <c r="G196" s="29">
        <v>-0.04</v>
      </c>
      <c r="H196" s="29">
        <v>-0.09</v>
      </c>
      <c r="I196" s="29">
        <v>0.28000000000000003</v>
      </c>
      <c r="K196" s="47"/>
    </row>
    <row r="197" spans="1:11" x14ac:dyDescent="0.3">
      <c r="A197" s="32" t="s">
        <v>107</v>
      </c>
      <c r="B197" s="33">
        <v>-0.02</v>
      </c>
      <c r="C197" s="33">
        <v>-0.3</v>
      </c>
      <c r="D197" s="33">
        <v>-0.02</v>
      </c>
      <c r="E197" s="33">
        <v>0.12</v>
      </c>
      <c r="F197" s="33">
        <v>-0.53</v>
      </c>
      <c r="G197" s="33">
        <v>-0.26</v>
      </c>
      <c r="H197" s="33">
        <v>-0.17</v>
      </c>
      <c r="I197" s="33">
        <v>3.02</v>
      </c>
      <c r="K197" s="47"/>
    </row>
    <row r="198" spans="1:11" x14ac:dyDescent="0.3">
      <c r="A198" s="34" t="s">
        <v>103</v>
      </c>
      <c r="B198" s="36">
        <v>0.14000000000000001</v>
      </c>
      <c r="C198" s="36">
        <v>0.13</v>
      </c>
      <c r="D198" s="36">
        <v>0.08</v>
      </c>
      <c r="E198" s="36">
        <v>0.05</v>
      </c>
      <c r="F198" s="36">
        <v>0.11</v>
      </c>
      <c r="G198" s="36">
        <v>-0.02</v>
      </c>
      <c r="H198" s="36">
        <v>0.17</v>
      </c>
      <c r="I198" s="36">
        <v>0.06</v>
      </c>
    </row>
    <row r="199" spans="1:11" x14ac:dyDescent="0.3">
      <c r="A199" s="32" t="s">
        <v>104</v>
      </c>
      <c r="B199" s="33">
        <v>0.21</v>
      </c>
      <c r="C199" s="33">
        <v>0.02</v>
      </c>
      <c r="D199" s="33">
        <v>0.06</v>
      </c>
      <c r="E199" s="33">
        <v>-0.11</v>
      </c>
      <c r="F199" s="33">
        <v>0.03</v>
      </c>
      <c r="G199" s="33">
        <v>-0.01</v>
      </c>
      <c r="H199" s="33">
        <v>0.16</v>
      </c>
      <c r="I199" s="33">
        <v>7.0000000000000007E-2</v>
      </c>
    </row>
    <row r="200" spans="1:11" x14ac:dyDescent="0.3">
      <c r="A200" s="30" t="s">
        <v>113</v>
      </c>
      <c r="B200" s="48"/>
      <c r="C200" s="48"/>
      <c r="D200" s="48"/>
      <c r="E200" s="48"/>
      <c r="F200" s="29">
        <v>0.05</v>
      </c>
      <c r="G200" s="29">
        <v>0.01</v>
      </c>
      <c r="H200" s="29">
        <v>0.17</v>
      </c>
      <c r="I200" s="29">
        <v>0.06</v>
      </c>
    </row>
    <row r="201" spans="1:11" x14ac:dyDescent="0.3">
      <c r="A201" s="30" t="s">
        <v>114</v>
      </c>
      <c r="B201" s="48"/>
      <c r="C201" s="48"/>
      <c r="D201" s="48"/>
      <c r="E201" s="48"/>
      <c r="F201" s="29">
        <v>-0.17</v>
      </c>
      <c r="G201" s="29">
        <v>-0.22</v>
      </c>
      <c r="H201" s="29">
        <v>0.13</v>
      </c>
      <c r="I201" s="29">
        <v>-0.03</v>
      </c>
    </row>
    <row r="202" spans="1:11" x14ac:dyDescent="0.3">
      <c r="A202" s="30" t="s">
        <v>115</v>
      </c>
      <c r="B202" s="48"/>
      <c r="C202" s="48"/>
      <c r="D202" s="48"/>
      <c r="E202" s="48"/>
      <c r="F202" s="29">
        <v>-0.13</v>
      </c>
      <c r="G202" s="29">
        <v>0.08</v>
      </c>
      <c r="H202" s="29">
        <v>0.14000000000000001</v>
      </c>
      <c r="I202" s="29">
        <v>-0.16</v>
      </c>
    </row>
    <row r="203" spans="1:11" x14ac:dyDescent="0.3">
      <c r="A203" s="30" t="s">
        <v>121</v>
      </c>
      <c r="B203" s="48"/>
      <c r="C203" s="48"/>
      <c r="D203" s="48"/>
      <c r="E203" s="48"/>
      <c r="F203" s="29">
        <v>0.04</v>
      </c>
      <c r="G203" s="29">
        <v>-0.14000000000000001</v>
      </c>
      <c r="H203" s="29">
        <v>-0.01</v>
      </c>
      <c r="I203" s="29">
        <v>0.42</v>
      </c>
    </row>
    <row r="204" spans="1:11" x14ac:dyDescent="0.3">
      <c r="A204" s="28" t="s">
        <v>108</v>
      </c>
      <c r="B204" s="29">
        <v>0.06</v>
      </c>
      <c r="C204" s="29">
        <v>7.0000000000000007E-2</v>
      </c>
      <c r="D204" s="29">
        <v>-0.38</v>
      </c>
      <c r="E204" s="29">
        <v>0</v>
      </c>
      <c r="F204" s="29">
        <v>-0.24</v>
      </c>
      <c r="G204" s="29">
        <v>0</v>
      </c>
      <c r="H204" s="29">
        <v>0</v>
      </c>
      <c r="I204" s="29">
        <v>0</v>
      </c>
    </row>
    <row r="205" spans="1:11" ht="15" thickBot="1" x14ac:dyDescent="0.35">
      <c r="A205" s="31" t="s">
        <v>105</v>
      </c>
      <c r="B205" s="35">
        <v>0.14000000000000001</v>
      </c>
      <c r="C205" s="35">
        <v>0.12</v>
      </c>
      <c r="D205" s="35">
        <v>0.08</v>
      </c>
      <c r="E205" s="35">
        <v>0.04</v>
      </c>
      <c r="F205" s="35">
        <v>0.11</v>
      </c>
      <c r="G205" s="35">
        <v>-0.02</v>
      </c>
      <c r="H205" s="35">
        <v>0.17</v>
      </c>
      <c r="I205" s="35">
        <v>0.06</v>
      </c>
    </row>
    <row r="206" spans="1:11" ht="15" thickTop="1" x14ac:dyDescent="0.3"/>
  </sheetData>
  <pageMargins left="0.7" right="0.7" top="0.75" bottom="0.75" header="0.3" footer="0.3"/>
  <pageSetup paperSize="9" orientation="portrait" r:id="rId1"/>
  <ignoredErrors>
    <ignoredError sqref="F127:I127 C121:I121 B144 B155:C155 B165 B177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3F60B-9CCA-480D-BDF4-4064605EED22}">
  <dimension ref="A1:P223"/>
  <sheetViews>
    <sheetView topLeftCell="A15" zoomScaleNormal="100" workbookViewId="0"/>
  </sheetViews>
  <sheetFormatPr defaultRowHeight="14.4" x14ac:dyDescent="0.3"/>
  <cols>
    <col min="1" max="1" width="48.77734375" customWidth="1"/>
    <col min="2" max="14" width="11.77734375" customWidth="1"/>
    <col min="15" max="15" width="24.44140625" customWidth="1"/>
  </cols>
  <sheetData>
    <row r="1" spans="1:16" ht="68.400000000000006" customHeight="1" x14ac:dyDescent="0.3">
      <c r="A1" s="51" t="s">
        <v>142</v>
      </c>
      <c r="B1" s="52">
        <f t="shared" ref="B1:G1" si="0">+C1-1</f>
        <v>2015</v>
      </c>
      <c r="C1" s="52">
        <f t="shared" si="0"/>
        <v>2016</v>
      </c>
      <c r="D1" s="52">
        <f t="shared" si="0"/>
        <v>2017</v>
      </c>
      <c r="E1" s="52">
        <f t="shared" si="0"/>
        <v>2018</v>
      </c>
      <c r="F1" s="52">
        <f t="shared" si="0"/>
        <v>2019</v>
      </c>
      <c r="G1" s="52">
        <f t="shared" si="0"/>
        <v>2020</v>
      </c>
      <c r="H1" s="52">
        <f>+I1-1</f>
        <v>2021</v>
      </c>
      <c r="I1" s="52">
        <v>2022</v>
      </c>
      <c r="J1" s="53">
        <f>+I1+1</f>
        <v>2023</v>
      </c>
      <c r="K1" s="53">
        <f t="shared" ref="K1:N1" si="1">+J1+1</f>
        <v>2024</v>
      </c>
      <c r="L1" s="53">
        <f t="shared" si="1"/>
        <v>2025</v>
      </c>
      <c r="M1" s="53">
        <f t="shared" si="1"/>
        <v>2026</v>
      </c>
      <c r="N1" s="53">
        <f t="shared" si="1"/>
        <v>2027</v>
      </c>
    </row>
    <row r="2" spans="1:16" x14ac:dyDescent="0.3">
      <c r="A2" s="54" t="s">
        <v>130</v>
      </c>
      <c r="B2" s="54"/>
      <c r="C2" s="54"/>
      <c r="D2" s="54"/>
      <c r="E2" s="54"/>
      <c r="F2" s="54"/>
      <c r="G2" s="54"/>
      <c r="H2" s="54"/>
      <c r="I2" s="54"/>
      <c r="J2" s="53"/>
      <c r="K2" s="53"/>
      <c r="L2" s="53"/>
      <c r="M2" s="53"/>
      <c r="N2" s="53"/>
    </row>
    <row r="3" spans="1:16" x14ac:dyDescent="0.3">
      <c r="A3" s="55" t="s">
        <v>131</v>
      </c>
      <c r="B3" s="55">
        <f>+Historicals!B133</f>
        <v>30601</v>
      </c>
      <c r="C3" s="55">
        <f t="shared" ref="C3:H3" si="2">SUM(C21,C52,C83,C114,C145,C166,C201)</f>
        <v>32376</v>
      </c>
      <c r="D3" s="55">
        <f t="shared" si="2"/>
        <v>34350</v>
      </c>
      <c r="E3" s="55">
        <f t="shared" si="2"/>
        <v>36397</v>
      </c>
      <c r="F3" s="55">
        <f t="shared" si="2"/>
        <v>39117</v>
      </c>
      <c r="G3" s="55">
        <f t="shared" si="2"/>
        <v>37403</v>
      </c>
      <c r="H3" s="55">
        <f t="shared" si="2"/>
        <v>44538</v>
      </c>
      <c r="I3" s="55">
        <f>SUM(I21,I52,I83,I114,I145,I166,I201)</f>
        <v>46710</v>
      </c>
      <c r="J3" s="55">
        <f t="shared" ref="J3:N3" si="3">SUM(J21,J52,J83,J114,J145,J166,J201)</f>
        <v>50646.407999999989</v>
      </c>
      <c r="K3" s="55">
        <f t="shared" si="3"/>
        <v>54974.891376</v>
      </c>
      <c r="L3" s="55">
        <f t="shared" si="3"/>
        <v>59738.255685149998</v>
      </c>
      <c r="M3" s="55">
        <f t="shared" si="3"/>
        <v>64984.394401809353</v>
      </c>
      <c r="N3" s="55">
        <f t="shared" si="3"/>
        <v>70766.92681197518</v>
      </c>
    </row>
    <row r="4" spans="1:16" x14ac:dyDescent="0.3">
      <c r="A4" s="56" t="s">
        <v>132</v>
      </c>
      <c r="B4" s="59" t="str">
        <f t="shared" ref="B4:N4" si="4">+IFERROR(B3/A3-1,"nm")</f>
        <v>nm</v>
      </c>
      <c r="C4" s="59">
        <f t="shared" si="4"/>
        <v>5.8004640371229765E-2</v>
      </c>
      <c r="D4" s="59">
        <f t="shared" si="4"/>
        <v>6.0971089696071123E-2</v>
      </c>
      <c r="E4" s="59">
        <f t="shared" si="4"/>
        <v>5.95924308588065E-2</v>
      </c>
      <c r="F4" s="59">
        <f t="shared" si="4"/>
        <v>7.4731433909388079E-2</v>
      </c>
      <c r="G4" s="59">
        <f t="shared" si="4"/>
        <v>-4.3817266150267153E-2</v>
      </c>
      <c r="H4" s="59">
        <f t="shared" si="4"/>
        <v>0.19076009945726269</v>
      </c>
      <c r="I4" s="59">
        <f t="shared" si="4"/>
        <v>4.8767344739323759E-2</v>
      </c>
      <c r="J4" s="59">
        <f t="shared" si="4"/>
        <v>8.4273346178548314E-2</v>
      </c>
      <c r="K4" s="59">
        <f t="shared" si="4"/>
        <v>8.5464765359075656E-2</v>
      </c>
      <c r="L4" s="59">
        <f t="shared" si="4"/>
        <v>8.6646179554426661E-2</v>
      </c>
      <c r="M4" s="59">
        <f t="shared" si="4"/>
        <v>8.7818746237069423E-2</v>
      </c>
      <c r="N4" s="59">
        <f t="shared" si="4"/>
        <v>8.8983400759441666E-2</v>
      </c>
      <c r="O4" s="3"/>
      <c r="P4" s="3"/>
    </row>
    <row r="5" spans="1:16" x14ac:dyDescent="0.3">
      <c r="A5" s="55" t="s">
        <v>133</v>
      </c>
      <c r="B5" s="62">
        <f t="shared" ref="B5" si="5">+B11+B8</f>
        <v>4839</v>
      </c>
      <c r="C5" s="62">
        <f t="shared" ref="C5:H5" si="6">SUM(C35,C66,C97,C128,C149,C184,C205)</f>
        <v>5291</v>
      </c>
      <c r="D5" s="62">
        <f t="shared" si="6"/>
        <v>5651</v>
      </c>
      <c r="E5" s="62">
        <f t="shared" si="6"/>
        <v>5126</v>
      </c>
      <c r="F5" s="62">
        <f t="shared" si="6"/>
        <v>5555</v>
      </c>
      <c r="G5" s="62">
        <f t="shared" si="6"/>
        <v>3697</v>
      </c>
      <c r="H5" s="62">
        <f t="shared" si="6"/>
        <v>7667</v>
      </c>
      <c r="I5" s="62">
        <f>SUM(I35,I66,I97,I128,I149,I184,I205)</f>
        <v>7573</v>
      </c>
      <c r="J5" s="62">
        <f t="shared" ref="J5:N5" si="7">SUM(J35,J66,J97,J128,J149,J184,J205)</f>
        <v>8736.0194719616466</v>
      </c>
      <c r="K5" s="62">
        <f t="shared" si="7"/>
        <v>10015.235411737289</v>
      </c>
      <c r="L5" s="62">
        <f t="shared" si="7"/>
        <v>11423.333392228713</v>
      </c>
      <c r="M5" s="62">
        <f t="shared" si="7"/>
        <v>12974.501967675322</v>
      </c>
      <c r="N5" s="62">
        <f t="shared" si="7"/>
        <v>14684.620132486976</v>
      </c>
      <c r="O5" s="63"/>
      <c r="P5" s="63"/>
    </row>
    <row r="6" spans="1:16" x14ac:dyDescent="0.3">
      <c r="A6" s="56" t="s">
        <v>132</v>
      </c>
      <c r="B6" s="59" t="str">
        <f t="shared" ref="B6:N6" si="8">+IFERROR(B5/A5-1,"nm")</f>
        <v>nm</v>
      </c>
      <c r="C6" s="59">
        <f t="shared" si="8"/>
        <v>9.3407728869601137E-2</v>
      </c>
      <c r="D6" s="59">
        <f t="shared" si="8"/>
        <v>6.8040068040068125E-2</v>
      </c>
      <c r="E6" s="59">
        <f t="shared" si="8"/>
        <v>-9.2903910812245583E-2</v>
      </c>
      <c r="F6" s="59">
        <f t="shared" si="8"/>
        <v>8.3690987124463545E-2</v>
      </c>
      <c r="G6" s="59">
        <f t="shared" si="8"/>
        <v>-0.3344734473447345</v>
      </c>
      <c r="H6" s="59">
        <f t="shared" si="8"/>
        <v>1.0738436570192049</v>
      </c>
      <c r="I6" s="59">
        <f t="shared" si="8"/>
        <v>-1.2260336507108338E-2</v>
      </c>
      <c r="J6" s="59">
        <f t="shared" si="8"/>
        <v>0.15357447140652924</v>
      </c>
      <c r="K6" s="59">
        <f t="shared" si="8"/>
        <v>0.14643006965372507</v>
      </c>
      <c r="L6" s="59">
        <f t="shared" si="8"/>
        <v>0.14059559487151074</v>
      </c>
      <c r="M6" s="59">
        <f t="shared" si="8"/>
        <v>0.13578948649978728</v>
      </c>
      <c r="N6" s="59">
        <f t="shared" si="8"/>
        <v>0.13180607387260368</v>
      </c>
    </row>
    <row r="7" spans="1:16" x14ac:dyDescent="0.3">
      <c r="A7" s="56" t="s">
        <v>134</v>
      </c>
      <c r="B7" s="59">
        <f t="shared" ref="B7:H7" si="9">+IFERROR(B5/B$3,"nm")</f>
        <v>0.15813208718669325</v>
      </c>
      <c r="C7" s="59">
        <f t="shared" si="9"/>
        <v>0.16342352359772672</v>
      </c>
      <c r="D7" s="59">
        <f t="shared" si="9"/>
        <v>0.16451237263464338</v>
      </c>
      <c r="E7" s="59">
        <f t="shared" si="9"/>
        <v>0.14083578316894249</v>
      </c>
      <c r="F7" s="59">
        <f t="shared" si="9"/>
        <v>0.14200986783240024</v>
      </c>
      <c r="G7" s="59">
        <f t="shared" si="9"/>
        <v>9.8842338849824879E-2</v>
      </c>
      <c r="H7" s="59">
        <f t="shared" si="9"/>
        <v>0.17214513449189456</v>
      </c>
      <c r="I7" s="59">
        <f>+IFERROR(I5/I$3,"nm")</f>
        <v>0.16212802397773496</v>
      </c>
      <c r="J7" s="59">
        <f t="shared" ref="J7:N7" si="10">+IFERROR(J5/J$3,"nm")</f>
        <v>0.17249040587363371</v>
      </c>
      <c r="K7" s="59">
        <f t="shared" si="10"/>
        <v>0.18217835744755231</v>
      </c>
      <c r="L7" s="59">
        <f t="shared" si="10"/>
        <v>0.19122308244879632</v>
      </c>
      <c r="M7" s="59">
        <f t="shared" si="10"/>
        <v>0.19965565713287733</v>
      </c>
      <c r="N7" s="59">
        <f t="shared" si="10"/>
        <v>0.20750682266453946</v>
      </c>
      <c r="O7" s="63"/>
      <c r="P7" s="63"/>
    </row>
    <row r="8" spans="1:16" x14ac:dyDescent="0.3">
      <c r="A8" s="55" t="s">
        <v>135</v>
      </c>
      <c r="B8" s="55">
        <f>+Historicals!B177</f>
        <v>606</v>
      </c>
      <c r="C8" s="55">
        <f t="shared" ref="C8:H8" si="11">SUM(C38,C69,C100,C131,C152,C187,C208)</f>
        <v>649</v>
      </c>
      <c r="D8" s="55">
        <f t="shared" si="11"/>
        <v>706</v>
      </c>
      <c r="E8" s="55">
        <f t="shared" si="11"/>
        <v>747</v>
      </c>
      <c r="F8" s="55">
        <f t="shared" si="11"/>
        <v>705</v>
      </c>
      <c r="G8" s="55">
        <f t="shared" si="11"/>
        <v>721</v>
      </c>
      <c r="H8" s="55">
        <f t="shared" si="11"/>
        <v>744</v>
      </c>
      <c r="I8" s="55">
        <f>SUM(I38,I69,I100,I131,I152,I187,I208)</f>
        <v>717</v>
      </c>
      <c r="J8" s="55">
        <f t="shared" ref="J8:N8" si="12">SUM(J38,J69,J100,J131,J152,J187,J208)</f>
        <v>748.40929601934783</v>
      </c>
      <c r="K8" s="55">
        <f t="shared" si="12"/>
        <v>783.01342155629209</v>
      </c>
      <c r="L8" s="55">
        <f t="shared" si="12"/>
        <v>821.16867356106525</v>
      </c>
      <c r="M8" s="55">
        <f t="shared" si="12"/>
        <v>863.27461072832307</v>
      </c>
      <c r="N8" s="55">
        <f t="shared" si="12"/>
        <v>909.7795980992878</v>
      </c>
      <c r="O8" s="63"/>
      <c r="P8" s="63"/>
    </row>
    <row r="9" spans="1:16" x14ac:dyDescent="0.3">
      <c r="A9" s="56" t="s">
        <v>132</v>
      </c>
      <c r="B9" s="59" t="str">
        <f t="shared" ref="B9:N9" si="13">+IFERROR(B8/A8-1,"nm")</f>
        <v>nm</v>
      </c>
      <c r="C9" s="59">
        <f t="shared" si="13"/>
        <v>7.0957095709570872E-2</v>
      </c>
      <c r="D9" s="59">
        <f t="shared" si="13"/>
        <v>8.7827426810477727E-2</v>
      </c>
      <c r="E9" s="59">
        <f t="shared" si="13"/>
        <v>5.8073654390934815E-2</v>
      </c>
      <c r="F9" s="59">
        <f t="shared" si="13"/>
        <v>-5.6224899598393607E-2</v>
      </c>
      <c r="G9" s="59">
        <f t="shared" si="13"/>
        <v>2.2695035460992941E-2</v>
      </c>
      <c r="H9" s="59">
        <f t="shared" si="13"/>
        <v>3.1900138696255187E-2</v>
      </c>
      <c r="I9" s="59">
        <f t="shared" si="13"/>
        <v>-3.6290322580645129E-2</v>
      </c>
      <c r="J9" s="59">
        <f t="shared" si="13"/>
        <v>4.3806549538839334E-2</v>
      </c>
      <c r="K9" s="59">
        <f t="shared" si="13"/>
        <v>4.6236899676416643E-2</v>
      </c>
      <c r="L9" s="59">
        <f t="shared" si="13"/>
        <v>4.8728733064290264E-2</v>
      </c>
      <c r="M9" s="59">
        <f t="shared" si="13"/>
        <v>5.1275625243547118E-2</v>
      </c>
      <c r="N9" s="59">
        <f t="shared" si="13"/>
        <v>5.3870444923347804E-2</v>
      </c>
    </row>
    <row r="10" spans="1:16" x14ac:dyDescent="0.3">
      <c r="A10" s="56" t="s">
        <v>136</v>
      </c>
      <c r="B10" s="59">
        <f t="shared" ref="B10:H10" si="14">+IFERROR(B8/B$3,"nm")</f>
        <v>1.9803274402797295E-2</v>
      </c>
      <c r="C10" s="59">
        <f t="shared" si="14"/>
        <v>2.0045712873733631E-2</v>
      </c>
      <c r="D10" s="59">
        <f t="shared" si="14"/>
        <v>2.0553129548762736E-2</v>
      </c>
      <c r="E10" s="59">
        <f t="shared" si="14"/>
        <v>2.0523669533203285E-2</v>
      </c>
      <c r="F10" s="59">
        <f t="shared" si="14"/>
        <v>1.8022854513382928E-2</v>
      </c>
      <c r="G10" s="59">
        <f t="shared" si="14"/>
        <v>1.9276528620698875E-2</v>
      </c>
      <c r="H10" s="59">
        <f t="shared" si="14"/>
        <v>1.6704836319547355E-2</v>
      </c>
      <c r="I10" s="59">
        <f>+IFERROR(I8/I$3,"nm")</f>
        <v>1.5350032113037893E-2</v>
      </c>
      <c r="J10" s="59">
        <f t="shared" ref="J10:N10" si="15">+IFERROR(J8/J$3,"nm")</f>
        <v>1.4777144630263769E-2</v>
      </c>
      <c r="K10" s="59">
        <f t="shared" si="15"/>
        <v>1.424310993542275E-2</v>
      </c>
      <c r="L10" s="59">
        <f t="shared" si="15"/>
        <v>1.3746110664647261E-2</v>
      </c>
      <c r="M10" s="59">
        <f t="shared" si="15"/>
        <v>1.328433724242396E-2</v>
      </c>
      <c r="N10" s="59">
        <f t="shared" si="15"/>
        <v>1.285599981636245E-2</v>
      </c>
      <c r="O10" s="63"/>
      <c r="P10" s="63"/>
    </row>
    <row r="11" spans="1:16" x14ac:dyDescent="0.3">
      <c r="A11" s="55" t="s">
        <v>137</v>
      </c>
      <c r="B11" s="55">
        <f>+Historicals!B144</f>
        <v>4233</v>
      </c>
      <c r="C11" s="55">
        <f t="shared" ref="C11:H11" si="16">SUM(C42,C73,C104,C135,C156,C191,C212)</f>
        <v>4642</v>
      </c>
      <c r="D11" s="55">
        <f t="shared" si="16"/>
        <v>4945</v>
      </c>
      <c r="E11" s="55">
        <f t="shared" si="16"/>
        <v>4379</v>
      </c>
      <c r="F11" s="55">
        <f t="shared" si="16"/>
        <v>4850</v>
      </c>
      <c r="G11" s="55">
        <f t="shared" si="16"/>
        <v>2976</v>
      </c>
      <c r="H11" s="55">
        <f t="shared" si="16"/>
        <v>6923</v>
      </c>
      <c r="I11" s="55">
        <f>SUM(I42,I73,I104,I135,I156,I191,I212)</f>
        <v>6856</v>
      </c>
      <c r="J11" s="55">
        <f t="shared" ref="J11:N11" si="17">SUM(J42,J73,J104,J135,J156,J191,J212)</f>
        <v>7987.6101759422963</v>
      </c>
      <c r="K11" s="55">
        <f t="shared" si="17"/>
        <v>9232.2219901809967</v>
      </c>
      <c r="L11" s="55">
        <f t="shared" si="17"/>
        <v>10602.164718667647</v>
      </c>
      <c r="M11" s="55">
        <f t="shared" si="17"/>
        <v>12111.227356946998</v>
      </c>
      <c r="N11" s="55">
        <f t="shared" si="17"/>
        <v>13774.840534387688</v>
      </c>
      <c r="O11" s="63"/>
      <c r="P11" s="63"/>
    </row>
    <row r="12" spans="1:16" x14ac:dyDescent="0.3">
      <c r="A12" s="56" t="s">
        <v>132</v>
      </c>
      <c r="B12" s="59" t="str">
        <f t="shared" ref="B12:N12" si="18">+IFERROR(B11/A11-1,"nm")</f>
        <v>nm</v>
      </c>
      <c r="C12" s="59">
        <f t="shared" si="18"/>
        <v>9.6621781242617555E-2</v>
      </c>
      <c r="D12" s="59">
        <f t="shared" si="18"/>
        <v>6.5273588970271357E-2</v>
      </c>
      <c r="E12" s="59">
        <f t="shared" si="18"/>
        <v>-0.11445904954499497</v>
      </c>
      <c r="F12" s="59">
        <f t="shared" si="18"/>
        <v>0.10755880337976698</v>
      </c>
      <c r="G12" s="59">
        <f t="shared" si="18"/>
        <v>-0.38639175257731961</v>
      </c>
      <c r="H12" s="59">
        <f t="shared" si="18"/>
        <v>1.32627688172043</v>
      </c>
      <c r="I12" s="59">
        <f t="shared" si="18"/>
        <v>-9.67788530983682E-3</v>
      </c>
      <c r="J12" s="59">
        <f t="shared" si="18"/>
        <v>0.16505399299041668</v>
      </c>
      <c r="K12" s="59">
        <f t="shared" si="18"/>
        <v>0.1558177961647802</v>
      </c>
      <c r="L12" s="59">
        <f t="shared" si="18"/>
        <v>0.1483871087527644</v>
      </c>
      <c r="M12" s="59">
        <f t="shared" si="18"/>
        <v>0.14233533229513817</v>
      </c>
      <c r="N12" s="59">
        <f t="shared" si="18"/>
        <v>0.13736123750384732</v>
      </c>
    </row>
    <row r="13" spans="1:16" x14ac:dyDescent="0.3">
      <c r="A13" s="56" t="s">
        <v>134</v>
      </c>
      <c r="B13" s="59">
        <f t="shared" ref="B13:H13" si="19">+IFERROR(B11/B$3,"nm")</f>
        <v>0.13832881278389594</v>
      </c>
      <c r="C13" s="59">
        <f t="shared" si="19"/>
        <v>0.14337781072399308</v>
      </c>
      <c r="D13" s="59">
        <f t="shared" si="19"/>
        <v>0.14395924308588065</v>
      </c>
      <c r="E13" s="59">
        <f t="shared" si="19"/>
        <v>0.12031211363573921</v>
      </c>
      <c r="F13" s="59">
        <f t="shared" si="19"/>
        <v>0.12398701331901731</v>
      </c>
      <c r="G13" s="59">
        <f t="shared" si="19"/>
        <v>7.9565810229126011E-2</v>
      </c>
      <c r="H13" s="59">
        <f t="shared" si="19"/>
        <v>0.1554402981723472</v>
      </c>
      <c r="I13" s="59">
        <f>+IFERROR(I11/I$3,"nm")</f>
        <v>0.14677799186469706</v>
      </c>
      <c r="J13" s="59">
        <f t="shared" ref="J13:N13" si="20">+IFERROR(J11/J$3,"nm")</f>
        <v>0.15771326124336987</v>
      </c>
      <c r="K13" s="59">
        <f t="shared" si="20"/>
        <v>0.16793524751212957</v>
      </c>
      <c r="L13" s="59">
        <f t="shared" si="20"/>
        <v>0.17747697178414903</v>
      </c>
      <c r="M13" s="59">
        <f t="shared" si="20"/>
        <v>0.18637131989045336</v>
      </c>
      <c r="N13" s="59">
        <f t="shared" si="20"/>
        <v>0.194650822848177</v>
      </c>
      <c r="O13" s="63"/>
      <c r="P13" s="63"/>
    </row>
    <row r="14" spans="1:16" x14ac:dyDescent="0.3">
      <c r="A14" s="55" t="s">
        <v>138</v>
      </c>
      <c r="B14" s="55">
        <f>+Historicals!B166</f>
        <v>963</v>
      </c>
      <c r="C14" s="55">
        <f t="shared" ref="C14:H14" si="21">SUM(C45,C76,C107,C138,C159,C194,C215)</f>
        <v>1143</v>
      </c>
      <c r="D14" s="55">
        <f t="shared" si="21"/>
        <v>1105</v>
      </c>
      <c r="E14" s="55">
        <f t="shared" si="21"/>
        <v>1028</v>
      </c>
      <c r="F14" s="55">
        <f t="shared" si="21"/>
        <v>1119</v>
      </c>
      <c r="G14" s="55">
        <f t="shared" si="21"/>
        <v>1086</v>
      </c>
      <c r="H14" s="55">
        <f t="shared" si="21"/>
        <v>695</v>
      </c>
      <c r="I14" s="55">
        <f t="shared" ref="I14:N14" si="22">SUM(I45,I76,I107,I138,I159,I194,I215)</f>
        <v>758</v>
      </c>
      <c r="J14" s="55">
        <f t="shared" si="22"/>
        <v>802.38610529888672</v>
      </c>
      <c r="K14" s="55">
        <f t="shared" si="22"/>
        <v>851.43664204067557</v>
      </c>
      <c r="L14" s="55">
        <f t="shared" si="22"/>
        <v>905.68479864077074</v>
      </c>
      <c r="M14" s="55">
        <f t="shared" si="22"/>
        <v>965.72926210793628</v>
      </c>
      <c r="N14" s="55">
        <f t="shared" si="22"/>
        <v>1032.242661627145</v>
      </c>
      <c r="O14" s="63"/>
      <c r="P14" s="63"/>
    </row>
    <row r="15" spans="1:16" x14ac:dyDescent="0.3">
      <c r="A15" s="56" t="s">
        <v>132</v>
      </c>
      <c r="B15" s="59" t="str">
        <f t="shared" ref="B15:N15" si="23">+IFERROR(B14/A14-1,"nm")</f>
        <v>nm</v>
      </c>
      <c r="C15" s="59">
        <f t="shared" si="23"/>
        <v>0.18691588785046731</v>
      </c>
      <c r="D15" s="59">
        <f t="shared" si="23"/>
        <v>-3.3245844269466307E-2</v>
      </c>
      <c r="E15" s="59">
        <f t="shared" si="23"/>
        <v>-6.9683257918552011E-2</v>
      </c>
      <c r="F15" s="59">
        <f t="shared" si="23"/>
        <v>8.8521400778210024E-2</v>
      </c>
      <c r="G15" s="59">
        <f t="shared" si="23"/>
        <v>-2.9490616621983934E-2</v>
      </c>
      <c r="H15" s="59">
        <f t="shared" si="23"/>
        <v>-0.36003683241252304</v>
      </c>
      <c r="I15" s="59">
        <f t="shared" si="23"/>
        <v>9.0647482014388547E-2</v>
      </c>
      <c r="J15" s="59">
        <f t="shared" si="23"/>
        <v>5.8556867148927161E-2</v>
      </c>
      <c r="K15" s="59">
        <f t="shared" si="23"/>
        <v>6.1130840150226184E-2</v>
      </c>
      <c r="L15" s="59">
        <f t="shared" si="23"/>
        <v>6.3713673950038352E-2</v>
      </c>
      <c r="M15" s="59">
        <f t="shared" si="23"/>
        <v>6.6297307360440261E-2</v>
      </c>
      <c r="N15" s="59">
        <f t="shared" si="23"/>
        <v>6.8873753886288247E-2</v>
      </c>
    </row>
    <row r="16" spans="1:16" x14ac:dyDescent="0.3">
      <c r="A16" s="56" t="s">
        <v>136</v>
      </c>
      <c r="B16" s="59">
        <f t="shared" ref="B16:H16" si="24">+IFERROR(B14/B$3,"nm")</f>
        <v>3.146955981830659E-2</v>
      </c>
      <c r="C16" s="59">
        <f t="shared" si="24"/>
        <v>3.5303928836174947E-2</v>
      </c>
      <c r="D16" s="59">
        <f t="shared" si="24"/>
        <v>3.2168850072780204E-2</v>
      </c>
      <c r="E16" s="59">
        <f t="shared" si="24"/>
        <v>2.8244086051048164E-2</v>
      </c>
      <c r="F16" s="59">
        <f t="shared" si="24"/>
        <v>2.8606488227624818E-2</v>
      </c>
      <c r="G16" s="59">
        <f t="shared" si="24"/>
        <v>2.9035104136031869E-2</v>
      </c>
      <c r="H16" s="59">
        <f t="shared" si="24"/>
        <v>1.5604652207104046E-2</v>
      </c>
      <c r="I16" s="59">
        <f>+IFERROR(I14/I$3,"nm")</f>
        <v>1.6227788482123744E-2</v>
      </c>
      <c r="J16" s="59">
        <f t="shared" ref="J16:N16" si="25">+IFERROR(J14/J$3,"nm")</f>
        <v>1.5842902527241159E-2</v>
      </c>
      <c r="K16" s="59">
        <f t="shared" si="25"/>
        <v>1.5487736687232115E-2</v>
      </c>
      <c r="L16" s="59">
        <f t="shared" si="25"/>
        <v>1.516088456640206E-2</v>
      </c>
      <c r="M16" s="59">
        <f t="shared" si="25"/>
        <v>1.4860941168993145E-2</v>
      </c>
      <c r="N16" s="59">
        <f t="shared" si="25"/>
        <v>1.4586512487249466E-2</v>
      </c>
      <c r="O16" s="63"/>
      <c r="P16" s="63"/>
    </row>
    <row r="17" spans="1:16" x14ac:dyDescent="0.3">
      <c r="A17" s="55" t="s">
        <v>143</v>
      </c>
      <c r="B17" s="55">
        <f>+Historicals!B155</f>
        <v>3011</v>
      </c>
      <c r="C17" s="55">
        <f>SUM(C48,C79,C110,C141,C162,C197,C218)</f>
        <v>2549</v>
      </c>
      <c r="D17" s="55">
        <f>SUM(D48,D79,D110,D141,D162,D197,D218)</f>
        <v>3989</v>
      </c>
      <c r="E17" s="55">
        <f>SUM(E48,E79,E110,E141,E162,E197,E218)</f>
        <v>4454</v>
      </c>
      <c r="F17" s="55">
        <f>SUM(F48,F79,F110,F141,F162,F197,F218)</f>
        <v>4744</v>
      </c>
      <c r="G17" s="55">
        <f>SUM(G48,G79,G110,G141,G162,G197,G218)</f>
        <v>4866</v>
      </c>
      <c r="H17" s="55">
        <f t="shared" ref="H17" si="26">SUM(H48,H79,H110,H141,H162,H197,H218)</f>
        <v>4904</v>
      </c>
      <c r="I17" s="55">
        <f t="shared" ref="I17:N17" si="27">SUM(I48,I79,I110,I141,I162,I197,I218)</f>
        <v>4791</v>
      </c>
      <c r="J17" s="55">
        <f t="shared" si="27"/>
        <v>4990.8718627142989</v>
      </c>
      <c r="K17" s="55">
        <f t="shared" si="27"/>
        <v>5211.7618932126643</v>
      </c>
      <c r="L17" s="55">
        <f t="shared" si="27"/>
        <v>5456.0736541454689</v>
      </c>
      <c r="M17" s="55">
        <f t="shared" si="27"/>
        <v>5726.506227426491</v>
      </c>
      <c r="N17" s="55">
        <f t="shared" si="27"/>
        <v>6026.0923641134423</v>
      </c>
      <c r="O17" s="63"/>
      <c r="P17" s="63"/>
    </row>
    <row r="18" spans="1:16" x14ac:dyDescent="0.3">
      <c r="A18" s="56" t="s">
        <v>132</v>
      </c>
      <c r="B18" s="59" t="str">
        <f t="shared" ref="B18" si="28">+IFERROR(B17/A17-1,"nm")</f>
        <v>nm</v>
      </c>
      <c r="C18" s="59">
        <f t="shared" ref="C18" si="29">+IFERROR(C17/B17-1,"nm")</f>
        <v>-0.15343739621388242</v>
      </c>
      <c r="D18" s="59">
        <f t="shared" ref="D18" si="30">+IFERROR(D17/C17-1,"nm")</f>
        <v>0.5649274225186347</v>
      </c>
      <c r="E18" s="59">
        <f t="shared" ref="E18" si="31">+IFERROR(E17/D17-1,"nm")</f>
        <v>0.11657056906492858</v>
      </c>
      <c r="F18" s="59">
        <f t="shared" ref="F18" si="32">+IFERROR(F17/E17-1,"nm")</f>
        <v>6.5110013471037176E-2</v>
      </c>
      <c r="G18" s="59">
        <f t="shared" ref="G18" si="33">+IFERROR(G17/F17-1,"nm")</f>
        <v>2.5716694772343951E-2</v>
      </c>
      <c r="H18" s="59">
        <f t="shared" ref="H18" si="34">+IFERROR(H17/G17-1,"nm")</f>
        <v>7.8092889436909285E-3</v>
      </c>
      <c r="I18" s="59">
        <f t="shared" ref="I18" si="35">+IFERROR(I17/H17-1,"nm")</f>
        <v>-2.3042414355628038E-2</v>
      </c>
      <c r="J18" s="59">
        <f t="shared" ref="J18:N18" si="36">+IFERROR(J17/I17-1,"nm")</f>
        <v>4.1718193010707338E-2</v>
      </c>
      <c r="K18" s="59">
        <f t="shared" si="36"/>
        <v>4.4258806191476374E-2</v>
      </c>
      <c r="L18" s="59">
        <f t="shared" si="36"/>
        <v>4.6876999743786119E-2</v>
      </c>
      <c r="M18" s="59">
        <f t="shared" si="36"/>
        <v>4.9565418361892988E-2</v>
      </c>
      <c r="N18" s="59">
        <f t="shared" si="36"/>
        <v>5.2315692114698997E-2</v>
      </c>
      <c r="O18" s="63"/>
      <c r="P18" s="63"/>
    </row>
    <row r="19" spans="1:16" x14ac:dyDescent="0.3">
      <c r="A19" s="56" t="s">
        <v>136</v>
      </c>
      <c r="B19" s="59">
        <f t="shared" ref="B19:I19" si="37">+IFERROR(B17/B$3,"nm")</f>
        <v>9.8395477271984569E-2</v>
      </c>
      <c r="C19" s="59">
        <f t="shared" si="37"/>
        <v>7.8731158883123306E-2</v>
      </c>
      <c r="D19" s="59">
        <f t="shared" si="37"/>
        <v>0.11612809315866085</v>
      </c>
      <c r="E19" s="59">
        <f t="shared" si="37"/>
        <v>0.12237272302662307</v>
      </c>
      <c r="F19" s="59">
        <f t="shared" si="37"/>
        <v>0.1212771940588491</v>
      </c>
      <c r="G19" s="59">
        <f t="shared" si="37"/>
        <v>0.13009651632222013</v>
      </c>
      <c r="H19" s="59">
        <f t="shared" si="37"/>
        <v>0.11010822219228523</v>
      </c>
      <c r="I19" s="59">
        <f t="shared" si="37"/>
        <v>0.10256904303147078</v>
      </c>
      <c r="J19" s="59">
        <f t="shared" ref="J19:N19" si="38">+IFERROR(J17/J$3,"nm")</f>
        <v>9.854345174319766E-2</v>
      </c>
      <c r="K19" s="59">
        <f t="shared" si="38"/>
        <v>9.4802586467463701E-2</v>
      </c>
      <c r="L19" s="59">
        <f t="shared" si="38"/>
        <v>9.1332992427861664E-2</v>
      </c>
      <c r="M19" s="59">
        <f t="shared" si="38"/>
        <v>8.8121252496692476E-2</v>
      </c>
      <c r="N19" s="59">
        <f t="shared" si="38"/>
        <v>8.5154077414220944E-2</v>
      </c>
      <c r="O19" s="63"/>
      <c r="P19" s="63"/>
    </row>
    <row r="20" spans="1:16" x14ac:dyDescent="0.3">
      <c r="A20" s="57" t="str">
        <f>+Historicals!A109</f>
        <v>North America</v>
      </c>
      <c r="B20" s="57"/>
      <c r="C20" s="57"/>
      <c r="D20" s="57"/>
      <c r="E20" s="57"/>
      <c r="F20" s="57"/>
      <c r="G20" s="57"/>
      <c r="H20" s="57"/>
      <c r="I20" s="57"/>
      <c r="J20" s="53"/>
      <c r="K20" s="53"/>
      <c r="L20" s="53"/>
      <c r="M20" s="53"/>
      <c r="N20" s="53"/>
      <c r="O20" s="63"/>
      <c r="P20" s="63"/>
    </row>
    <row r="21" spans="1:16" x14ac:dyDescent="0.3">
      <c r="A21" s="55" t="s">
        <v>139</v>
      </c>
      <c r="B21" s="55">
        <f t="shared" ref="B21:H21" si="39">SUM(B23,B27,B31)</f>
        <v>13740</v>
      </c>
      <c r="C21" s="55">
        <f t="shared" si="39"/>
        <v>14764</v>
      </c>
      <c r="D21" s="55">
        <f t="shared" si="39"/>
        <v>15216</v>
      </c>
      <c r="E21" s="55">
        <f t="shared" si="39"/>
        <v>14855</v>
      </c>
      <c r="F21" s="55">
        <f t="shared" si="39"/>
        <v>15902</v>
      </c>
      <c r="G21" s="55">
        <f t="shared" si="39"/>
        <v>14484</v>
      </c>
      <c r="H21" s="55">
        <f t="shared" si="39"/>
        <v>17179</v>
      </c>
      <c r="I21" s="55">
        <f>SUM(I23,I27,I31)</f>
        <v>18353</v>
      </c>
      <c r="J21" s="55">
        <f>+SUM(J23+J27+J31)</f>
        <v>19343.468000000001</v>
      </c>
      <c r="K21" s="55">
        <f t="shared" ref="K21:N21" si="40">+SUM(K23+K27+K31)</f>
        <v>20394.530144</v>
      </c>
      <c r="L21" s="55">
        <f t="shared" si="40"/>
        <v>21509.76928688</v>
      </c>
      <c r="M21" s="55">
        <f t="shared" si="40"/>
        <v>22692.991587948611</v>
      </c>
      <c r="N21" s="55">
        <f t="shared" si="40"/>
        <v>23948.240320139226</v>
      </c>
    </row>
    <row r="22" spans="1:16" x14ac:dyDescent="0.3">
      <c r="A22" s="58" t="s">
        <v>132</v>
      </c>
      <c r="B22" s="59" t="str">
        <f t="shared" ref="B22:N22" si="41">+IFERROR(B21/A21-1,"nm")</f>
        <v>nm</v>
      </c>
      <c r="C22" s="59">
        <f t="shared" si="41"/>
        <v>7.4526928675400228E-2</v>
      </c>
      <c r="D22" s="59">
        <f t="shared" si="41"/>
        <v>3.0615009482525046E-2</v>
      </c>
      <c r="E22" s="59">
        <f t="shared" si="41"/>
        <v>-2.372502628811779E-2</v>
      </c>
      <c r="F22" s="59">
        <f t="shared" si="41"/>
        <v>7.0481319421070276E-2</v>
      </c>
      <c r="G22" s="59">
        <f t="shared" si="41"/>
        <v>-8.9171173437303519E-2</v>
      </c>
      <c r="H22" s="59">
        <f t="shared" si="41"/>
        <v>0.18606738470035911</v>
      </c>
      <c r="I22" s="59">
        <f t="shared" si="41"/>
        <v>6.8339251411607238E-2</v>
      </c>
      <c r="J22" s="59">
        <f t="shared" si="41"/>
        <v>5.3967634719119584E-2</v>
      </c>
      <c r="K22" s="59">
        <f t="shared" si="41"/>
        <v>5.4336799585265716E-2</v>
      </c>
      <c r="L22" s="59">
        <f t="shared" si="41"/>
        <v>5.468324766521282E-2</v>
      </c>
      <c r="M22" s="59">
        <f t="shared" si="41"/>
        <v>5.5008600291697407E-2</v>
      </c>
      <c r="N22" s="59">
        <f t="shared" si="41"/>
        <v>5.5314378773102302E-2</v>
      </c>
      <c r="O22" s="63"/>
      <c r="P22" s="63"/>
    </row>
    <row r="23" spans="1:16" x14ac:dyDescent="0.3">
      <c r="A23" s="60" t="s">
        <v>113</v>
      </c>
      <c r="B23" s="61">
        <f>+Historicals!B110</f>
        <v>8506</v>
      </c>
      <c r="C23" s="61">
        <f>+Historicals!C110</f>
        <v>9299</v>
      </c>
      <c r="D23" s="61">
        <f>+Historicals!D110</f>
        <v>9684</v>
      </c>
      <c r="E23" s="61">
        <f>+Historicals!E110</f>
        <v>9322</v>
      </c>
      <c r="F23" s="61">
        <f>+Historicals!F110</f>
        <v>10045</v>
      </c>
      <c r="G23" s="61">
        <f>+Historicals!G110</f>
        <v>9329</v>
      </c>
      <c r="H23" s="61">
        <f>+Historicals!H110</f>
        <v>11644</v>
      </c>
      <c r="I23" s="61">
        <f>+Historicals!I110</f>
        <v>12228</v>
      </c>
      <c r="J23" s="61">
        <f>+I23*(1+J24)</f>
        <v>13010.592000000001</v>
      </c>
      <c r="K23" s="61">
        <f t="shared" ref="K23:N23" si="42">+J23*(1+K24)</f>
        <v>13843.269888000001</v>
      </c>
      <c r="L23" s="61">
        <f t="shared" si="42"/>
        <v>14729.239160832001</v>
      </c>
      <c r="M23" s="61">
        <f t="shared" si="42"/>
        <v>15671.91046712525</v>
      </c>
      <c r="N23" s="61">
        <f t="shared" si="42"/>
        <v>16674.912737021266</v>
      </c>
      <c r="O23" s="63"/>
      <c r="P23" s="63"/>
    </row>
    <row r="24" spans="1:16" x14ac:dyDescent="0.3">
      <c r="A24" s="58" t="s">
        <v>132</v>
      </c>
      <c r="B24" s="59" t="str">
        <f t="shared" ref="B24:I24" si="43">+IFERROR(B23/A23-1,"nm")</f>
        <v>nm</v>
      </c>
      <c r="C24" s="59">
        <f t="shared" si="43"/>
        <v>9.3228309428638578E-2</v>
      </c>
      <c r="D24" s="59">
        <f t="shared" si="43"/>
        <v>4.1402301322722934E-2</v>
      </c>
      <c r="E24" s="59">
        <f t="shared" si="43"/>
        <v>-3.7381247418422192E-2</v>
      </c>
      <c r="F24" s="59">
        <f t="shared" si="43"/>
        <v>7.755846384895948E-2</v>
      </c>
      <c r="G24" s="59">
        <f t="shared" si="43"/>
        <v>-7.1279243404678949E-2</v>
      </c>
      <c r="H24" s="59">
        <f t="shared" si="43"/>
        <v>0.24815092721620746</v>
      </c>
      <c r="I24" s="59">
        <f t="shared" si="43"/>
        <v>5.0154586052902683E-2</v>
      </c>
      <c r="J24" s="59">
        <f>+J25+J26</f>
        <v>6.4000000000000001E-2</v>
      </c>
      <c r="K24" s="59">
        <f t="shared" ref="K24:N24" si="44">+K25+K26</f>
        <v>6.4000000000000001E-2</v>
      </c>
      <c r="L24" s="59">
        <f t="shared" si="44"/>
        <v>6.4000000000000001E-2</v>
      </c>
      <c r="M24" s="59">
        <f t="shared" si="44"/>
        <v>6.4000000000000001E-2</v>
      </c>
      <c r="N24" s="59">
        <f t="shared" si="44"/>
        <v>6.4000000000000001E-2</v>
      </c>
      <c r="O24" s="1"/>
      <c r="P24" s="1"/>
    </row>
    <row r="25" spans="1:16" x14ac:dyDescent="0.3">
      <c r="A25" s="58" t="s">
        <v>140</v>
      </c>
      <c r="B25" s="59">
        <f>+Historicals!B182</f>
        <v>0.14000000000000001</v>
      </c>
      <c r="C25" s="59">
        <f>+Historicals!C182</f>
        <v>0.1</v>
      </c>
      <c r="D25" s="59">
        <f>+Historicals!D182</f>
        <v>0.04</v>
      </c>
      <c r="E25" s="59">
        <f>+Historicals!E182</f>
        <v>-0.04</v>
      </c>
      <c r="F25" s="59">
        <f>+Historicals!F182</f>
        <v>0.08</v>
      </c>
      <c r="G25" s="59">
        <f>+Historicals!G182</f>
        <v>-7.0000000000000007E-2</v>
      </c>
      <c r="H25" s="59">
        <f>+Historicals!H182</f>
        <v>0.25</v>
      </c>
      <c r="I25" s="59">
        <f>+Historicals!I182</f>
        <v>0.05</v>
      </c>
      <c r="J25" s="64">
        <v>6.4000000000000001E-2</v>
      </c>
      <c r="K25" s="64">
        <f t="shared" ref="K25:N26" si="45">+J25</f>
        <v>6.4000000000000001E-2</v>
      </c>
      <c r="L25" s="64">
        <f t="shared" si="45"/>
        <v>6.4000000000000001E-2</v>
      </c>
      <c r="M25" s="64">
        <f t="shared" si="45"/>
        <v>6.4000000000000001E-2</v>
      </c>
      <c r="N25" s="64">
        <f t="shared" si="45"/>
        <v>6.4000000000000001E-2</v>
      </c>
      <c r="O25" s="65" t="s">
        <v>194</v>
      </c>
      <c r="P25" s="65"/>
    </row>
    <row r="26" spans="1:16" x14ac:dyDescent="0.3">
      <c r="A26" s="58" t="s">
        <v>141</v>
      </c>
      <c r="B26" s="59" t="str">
        <f t="shared" ref="B26:H26" si="46">+IFERROR(B24-B25,"nm")</f>
        <v>nm</v>
      </c>
      <c r="C26" s="59">
        <f t="shared" si="46"/>
        <v>-6.7716905713614273E-3</v>
      </c>
      <c r="D26" s="59">
        <f t="shared" si="46"/>
        <v>1.4023013227229333E-3</v>
      </c>
      <c r="E26" s="59">
        <f t="shared" si="46"/>
        <v>2.6187525815778087E-3</v>
      </c>
      <c r="F26" s="59">
        <f t="shared" si="46"/>
        <v>-2.4415361510405215E-3</v>
      </c>
      <c r="G26" s="59">
        <f t="shared" si="46"/>
        <v>-1.2792434046789425E-3</v>
      </c>
      <c r="H26" s="59">
        <f t="shared" si="46"/>
        <v>-1.849072783792538E-3</v>
      </c>
      <c r="I26" s="59">
        <f>+IFERROR(I24-I25,"nm")</f>
        <v>1.5458605290268046E-4</v>
      </c>
      <c r="J26" s="64">
        <v>0</v>
      </c>
      <c r="K26" s="64">
        <f t="shared" si="45"/>
        <v>0</v>
      </c>
      <c r="L26" s="64">
        <f t="shared" si="45"/>
        <v>0</v>
      </c>
      <c r="M26" s="64">
        <f t="shared" si="45"/>
        <v>0</v>
      </c>
      <c r="N26" s="64">
        <f t="shared" si="45"/>
        <v>0</v>
      </c>
      <c r="O26" s="66"/>
      <c r="P26" s="66"/>
    </row>
    <row r="27" spans="1:16" x14ac:dyDescent="0.3">
      <c r="A27" s="60" t="s">
        <v>114</v>
      </c>
      <c r="B27" s="61">
        <f>+Historicals!B111</f>
        <v>4410</v>
      </c>
      <c r="C27" s="61">
        <f>+Historicals!C111</f>
        <v>4746</v>
      </c>
      <c r="D27" s="61">
        <f>+Historicals!D111</f>
        <v>4886</v>
      </c>
      <c r="E27" s="61">
        <f>+Historicals!E111</f>
        <v>4938</v>
      </c>
      <c r="F27" s="61">
        <f>+Historicals!F111</f>
        <v>5260</v>
      </c>
      <c r="G27" s="61">
        <f>+Historicals!G111</f>
        <v>4639</v>
      </c>
      <c r="H27" s="61">
        <f>+Historicals!H111</f>
        <v>5028</v>
      </c>
      <c r="I27" s="61">
        <f>+Historicals!I111</f>
        <v>5492</v>
      </c>
      <c r="J27" s="61">
        <f>+I27*(1+J28)</f>
        <v>5722.6639999999998</v>
      </c>
      <c r="K27" s="61">
        <f t="shared" ref="K27:N27" si="47">+J27*(1+K28)</f>
        <v>5963.0158879999999</v>
      </c>
      <c r="L27" s="61">
        <f t="shared" si="47"/>
        <v>6213.4625552960006</v>
      </c>
      <c r="M27" s="61">
        <f t="shared" si="47"/>
        <v>6474.4279826184329</v>
      </c>
      <c r="N27" s="61">
        <f t="shared" si="47"/>
        <v>6746.3539578884074</v>
      </c>
      <c r="O27" s="67"/>
      <c r="P27" s="67"/>
    </row>
    <row r="28" spans="1:16" x14ac:dyDescent="0.3">
      <c r="A28" s="58" t="s">
        <v>132</v>
      </c>
      <c r="B28" s="59" t="str">
        <f t="shared" ref="B28:I28" si="48">+IFERROR(B27/A27-1,"nm")</f>
        <v>nm</v>
      </c>
      <c r="C28" s="59">
        <f t="shared" si="48"/>
        <v>7.6190476190476142E-2</v>
      </c>
      <c r="D28" s="59">
        <f t="shared" si="48"/>
        <v>2.9498525073746285E-2</v>
      </c>
      <c r="E28" s="59">
        <f t="shared" si="48"/>
        <v>1.0642652476463343E-2</v>
      </c>
      <c r="F28" s="59">
        <f t="shared" si="48"/>
        <v>6.5208586472256025E-2</v>
      </c>
      <c r="G28" s="59">
        <f t="shared" si="48"/>
        <v>-0.11806083650190113</v>
      </c>
      <c r="H28" s="59">
        <f t="shared" si="48"/>
        <v>8.3854278939426541E-2</v>
      </c>
      <c r="I28" s="59">
        <f t="shared" si="48"/>
        <v>9.2283214001591007E-2</v>
      </c>
      <c r="J28" s="59">
        <f>+J29+J30</f>
        <v>4.2000000000000003E-2</v>
      </c>
      <c r="K28" s="59">
        <f t="shared" ref="K28:N28" si="49">+K29+K30</f>
        <v>4.2000000000000003E-2</v>
      </c>
      <c r="L28" s="59">
        <f t="shared" si="49"/>
        <v>4.2000000000000003E-2</v>
      </c>
      <c r="M28" s="59">
        <f t="shared" si="49"/>
        <v>4.2000000000000003E-2</v>
      </c>
      <c r="N28" s="59">
        <f t="shared" si="49"/>
        <v>4.2000000000000003E-2</v>
      </c>
      <c r="O28" s="66"/>
      <c r="P28" s="66"/>
    </row>
    <row r="29" spans="1:16" x14ac:dyDescent="0.3">
      <c r="A29" s="58" t="s">
        <v>140</v>
      </c>
      <c r="B29" s="59">
        <f>+Historicals!B183</f>
        <v>0.12</v>
      </c>
      <c r="C29" s="59">
        <f>+Historicals!C183</f>
        <v>0.08</v>
      </c>
      <c r="D29" s="59">
        <f>+Historicals!D183</f>
        <v>0.03</v>
      </c>
      <c r="E29" s="59">
        <f>+Historicals!E183</f>
        <v>0.01</v>
      </c>
      <c r="F29" s="59">
        <f>+Historicals!F183</f>
        <v>7.0000000000000007E-2</v>
      </c>
      <c r="G29" s="59">
        <f>+Historicals!G183</f>
        <v>-0.12</v>
      </c>
      <c r="H29" s="59">
        <f>+Historicals!H183</f>
        <v>0.08</v>
      </c>
      <c r="I29" s="59">
        <f>+Historicals!I183</f>
        <v>0.09</v>
      </c>
      <c r="J29" s="64">
        <v>4.2000000000000003E-2</v>
      </c>
      <c r="K29" s="64">
        <f t="shared" ref="K29:N30" si="50">+J29</f>
        <v>4.2000000000000003E-2</v>
      </c>
      <c r="L29" s="64">
        <f t="shared" si="50"/>
        <v>4.2000000000000003E-2</v>
      </c>
      <c r="M29" s="64">
        <f t="shared" si="50"/>
        <v>4.2000000000000003E-2</v>
      </c>
      <c r="N29" s="64">
        <f t="shared" si="50"/>
        <v>4.2000000000000003E-2</v>
      </c>
      <c r="O29" s="65" t="s">
        <v>194</v>
      </c>
      <c r="P29" s="68"/>
    </row>
    <row r="30" spans="1:16" x14ac:dyDescent="0.3">
      <c r="A30" s="58" t="s">
        <v>141</v>
      </c>
      <c r="B30" s="59" t="str">
        <f t="shared" ref="B30:H30" si="51">+IFERROR(B28-B29,"nm")</f>
        <v>nm</v>
      </c>
      <c r="C30" s="59">
        <f t="shared" si="51"/>
        <v>-3.8095238095238598E-3</v>
      </c>
      <c r="D30" s="59">
        <f t="shared" si="51"/>
        <v>-5.0147492625371437E-4</v>
      </c>
      <c r="E30" s="59">
        <f t="shared" si="51"/>
        <v>6.4265247646334324E-4</v>
      </c>
      <c r="F30" s="59">
        <f t="shared" si="51"/>
        <v>-4.7914135277439818E-3</v>
      </c>
      <c r="G30" s="59">
        <f t="shared" si="51"/>
        <v>1.9391634980988615E-3</v>
      </c>
      <c r="H30" s="59">
        <f t="shared" si="51"/>
        <v>3.8542789394265392E-3</v>
      </c>
      <c r="I30" s="59">
        <f>+IFERROR(I28-I29,"nm")</f>
        <v>2.2832140015910107E-3</v>
      </c>
      <c r="J30" s="64">
        <v>0</v>
      </c>
      <c r="K30" s="64">
        <f t="shared" si="50"/>
        <v>0</v>
      </c>
      <c r="L30" s="64">
        <f t="shared" si="50"/>
        <v>0</v>
      </c>
      <c r="M30" s="64">
        <f t="shared" si="50"/>
        <v>0</v>
      </c>
      <c r="N30" s="64">
        <f t="shared" si="50"/>
        <v>0</v>
      </c>
      <c r="O30" s="68"/>
      <c r="P30" s="68"/>
    </row>
    <row r="31" spans="1:16" x14ac:dyDescent="0.3">
      <c r="A31" s="60" t="s">
        <v>115</v>
      </c>
      <c r="B31" s="61">
        <f>+Historicals!B112</f>
        <v>824</v>
      </c>
      <c r="C31" s="61">
        <f>+Historicals!C112</f>
        <v>719</v>
      </c>
      <c r="D31" s="61">
        <f>+Historicals!D112</f>
        <v>646</v>
      </c>
      <c r="E31" s="61">
        <f>+Historicals!E112</f>
        <v>595</v>
      </c>
      <c r="F31" s="61">
        <f>+Historicals!F112</f>
        <v>597</v>
      </c>
      <c r="G31" s="61">
        <f>+Historicals!G112</f>
        <v>516</v>
      </c>
      <c r="H31" s="61">
        <f>+Historicals!H112</f>
        <v>507</v>
      </c>
      <c r="I31" s="61">
        <f>+Historicals!I112</f>
        <v>633</v>
      </c>
      <c r="J31" s="61">
        <f>+I31*(1+J32)</f>
        <v>610.21199999999999</v>
      </c>
      <c r="K31" s="61">
        <f t="shared" ref="K31:N31" si="52">+J31*(1+K32)</f>
        <v>588.24436800000001</v>
      </c>
      <c r="L31" s="61">
        <f t="shared" si="52"/>
        <v>567.06757075199994</v>
      </c>
      <c r="M31" s="61">
        <f t="shared" si="52"/>
        <v>546.65313820492793</v>
      </c>
      <c r="N31" s="61">
        <f t="shared" si="52"/>
        <v>526.97362522955052</v>
      </c>
      <c r="O31" s="67"/>
      <c r="P31" s="67"/>
    </row>
    <row r="32" spans="1:16" x14ac:dyDescent="0.3">
      <c r="A32" s="58" t="s">
        <v>132</v>
      </c>
      <c r="B32" s="59" t="str">
        <f t="shared" ref="B32:I32" si="53">+IFERROR(B31/A31-1,"nm")</f>
        <v>nm</v>
      </c>
      <c r="C32" s="59">
        <f t="shared" si="53"/>
        <v>-0.12742718446601942</v>
      </c>
      <c r="D32" s="59">
        <f t="shared" si="53"/>
        <v>-0.10152990264255912</v>
      </c>
      <c r="E32" s="59">
        <f t="shared" si="53"/>
        <v>-7.8947368421052655E-2</v>
      </c>
      <c r="F32" s="59">
        <f t="shared" si="53"/>
        <v>3.3613445378151141E-3</v>
      </c>
      <c r="G32" s="59">
        <f t="shared" si="53"/>
        <v>-0.13567839195979903</v>
      </c>
      <c r="H32" s="59">
        <f t="shared" si="53"/>
        <v>-1.744186046511631E-2</v>
      </c>
      <c r="I32" s="59">
        <f t="shared" si="53"/>
        <v>0.24852071005917153</v>
      </c>
      <c r="J32" s="59">
        <f>+J33+J34</f>
        <v>-3.5999999999999997E-2</v>
      </c>
      <c r="K32" s="59">
        <f t="shared" ref="K32:N32" si="54">+K33+K34</f>
        <v>-3.5999999999999997E-2</v>
      </c>
      <c r="L32" s="59">
        <f t="shared" si="54"/>
        <v>-3.5999999999999997E-2</v>
      </c>
      <c r="M32" s="59">
        <f t="shared" si="54"/>
        <v>-3.5999999999999997E-2</v>
      </c>
      <c r="N32" s="59">
        <f t="shared" si="54"/>
        <v>-3.5999999999999997E-2</v>
      </c>
      <c r="O32" s="66"/>
      <c r="P32" s="66"/>
    </row>
    <row r="33" spans="1:16" x14ac:dyDescent="0.3">
      <c r="A33" s="58" t="s">
        <v>140</v>
      </c>
      <c r="B33" s="59">
        <f>+Historicals!B184</f>
        <v>-0.05</v>
      </c>
      <c r="C33" s="59">
        <f>+Historicals!C184</f>
        <v>-0.13</v>
      </c>
      <c r="D33" s="59">
        <f>+Historicals!D184</f>
        <v>-0.1</v>
      </c>
      <c r="E33" s="59">
        <f>+Historicals!E184</f>
        <v>-0.08</v>
      </c>
      <c r="F33" s="59">
        <f>+Historicals!F184</f>
        <v>0</v>
      </c>
      <c r="G33" s="59">
        <f>+Historicals!G184</f>
        <v>-0.14000000000000001</v>
      </c>
      <c r="H33" s="59">
        <f>+Historicals!H184</f>
        <v>-0.02</v>
      </c>
      <c r="I33" s="59">
        <f>+Historicals!I184</f>
        <v>0.25</v>
      </c>
      <c r="J33" s="64">
        <v>-3.5999999999999997E-2</v>
      </c>
      <c r="K33" s="64">
        <f t="shared" ref="K33:N34" si="55">+J33</f>
        <v>-3.5999999999999997E-2</v>
      </c>
      <c r="L33" s="64">
        <f t="shared" si="55"/>
        <v>-3.5999999999999997E-2</v>
      </c>
      <c r="M33" s="64">
        <f t="shared" si="55"/>
        <v>-3.5999999999999997E-2</v>
      </c>
      <c r="N33" s="64">
        <f t="shared" si="55"/>
        <v>-3.5999999999999997E-2</v>
      </c>
      <c r="O33" s="65" t="s">
        <v>200</v>
      </c>
      <c r="P33" s="68"/>
    </row>
    <row r="34" spans="1:16" x14ac:dyDescent="0.3">
      <c r="A34" s="58" t="s">
        <v>141</v>
      </c>
      <c r="B34" s="59" t="str">
        <f t="shared" ref="B34:H34" si="56">+IFERROR(B32-B33,"nm")</f>
        <v>nm</v>
      </c>
      <c r="C34" s="59">
        <f t="shared" si="56"/>
        <v>2.572815533980588E-3</v>
      </c>
      <c r="D34" s="59">
        <f t="shared" si="56"/>
        <v>-1.5299026425591167E-3</v>
      </c>
      <c r="E34" s="59">
        <f t="shared" si="56"/>
        <v>1.0526315789473467E-3</v>
      </c>
      <c r="F34" s="59">
        <f t="shared" si="56"/>
        <v>3.3613445378151141E-3</v>
      </c>
      <c r="G34" s="59">
        <f t="shared" si="56"/>
        <v>4.321608040200986E-3</v>
      </c>
      <c r="H34" s="59">
        <f t="shared" si="56"/>
        <v>2.5581395348836904E-3</v>
      </c>
      <c r="I34" s="59">
        <f>+IFERROR(I32-I33,"nm")</f>
        <v>-1.4792899408284654E-3</v>
      </c>
      <c r="J34" s="64">
        <v>0</v>
      </c>
      <c r="K34" s="64">
        <f t="shared" si="55"/>
        <v>0</v>
      </c>
      <c r="L34" s="64">
        <f t="shared" si="55"/>
        <v>0</v>
      </c>
      <c r="M34" s="64">
        <f t="shared" si="55"/>
        <v>0</v>
      </c>
      <c r="N34" s="64">
        <f t="shared" si="55"/>
        <v>0</v>
      </c>
      <c r="O34" s="68"/>
      <c r="P34" s="68"/>
    </row>
    <row r="35" spans="1:16" x14ac:dyDescent="0.3">
      <c r="A35" s="55" t="s">
        <v>133</v>
      </c>
      <c r="B35" s="62">
        <f t="shared" ref="B35:H35" si="57">+B42+B38</f>
        <v>3766</v>
      </c>
      <c r="C35" s="62">
        <f t="shared" si="57"/>
        <v>3896</v>
      </c>
      <c r="D35" s="62">
        <f t="shared" si="57"/>
        <v>4015</v>
      </c>
      <c r="E35" s="62">
        <f t="shared" si="57"/>
        <v>3760</v>
      </c>
      <c r="F35" s="62">
        <f t="shared" si="57"/>
        <v>4074</v>
      </c>
      <c r="G35" s="62">
        <f t="shared" si="57"/>
        <v>3047</v>
      </c>
      <c r="H35" s="62">
        <f t="shared" si="57"/>
        <v>5219</v>
      </c>
      <c r="I35" s="62">
        <f>+I42+I38</f>
        <v>5238</v>
      </c>
      <c r="J35" s="62">
        <f>+J21*J37</f>
        <v>5520.6824706587477</v>
      </c>
      <c r="K35" s="62">
        <f t="shared" ref="K35:N35" si="58">+K21*K37</f>
        <v>5820.658687640821</v>
      </c>
      <c r="L35" s="62">
        <f t="shared" si="58"/>
        <v>6138.9512082317569</v>
      </c>
      <c r="M35" s="62">
        <f t="shared" si="58"/>
        <v>6476.6463214556097</v>
      </c>
      <c r="N35" s="62">
        <f t="shared" si="58"/>
        <v>6834.8979892600264</v>
      </c>
      <c r="O35" s="67"/>
      <c r="P35" s="67"/>
    </row>
    <row r="36" spans="1:16" x14ac:dyDescent="0.3">
      <c r="A36" s="56" t="s">
        <v>132</v>
      </c>
      <c r="B36" s="59" t="str">
        <f t="shared" ref="B36:N36" si="59">+IFERROR(B35/A35-1,"nm")</f>
        <v>nm</v>
      </c>
      <c r="C36" s="59">
        <f t="shared" si="59"/>
        <v>3.4519383961763239E-2</v>
      </c>
      <c r="D36" s="59">
        <f t="shared" si="59"/>
        <v>3.0544147843942548E-2</v>
      </c>
      <c r="E36" s="59">
        <f t="shared" si="59"/>
        <v>-6.3511830635118338E-2</v>
      </c>
      <c r="F36" s="59">
        <f t="shared" si="59"/>
        <v>8.3510638297872308E-2</v>
      </c>
      <c r="G36" s="59">
        <f t="shared" si="59"/>
        <v>-0.25208640157093765</v>
      </c>
      <c r="H36" s="59">
        <f t="shared" si="59"/>
        <v>0.71283229405973092</v>
      </c>
      <c r="I36" s="59">
        <f t="shared" si="59"/>
        <v>3.6405441655489312E-3</v>
      </c>
      <c r="J36" s="59">
        <f t="shared" si="59"/>
        <v>5.3967634719119362E-2</v>
      </c>
      <c r="K36" s="59">
        <f t="shared" si="59"/>
        <v>5.4336799585265494E-2</v>
      </c>
      <c r="L36" s="59">
        <f t="shared" si="59"/>
        <v>5.468324766521282E-2</v>
      </c>
      <c r="M36" s="59">
        <f t="shared" si="59"/>
        <v>5.5008600291697185E-2</v>
      </c>
      <c r="N36" s="59">
        <f t="shared" si="59"/>
        <v>5.5314378773102524E-2</v>
      </c>
      <c r="O36" s="66"/>
      <c r="P36" s="66"/>
    </row>
    <row r="37" spans="1:16" x14ac:dyDescent="0.3">
      <c r="A37" s="56" t="s">
        <v>134</v>
      </c>
      <c r="B37" s="59">
        <f t="shared" ref="B37:I37" si="60">+IFERROR(B35/B$21,"nm")</f>
        <v>0.27409024745269289</v>
      </c>
      <c r="C37" s="59">
        <f t="shared" si="60"/>
        <v>0.26388512598211866</v>
      </c>
      <c r="D37" s="59">
        <f t="shared" si="60"/>
        <v>0.26386698212407994</v>
      </c>
      <c r="E37" s="59">
        <f t="shared" si="60"/>
        <v>0.25311342982160889</v>
      </c>
      <c r="F37" s="59">
        <f t="shared" si="60"/>
        <v>0.25619418941013711</v>
      </c>
      <c r="G37" s="59">
        <f t="shared" si="60"/>
        <v>0.2103700635183651</v>
      </c>
      <c r="H37" s="59">
        <f t="shared" si="60"/>
        <v>0.30380115256999823</v>
      </c>
      <c r="I37" s="59">
        <f t="shared" si="60"/>
        <v>0.28540293140086087</v>
      </c>
      <c r="J37" s="64">
        <f>+I37</f>
        <v>0.28540293140086087</v>
      </c>
      <c r="K37" s="64">
        <f t="shared" ref="K37:N37" si="61">+J37</f>
        <v>0.28540293140086087</v>
      </c>
      <c r="L37" s="64">
        <f t="shared" si="61"/>
        <v>0.28540293140086087</v>
      </c>
      <c r="M37" s="64">
        <f t="shared" si="61"/>
        <v>0.28540293140086087</v>
      </c>
      <c r="N37" s="64">
        <f t="shared" si="61"/>
        <v>0.28540293140086087</v>
      </c>
      <c r="O37" s="68"/>
      <c r="P37" s="68"/>
    </row>
    <row r="38" spans="1:16" x14ac:dyDescent="0.3">
      <c r="A38" s="55" t="s">
        <v>135</v>
      </c>
      <c r="B38" s="55">
        <f>+Historicals!B169</f>
        <v>121</v>
      </c>
      <c r="C38" s="55">
        <f>+Historicals!C169</f>
        <v>133</v>
      </c>
      <c r="D38" s="55">
        <f>+Historicals!D169</f>
        <v>140</v>
      </c>
      <c r="E38" s="55">
        <f>+Historicals!E169</f>
        <v>160</v>
      </c>
      <c r="F38" s="55">
        <f>+Historicals!F169</f>
        <v>149</v>
      </c>
      <c r="G38" s="55">
        <f>+Historicals!G169</f>
        <v>148</v>
      </c>
      <c r="H38" s="55">
        <f>+Historicals!H169</f>
        <v>130</v>
      </c>
      <c r="I38" s="55">
        <f>+Historicals!I169</f>
        <v>124</v>
      </c>
      <c r="J38" s="62">
        <f>+J41*J48</f>
        <v>130.69198670517085</v>
      </c>
      <c r="K38" s="62">
        <f>+K41*K48</f>
        <v>137.79337099416989</v>
      </c>
      <c r="L38" s="62">
        <f>+L41*L48</f>
        <v>145.32836002686867</v>
      </c>
      <c r="M38" s="62">
        <f>+M41*M48</f>
        <v>153.32266969463456</v>
      </c>
      <c r="N38" s="62">
        <f>+N41*N48</f>
        <v>161.80361792062683</v>
      </c>
      <c r="O38" s="68"/>
      <c r="P38" s="68"/>
    </row>
    <row r="39" spans="1:16" x14ac:dyDescent="0.3">
      <c r="A39" s="56" t="s">
        <v>132</v>
      </c>
      <c r="B39" s="59" t="str">
        <f t="shared" ref="B39:N39" si="62">+IFERROR(B38/A38-1,"nm")</f>
        <v>nm</v>
      </c>
      <c r="C39" s="59">
        <f t="shared" si="62"/>
        <v>9.9173553719008156E-2</v>
      </c>
      <c r="D39" s="59">
        <f t="shared" si="62"/>
        <v>5.2631578947368363E-2</v>
      </c>
      <c r="E39" s="59">
        <f t="shared" si="62"/>
        <v>0.14285714285714279</v>
      </c>
      <c r="F39" s="59">
        <f t="shared" si="62"/>
        <v>-6.8749999999999978E-2</v>
      </c>
      <c r="G39" s="59">
        <f t="shared" si="62"/>
        <v>-6.7114093959731447E-3</v>
      </c>
      <c r="H39" s="59">
        <f t="shared" si="62"/>
        <v>-0.1216216216216216</v>
      </c>
      <c r="I39" s="59">
        <f t="shared" si="62"/>
        <v>-4.6153846153846101E-2</v>
      </c>
      <c r="J39" s="59">
        <f t="shared" si="62"/>
        <v>5.3967634719119806E-2</v>
      </c>
      <c r="K39" s="59">
        <f t="shared" si="62"/>
        <v>5.4336799585265494E-2</v>
      </c>
      <c r="L39" s="59">
        <f t="shared" si="62"/>
        <v>5.4683247665213042E-2</v>
      </c>
      <c r="M39" s="59">
        <f t="shared" si="62"/>
        <v>5.5008600291697185E-2</v>
      </c>
      <c r="N39" s="59">
        <f t="shared" si="62"/>
        <v>5.5314378773102302E-2</v>
      </c>
      <c r="O39" s="69"/>
      <c r="P39" s="69"/>
    </row>
    <row r="40" spans="1:16" x14ac:dyDescent="0.3">
      <c r="A40" s="56" t="s">
        <v>136</v>
      </c>
      <c r="B40" s="59">
        <f t="shared" ref="B40:N40" si="63">+IFERROR(B38/B$21,"nm")</f>
        <v>8.8064046579330417E-3</v>
      </c>
      <c r="C40" s="59">
        <f t="shared" si="63"/>
        <v>9.0083988079111346E-3</v>
      </c>
      <c r="D40" s="59">
        <f t="shared" si="63"/>
        <v>9.2008412197686646E-3</v>
      </c>
      <c r="E40" s="59">
        <f t="shared" si="63"/>
        <v>1.0770784247728038E-2</v>
      </c>
      <c r="F40" s="59">
        <f t="shared" si="63"/>
        <v>9.3698905798012821E-3</v>
      </c>
      <c r="G40" s="59">
        <f t="shared" si="63"/>
        <v>1.0218171775752554E-2</v>
      </c>
      <c r="H40" s="59">
        <f t="shared" si="63"/>
        <v>7.5673787764130628E-3</v>
      </c>
      <c r="I40" s="59">
        <f t="shared" si="63"/>
        <v>6.7563886013185855E-3</v>
      </c>
      <c r="J40" s="59">
        <f t="shared" si="63"/>
        <v>6.7563886013185873E-3</v>
      </c>
      <c r="K40" s="59">
        <f t="shared" si="63"/>
        <v>6.7563886013185855E-3</v>
      </c>
      <c r="L40" s="59">
        <f t="shared" si="63"/>
        <v>6.7563886013185873E-3</v>
      </c>
      <c r="M40" s="59">
        <f t="shared" si="63"/>
        <v>6.7563886013185864E-3</v>
      </c>
      <c r="N40" s="59">
        <f t="shared" si="63"/>
        <v>6.7563886013185864E-3</v>
      </c>
      <c r="O40" s="66"/>
      <c r="P40" s="66"/>
    </row>
    <row r="41" spans="1:16" x14ac:dyDescent="0.3">
      <c r="A41" s="56" t="s">
        <v>144</v>
      </c>
      <c r="B41" s="59">
        <f>+IFERROR(B38/B$48,"nm")</f>
        <v>0.19145569620253164</v>
      </c>
      <c r="C41" s="59">
        <f t="shared" ref="C41:I41" si="64">+IFERROR(C38/C$48,"nm")</f>
        <v>0.17924528301886791</v>
      </c>
      <c r="D41" s="59">
        <f t="shared" si="64"/>
        <v>0.17094017094017094</v>
      </c>
      <c r="E41" s="59">
        <f t="shared" si="64"/>
        <v>0.18867924528301888</v>
      </c>
      <c r="F41" s="59">
        <f t="shared" si="64"/>
        <v>0.18304668304668303</v>
      </c>
      <c r="G41" s="59">
        <f t="shared" si="64"/>
        <v>0.22945736434108527</v>
      </c>
      <c r="H41" s="59">
        <f t="shared" si="64"/>
        <v>0.21069692058346839</v>
      </c>
      <c r="I41" s="59">
        <f t="shared" si="64"/>
        <v>0.19405320813771518</v>
      </c>
      <c r="J41" s="64">
        <f>+I41</f>
        <v>0.19405320813771518</v>
      </c>
      <c r="K41" s="64">
        <f t="shared" ref="K41:N41" si="65">+J41</f>
        <v>0.19405320813771518</v>
      </c>
      <c r="L41" s="64">
        <f t="shared" si="65"/>
        <v>0.19405320813771518</v>
      </c>
      <c r="M41" s="64">
        <f t="shared" si="65"/>
        <v>0.19405320813771518</v>
      </c>
      <c r="N41" s="64">
        <f t="shared" si="65"/>
        <v>0.19405320813771518</v>
      </c>
      <c r="O41" s="66"/>
      <c r="P41" s="66"/>
    </row>
    <row r="42" spans="1:16" x14ac:dyDescent="0.3">
      <c r="A42" s="55" t="s">
        <v>137</v>
      </c>
      <c r="B42" s="55">
        <f>+Historicals!B136</f>
        <v>3645</v>
      </c>
      <c r="C42" s="55">
        <f>+Historicals!C136</f>
        <v>3763</v>
      </c>
      <c r="D42" s="55">
        <f>+Historicals!D136</f>
        <v>3875</v>
      </c>
      <c r="E42" s="55">
        <f>+Historicals!E136</f>
        <v>3600</v>
      </c>
      <c r="F42" s="55">
        <f>+Historicals!F136</f>
        <v>3925</v>
      </c>
      <c r="G42" s="55">
        <f>+Historicals!G136</f>
        <v>2899</v>
      </c>
      <c r="H42" s="55">
        <f>+Historicals!H136</f>
        <v>5089</v>
      </c>
      <c r="I42" s="55">
        <f>+Historicals!I136</f>
        <v>5114</v>
      </c>
      <c r="J42" s="55">
        <f>+J35-J38</f>
        <v>5389.9904839535766</v>
      </c>
      <c r="K42" s="55">
        <f t="shared" ref="K42:N42" si="66">+K35-K38</f>
        <v>5682.8653166466511</v>
      </c>
      <c r="L42" s="55">
        <f t="shared" si="66"/>
        <v>5993.6228482048882</v>
      </c>
      <c r="M42" s="55">
        <f t="shared" si="66"/>
        <v>6323.3236517609748</v>
      </c>
      <c r="N42" s="55">
        <f t="shared" si="66"/>
        <v>6673.0943713393999</v>
      </c>
      <c r="O42" s="68"/>
      <c r="P42" s="68"/>
    </row>
    <row r="43" spans="1:16" x14ac:dyDescent="0.3">
      <c r="A43" s="56" t="s">
        <v>132</v>
      </c>
      <c r="B43" s="59" t="str">
        <f t="shared" ref="B43:N43" si="67">+IFERROR(B42/A42-1,"nm")</f>
        <v>nm</v>
      </c>
      <c r="C43" s="59">
        <f t="shared" si="67"/>
        <v>3.2373113854595292E-2</v>
      </c>
      <c r="D43" s="59">
        <f t="shared" si="67"/>
        <v>2.9763486579856391E-2</v>
      </c>
      <c r="E43" s="59">
        <f t="shared" si="67"/>
        <v>-7.096774193548383E-2</v>
      </c>
      <c r="F43" s="59">
        <f t="shared" si="67"/>
        <v>9.0277777777777679E-2</v>
      </c>
      <c r="G43" s="59">
        <f t="shared" si="67"/>
        <v>-0.26140127388535028</v>
      </c>
      <c r="H43" s="59">
        <f t="shared" si="67"/>
        <v>0.75543290789927564</v>
      </c>
      <c r="I43" s="59">
        <f t="shared" si="67"/>
        <v>4.9125564943997002E-3</v>
      </c>
      <c r="J43" s="59">
        <f t="shared" si="67"/>
        <v>5.3967634719119362E-2</v>
      </c>
      <c r="K43" s="59">
        <f t="shared" si="67"/>
        <v>5.4336799585265716E-2</v>
      </c>
      <c r="L43" s="59">
        <f t="shared" si="67"/>
        <v>5.468324766521282E-2</v>
      </c>
      <c r="M43" s="59">
        <f t="shared" si="67"/>
        <v>5.5008600291697185E-2</v>
      </c>
      <c r="N43" s="59">
        <f t="shared" si="67"/>
        <v>5.5314378773102524E-2</v>
      </c>
      <c r="O43" s="69"/>
      <c r="P43" s="69"/>
    </row>
    <row r="44" spans="1:16" x14ac:dyDescent="0.3">
      <c r="A44" s="56" t="s">
        <v>134</v>
      </c>
      <c r="B44" s="59">
        <f t="shared" ref="B44:N44" si="68">+IFERROR(B42/B$21,"nm")</f>
        <v>0.26528384279475981</v>
      </c>
      <c r="C44" s="59">
        <f t="shared" si="68"/>
        <v>0.25487672717420751</v>
      </c>
      <c r="D44" s="59">
        <f t="shared" si="68"/>
        <v>0.25466614090431128</v>
      </c>
      <c r="E44" s="59">
        <f t="shared" si="68"/>
        <v>0.24234264557388085</v>
      </c>
      <c r="F44" s="59">
        <f t="shared" si="68"/>
        <v>0.2468242988303358</v>
      </c>
      <c r="G44" s="59">
        <f t="shared" si="68"/>
        <v>0.20015189174261253</v>
      </c>
      <c r="H44" s="59">
        <f t="shared" si="68"/>
        <v>0.29623377379358518</v>
      </c>
      <c r="I44" s="59">
        <f t="shared" si="68"/>
        <v>0.27864654279954232</v>
      </c>
      <c r="J44" s="59">
        <f t="shared" si="68"/>
        <v>0.27864654279954226</v>
      </c>
      <c r="K44" s="59">
        <f t="shared" si="68"/>
        <v>0.27864654279954226</v>
      </c>
      <c r="L44" s="59">
        <f t="shared" si="68"/>
        <v>0.27864654279954226</v>
      </c>
      <c r="M44" s="59">
        <f t="shared" si="68"/>
        <v>0.27864654279954226</v>
      </c>
      <c r="N44" s="59">
        <f t="shared" si="68"/>
        <v>0.27864654279954232</v>
      </c>
      <c r="O44" s="66"/>
      <c r="P44" s="66"/>
    </row>
    <row r="45" spans="1:16" x14ac:dyDescent="0.3">
      <c r="A45" s="55" t="s">
        <v>138</v>
      </c>
      <c r="B45" s="55">
        <f>+Historicals!B158</f>
        <v>208</v>
      </c>
      <c r="C45" s="55">
        <f>+Historicals!C158</f>
        <v>242</v>
      </c>
      <c r="D45" s="55">
        <f>+Historicals!D158</f>
        <v>223</v>
      </c>
      <c r="E45" s="55">
        <f>+Historicals!E158</f>
        <v>196</v>
      </c>
      <c r="F45" s="55">
        <f>+Historicals!F158</f>
        <v>117</v>
      </c>
      <c r="G45" s="55">
        <f>+Historicals!G158</f>
        <v>110</v>
      </c>
      <c r="H45" s="55">
        <f>+Historicals!H158</f>
        <v>98</v>
      </c>
      <c r="I45" s="55">
        <f>+Historicals!I158</f>
        <v>146</v>
      </c>
      <c r="J45" s="62">
        <f>+J21*J47</f>
        <v>153.87927466899146</v>
      </c>
      <c r="K45" s="62">
        <f t="shared" ref="K45:N45" si="69">+K21*K47</f>
        <v>162.24058197700651</v>
      </c>
      <c r="L45" s="62">
        <f t="shared" si="69"/>
        <v>171.11242390260341</v>
      </c>
      <c r="M45" s="62">
        <f t="shared" si="69"/>
        <v>180.5250788340052</v>
      </c>
      <c r="N45" s="62">
        <f t="shared" si="69"/>
        <v>190.51071142267352</v>
      </c>
      <c r="O45" s="66"/>
      <c r="P45" s="66"/>
    </row>
    <row r="46" spans="1:16" x14ac:dyDescent="0.3">
      <c r="A46" s="56" t="s">
        <v>132</v>
      </c>
      <c r="B46" s="59" t="str">
        <f t="shared" ref="B46:N46" si="70">+IFERROR(B45/A45-1,"nm")</f>
        <v>nm</v>
      </c>
      <c r="C46" s="59">
        <f t="shared" si="70"/>
        <v>0.16346153846153855</v>
      </c>
      <c r="D46" s="59">
        <f t="shared" si="70"/>
        <v>-7.8512396694214837E-2</v>
      </c>
      <c r="E46" s="59">
        <f t="shared" si="70"/>
        <v>-0.12107623318385652</v>
      </c>
      <c r="F46" s="59">
        <f t="shared" si="70"/>
        <v>-0.40306122448979587</v>
      </c>
      <c r="G46" s="59">
        <f t="shared" si="70"/>
        <v>-5.9829059829059839E-2</v>
      </c>
      <c r="H46" s="59">
        <f t="shared" si="70"/>
        <v>-0.10909090909090913</v>
      </c>
      <c r="I46" s="59">
        <f t="shared" si="70"/>
        <v>0.48979591836734704</v>
      </c>
      <c r="J46" s="59">
        <f t="shared" si="70"/>
        <v>5.3967634719119584E-2</v>
      </c>
      <c r="K46" s="59">
        <f t="shared" si="70"/>
        <v>5.4336799585265716E-2</v>
      </c>
      <c r="L46" s="59">
        <f t="shared" si="70"/>
        <v>5.468324766521282E-2</v>
      </c>
      <c r="M46" s="59">
        <f t="shared" si="70"/>
        <v>5.5008600291697407E-2</v>
      </c>
      <c r="N46" s="59">
        <f t="shared" si="70"/>
        <v>5.5314378773102302E-2</v>
      </c>
      <c r="O46" s="68"/>
      <c r="P46" s="68"/>
    </row>
    <row r="47" spans="1:16" x14ac:dyDescent="0.3">
      <c r="A47" s="56" t="s">
        <v>136</v>
      </c>
      <c r="B47" s="59">
        <f t="shared" ref="B47:I47" si="71">+IFERROR(B45/B$21,"nm")</f>
        <v>1.5138282387190683E-2</v>
      </c>
      <c r="C47" s="59">
        <f t="shared" si="71"/>
        <v>1.6391221891086428E-2</v>
      </c>
      <c r="D47" s="59">
        <f t="shared" si="71"/>
        <v>1.4655625657202945E-2</v>
      </c>
      <c r="E47" s="59">
        <f t="shared" si="71"/>
        <v>1.3194210703466847E-2</v>
      </c>
      <c r="F47" s="59">
        <f t="shared" si="71"/>
        <v>7.3575650861526856E-3</v>
      </c>
      <c r="G47" s="59">
        <f t="shared" si="71"/>
        <v>7.5945871306268989E-3</v>
      </c>
      <c r="H47" s="59">
        <f t="shared" si="71"/>
        <v>5.7046393852960009E-3</v>
      </c>
      <c r="I47" s="59">
        <f t="shared" si="71"/>
        <v>7.9551027080041418E-3</v>
      </c>
      <c r="J47" s="64">
        <f>+I47</f>
        <v>7.9551027080041418E-3</v>
      </c>
      <c r="K47" s="64">
        <f t="shared" ref="K47:N47" si="72">+J47</f>
        <v>7.9551027080041418E-3</v>
      </c>
      <c r="L47" s="64">
        <f t="shared" si="72"/>
        <v>7.9551027080041418E-3</v>
      </c>
      <c r="M47" s="64">
        <f t="shared" si="72"/>
        <v>7.9551027080041418E-3</v>
      </c>
      <c r="N47" s="64">
        <f t="shared" si="72"/>
        <v>7.9551027080041418E-3</v>
      </c>
      <c r="O47" s="65"/>
      <c r="P47" s="65"/>
    </row>
    <row r="48" spans="1:16" x14ac:dyDescent="0.3">
      <c r="A48" s="55" t="s">
        <v>143</v>
      </c>
      <c r="B48" s="62">
        <f>+Historicals!B147</f>
        <v>632</v>
      </c>
      <c r="C48" s="62">
        <f>+Historicals!C147</f>
        <v>742</v>
      </c>
      <c r="D48" s="62">
        <f>+Historicals!D147</f>
        <v>819</v>
      </c>
      <c r="E48" s="62">
        <f>+Historicals!E147</f>
        <v>848</v>
      </c>
      <c r="F48" s="62">
        <f>+Historicals!F147</f>
        <v>814</v>
      </c>
      <c r="G48" s="62">
        <f>+Historicals!G147</f>
        <v>645</v>
      </c>
      <c r="H48" s="62">
        <f>+Historicals!H147</f>
        <v>617</v>
      </c>
      <c r="I48" s="9">
        <f>+Historicals!I147</f>
        <v>639</v>
      </c>
      <c r="J48" s="62">
        <f>+J21*J50</f>
        <v>673.48531858551746</v>
      </c>
      <c r="K48" s="62">
        <f>+K21*K50</f>
        <v>710.0803553651175</v>
      </c>
      <c r="L48" s="62">
        <f>+L21*L50</f>
        <v>748.90985529975057</v>
      </c>
      <c r="M48" s="62">
        <f>+M21*M50</f>
        <v>790.1063381844474</v>
      </c>
      <c r="N48" s="62">
        <f>+N21*N50</f>
        <v>833.81057944581084</v>
      </c>
      <c r="O48" s="65"/>
      <c r="P48" s="65"/>
    </row>
    <row r="49" spans="1:16" x14ac:dyDescent="0.3">
      <c r="A49" s="56" t="s">
        <v>132</v>
      </c>
      <c r="B49" s="63" t="str">
        <f t="shared" ref="B49:H49" si="73">+IFERROR(B48/A48-1,"nm")</f>
        <v>nm</v>
      </c>
      <c r="C49" s="63">
        <f t="shared" si="73"/>
        <v>0.17405063291139244</v>
      </c>
      <c r="D49" s="63">
        <f t="shared" si="73"/>
        <v>0.10377358490566047</v>
      </c>
      <c r="E49" s="63">
        <f t="shared" si="73"/>
        <v>3.5409035409035505E-2</v>
      </c>
      <c r="F49" s="63">
        <f t="shared" si="73"/>
        <v>-4.0094339622641528E-2</v>
      </c>
      <c r="G49" s="63">
        <f t="shared" si="73"/>
        <v>-0.20761670761670759</v>
      </c>
      <c r="H49" s="63">
        <f t="shared" si="73"/>
        <v>-4.3410852713178349E-2</v>
      </c>
      <c r="I49" s="63">
        <f>+IFERROR(I48/H48-1,"nm")</f>
        <v>3.5656401944894611E-2</v>
      </c>
      <c r="J49" s="59">
        <f>+J50+J51</f>
        <v>3.4817196098730456E-2</v>
      </c>
      <c r="K49" s="59">
        <f t="shared" ref="K49:N49" si="74">+K50+K51</f>
        <v>3.4817196098730456E-2</v>
      </c>
      <c r="L49" s="59">
        <f t="shared" si="74"/>
        <v>3.4817196098730456E-2</v>
      </c>
      <c r="M49" s="59">
        <f t="shared" si="74"/>
        <v>3.4817196098730456E-2</v>
      </c>
      <c r="N49" s="59">
        <f t="shared" si="74"/>
        <v>3.4817196098730456E-2</v>
      </c>
      <c r="O49" s="65"/>
      <c r="P49" s="65"/>
    </row>
    <row r="50" spans="1:16" x14ac:dyDescent="0.3">
      <c r="A50" s="56" t="s">
        <v>136</v>
      </c>
      <c r="B50" s="63">
        <f t="shared" ref="B50:H50" si="75">+IFERROR(B48/B$21,"nm")</f>
        <v>4.599708879184862E-2</v>
      </c>
      <c r="C50" s="63">
        <f t="shared" si="75"/>
        <v>5.0257382823083174E-2</v>
      </c>
      <c r="D50" s="63">
        <f t="shared" si="75"/>
        <v>5.3824921135646686E-2</v>
      </c>
      <c r="E50" s="63">
        <f t="shared" si="75"/>
        <v>5.7085156512958597E-2</v>
      </c>
      <c r="F50" s="63">
        <f t="shared" si="75"/>
        <v>5.1188529744686205E-2</v>
      </c>
      <c r="G50" s="63">
        <f t="shared" si="75"/>
        <v>4.4531897265948632E-2</v>
      </c>
      <c r="H50" s="63">
        <f t="shared" si="75"/>
        <v>3.5915943884975841E-2</v>
      </c>
      <c r="I50" s="63">
        <f>+IFERROR(I48/I$21,"nm")</f>
        <v>3.4817196098730456E-2</v>
      </c>
      <c r="J50" s="64">
        <f>+I50</f>
        <v>3.4817196098730456E-2</v>
      </c>
      <c r="K50" s="64">
        <f t="shared" ref="K50:N50" si="76">+J50</f>
        <v>3.4817196098730456E-2</v>
      </c>
      <c r="L50" s="64">
        <f t="shared" si="76"/>
        <v>3.4817196098730456E-2</v>
      </c>
      <c r="M50" s="64">
        <f t="shared" si="76"/>
        <v>3.4817196098730456E-2</v>
      </c>
      <c r="N50" s="64">
        <f t="shared" si="76"/>
        <v>3.4817196098730456E-2</v>
      </c>
      <c r="O50" s="65"/>
      <c r="P50" s="65"/>
    </row>
    <row r="51" spans="1:16" x14ac:dyDescent="0.3">
      <c r="A51" s="57" t="str">
        <f>+Historicals!A113</f>
        <v>Europe, Middle East &amp; Africa</v>
      </c>
      <c r="B51" s="57"/>
      <c r="C51" s="57"/>
      <c r="D51" s="57"/>
      <c r="E51" s="57"/>
      <c r="F51" s="57"/>
      <c r="G51" s="57"/>
      <c r="H51" s="57"/>
      <c r="I51" s="57"/>
      <c r="J51" s="53"/>
      <c r="K51" s="53"/>
      <c r="L51" s="53"/>
      <c r="M51" s="53"/>
      <c r="N51" s="53"/>
      <c r="O51" s="66"/>
      <c r="P51" s="66"/>
    </row>
    <row r="52" spans="1:16" x14ac:dyDescent="0.3">
      <c r="A52" s="55" t="s">
        <v>139</v>
      </c>
      <c r="B52" s="55">
        <f t="shared" ref="B52:H52" si="77">SUM(B54,B58,B62)</f>
        <v>0</v>
      </c>
      <c r="C52" s="55">
        <f t="shared" si="77"/>
        <v>7568</v>
      </c>
      <c r="D52" s="55">
        <f t="shared" si="77"/>
        <v>7970</v>
      </c>
      <c r="E52" s="55">
        <f t="shared" si="77"/>
        <v>9242</v>
      </c>
      <c r="F52" s="55">
        <f t="shared" si="77"/>
        <v>9812</v>
      </c>
      <c r="G52" s="55">
        <f t="shared" si="77"/>
        <v>9347</v>
      </c>
      <c r="H52" s="55">
        <f t="shared" si="77"/>
        <v>11456</v>
      </c>
      <c r="I52" s="55">
        <f>SUM(I54,I58,I62)</f>
        <v>12479</v>
      </c>
      <c r="J52" s="55">
        <f>+SUM(J54+J58+J62)</f>
        <v>13840.199999999999</v>
      </c>
      <c r="K52" s="55">
        <f t="shared" ref="K52:N52" si="78">+SUM(K54+K58+K62)</f>
        <v>15360.72882</v>
      </c>
      <c r="L52" s="55">
        <f t="shared" si="78"/>
        <v>17060.508482747999</v>
      </c>
      <c r="M52" s="55">
        <f t="shared" si="78"/>
        <v>18962.091305908405</v>
      </c>
      <c r="N52" s="55">
        <f t="shared" si="78"/>
        <v>21091.021474969544</v>
      </c>
      <c r="O52" s="66"/>
      <c r="P52" s="66"/>
    </row>
    <row r="53" spans="1:16" x14ac:dyDescent="0.3">
      <c r="A53" s="58" t="s">
        <v>132</v>
      </c>
      <c r="B53" s="59" t="str">
        <f t="shared" ref="B53:I53" si="79">+IFERROR(B52/A52-1,"nm")</f>
        <v>nm</v>
      </c>
      <c r="C53" s="59" t="str">
        <f t="shared" si="79"/>
        <v>nm</v>
      </c>
      <c r="D53" s="59">
        <f t="shared" si="79"/>
        <v>5.3118393234672379E-2</v>
      </c>
      <c r="E53" s="59">
        <f t="shared" si="79"/>
        <v>0.15959849435382689</v>
      </c>
      <c r="F53" s="59">
        <f t="shared" si="79"/>
        <v>6.1674962129409261E-2</v>
      </c>
      <c r="G53" s="59">
        <f t="shared" si="79"/>
        <v>-4.7390949857317621E-2</v>
      </c>
      <c r="H53" s="59">
        <f t="shared" si="79"/>
        <v>0.22563389322777372</v>
      </c>
      <c r="I53" s="59">
        <f t="shared" si="79"/>
        <v>8.9298184357541999E-2</v>
      </c>
      <c r="J53" s="59">
        <f t="shared" ref="J53" si="80">+IFERROR(J52/I52-1,"nm")</f>
        <v>0.10907925314528399</v>
      </c>
      <c r="K53" s="59">
        <f t="shared" ref="K53" si="81">+IFERROR(K52/J52-1,"nm")</f>
        <v>0.10986321151428458</v>
      </c>
      <c r="L53" s="59">
        <f t="shared" ref="L53" si="82">+IFERROR(L52/K52-1,"nm")</f>
        <v>0.11065748784880891</v>
      </c>
      <c r="M53" s="59">
        <f t="shared" ref="M53" si="83">+IFERROR(M52/L52-1,"nm")</f>
        <v>0.1114610871700179</v>
      </c>
      <c r="N53" s="59">
        <f t="shared" ref="N53" si="84">+IFERROR(N52/M52-1,"nm")</f>
        <v>0.11227296265564268</v>
      </c>
      <c r="O53" s="69"/>
      <c r="P53" s="69"/>
    </row>
    <row r="54" spans="1:16" x14ac:dyDescent="0.3">
      <c r="A54" s="60" t="s">
        <v>113</v>
      </c>
      <c r="B54" s="61">
        <f>+Historicals!B114</f>
        <v>0</v>
      </c>
      <c r="C54" s="61">
        <f>+Historicals!C114</f>
        <v>5043</v>
      </c>
      <c r="D54" s="61">
        <f>+Historicals!D114</f>
        <v>5192</v>
      </c>
      <c r="E54" s="61">
        <f>+Historicals!E114</f>
        <v>5875</v>
      </c>
      <c r="F54" s="61">
        <f>+Historicals!F114</f>
        <v>6293</v>
      </c>
      <c r="G54" s="61">
        <f>+Historicals!G114</f>
        <v>5892</v>
      </c>
      <c r="H54" s="61">
        <f>+Historicals!H114</f>
        <v>6970</v>
      </c>
      <c r="I54" s="61">
        <f>+Historicals!I114</f>
        <v>7388</v>
      </c>
      <c r="J54" s="61">
        <f>+I54*(1+J55)</f>
        <v>8023.3680000000004</v>
      </c>
      <c r="K54" s="61">
        <f t="shared" ref="K54" si="85">+J54*(1+K55)</f>
        <v>8713.3776480000015</v>
      </c>
      <c r="L54" s="61">
        <f t="shared" ref="L54" si="86">+K54*(1+L55)</f>
        <v>9462.7281257280029</v>
      </c>
      <c r="M54" s="61">
        <f t="shared" ref="M54" si="87">+L54*(1+M55)</f>
        <v>10276.522744540613</v>
      </c>
      <c r="N54" s="61">
        <f t="shared" ref="N54" si="88">+M54*(1+N55)</f>
        <v>11160.303700571107</v>
      </c>
      <c r="O54" s="66"/>
      <c r="P54" s="66"/>
    </row>
    <row r="55" spans="1:16" x14ac:dyDescent="0.3">
      <c r="A55" s="58" t="s">
        <v>132</v>
      </c>
      <c r="B55" s="59" t="str">
        <f t="shared" ref="B55:I55" si="89">+IFERROR(B54/A54-1,"nm")</f>
        <v>nm</v>
      </c>
      <c r="C55" s="59" t="str">
        <f t="shared" si="89"/>
        <v>nm</v>
      </c>
      <c r="D55" s="59">
        <f t="shared" si="89"/>
        <v>2.9545905215149659E-2</v>
      </c>
      <c r="E55" s="59">
        <f t="shared" si="89"/>
        <v>0.1315485362095532</v>
      </c>
      <c r="F55" s="59">
        <f t="shared" si="89"/>
        <v>7.1148936170212673E-2</v>
      </c>
      <c r="G55" s="59">
        <f t="shared" si="89"/>
        <v>-6.3721595423486432E-2</v>
      </c>
      <c r="H55" s="59">
        <f t="shared" si="89"/>
        <v>0.18295994568907004</v>
      </c>
      <c r="I55" s="59">
        <f t="shared" si="89"/>
        <v>5.9971305595408975E-2</v>
      </c>
      <c r="J55" s="59">
        <f>+J56+J57</f>
        <v>8.5999999999999993E-2</v>
      </c>
      <c r="K55" s="59">
        <f t="shared" ref="K55:N55" si="90">+K56+K57</f>
        <v>8.5999999999999993E-2</v>
      </c>
      <c r="L55" s="59">
        <f t="shared" si="90"/>
        <v>8.5999999999999993E-2</v>
      </c>
      <c r="M55" s="59">
        <f t="shared" si="90"/>
        <v>8.5999999999999993E-2</v>
      </c>
      <c r="N55" s="59">
        <f t="shared" si="90"/>
        <v>8.5999999999999993E-2</v>
      </c>
      <c r="O55" s="68"/>
      <c r="P55" s="68"/>
    </row>
    <row r="56" spans="1:16" x14ac:dyDescent="0.3">
      <c r="A56" s="58" t="s">
        <v>140</v>
      </c>
      <c r="B56" s="59">
        <f>+Historicals!B186</f>
        <v>0</v>
      </c>
      <c r="C56" s="59">
        <f>+Historicals!C186</f>
        <v>0</v>
      </c>
      <c r="D56" s="59">
        <f>+Historicals!D186</f>
        <v>0.08</v>
      </c>
      <c r="E56" s="59">
        <f>+Historicals!E186</f>
        <v>0.06</v>
      </c>
      <c r="F56" s="59">
        <f>+Historicals!F186</f>
        <v>0.12</v>
      </c>
      <c r="G56" s="59">
        <f>+Historicals!G186</f>
        <v>-0.03</v>
      </c>
      <c r="H56" s="59">
        <f>+Historicals!H186</f>
        <v>0.13</v>
      </c>
      <c r="I56" s="59">
        <f>+Historicals!I186</f>
        <v>0.09</v>
      </c>
      <c r="J56" s="64">
        <v>8.5999999999999993E-2</v>
      </c>
      <c r="K56" s="64">
        <f t="shared" ref="K56:K57" si="91">+J56</f>
        <v>8.5999999999999993E-2</v>
      </c>
      <c r="L56" s="64">
        <f t="shared" ref="L56:L57" si="92">+K56</f>
        <v>8.5999999999999993E-2</v>
      </c>
      <c r="M56" s="64">
        <f t="shared" ref="M56:M57" si="93">+L56</f>
        <v>8.5999999999999993E-2</v>
      </c>
      <c r="N56" s="64">
        <f t="shared" ref="N56:N57" si="94">+M56</f>
        <v>8.5999999999999993E-2</v>
      </c>
      <c r="O56" s="1" t="s">
        <v>199</v>
      </c>
      <c r="P56" s="69"/>
    </row>
    <row r="57" spans="1:16" x14ac:dyDescent="0.3">
      <c r="A57" s="58" t="s">
        <v>141</v>
      </c>
      <c r="B57" s="59" t="str">
        <f t="shared" ref="B57:H57" si="95">+IFERROR(B55-B56,"nm")</f>
        <v>nm</v>
      </c>
      <c r="C57" s="59" t="str">
        <f t="shared" si="95"/>
        <v>nm</v>
      </c>
      <c r="D57" s="59">
        <f t="shared" si="95"/>
        <v>-5.0454094784850342E-2</v>
      </c>
      <c r="E57" s="59">
        <f t="shared" si="95"/>
        <v>7.1548536209553204E-2</v>
      </c>
      <c r="F57" s="59">
        <f t="shared" si="95"/>
        <v>-4.8851063829787322E-2</v>
      </c>
      <c r="G57" s="59">
        <f t="shared" si="95"/>
        <v>-3.3721595423486433E-2</v>
      </c>
      <c r="H57" s="59">
        <f t="shared" si="95"/>
        <v>5.2959945689070032E-2</v>
      </c>
      <c r="I57" s="59">
        <f>+IFERROR(I55-I56,"nm")</f>
        <v>-3.0028694404591022E-2</v>
      </c>
      <c r="J57" s="64">
        <v>0</v>
      </c>
      <c r="K57" s="64">
        <f t="shared" si="91"/>
        <v>0</v>
      </c>
      <c r="L57" s="64">
        <f t="shared" si="92"/>
        <v>0</v>
      </c>
      <c r="M57" s="64">
        <f t="shared" si="93"/>
        <v>0</v>
      </c>
      <c r="N57" s="64">
        <f t="shared" si="94"/>
        <v>0</v>
      </c>
      <c r="O57" s="66"/>
      <c r="P57" s="66"/>
    </row>
    <row r="58" spans="1:16" x14ac:dyDescent="0.3">
      <c r="A58" s="60" t="s">
        <v>114</v>
      </c>
      <c r="B58" s="61">
        <f>+Historicals!B115</f>
        <v>0</v>
      </c>
      <c r="C58" s="61">
        <f>+Historicals!C115</f>
        <v>2149</v>
      </c>
      <c r="D58" s="61">
        <f>+Historicals!D115</f>
        <v>2395</v>
      </c>
      <c r="E58" s="61">
        <f>+Historicals!E115</f>
        <v>2940</v>
      </c>
      <c r="F58" s="61">
        <f>+Historicals!F115</f>
        <v>3087</v>
      </c>
      <c r="G58" s="61">
        <f>+Historicals!G115</f>
        <v>3053</v>
      </c>
      <c r="H58" s="61">
        <f>+Historicals!H115</f>
        <v>3996</v>
      </c>
      <c r="I58" s="61">
        <f>+Historicals!I115</f>
        <v>4527</v>
      </c>
      <c r="J58" s="61">
        <f>+I58*(1+J59)</f>
        <v>5196.9959999999992</v>
      </c>
      <c r="K58" s="61">
        <f t="shared" ref="K58" si="96">+J58*(1+K59)</f>
        <v>5966.1514079999988</v>
      </c>
      <c r="L58" s="61">
        <f t="shared" ref="L58" si="97">+K58*(1+L59)</f>
        <v>6849.141816383998</v>
      </c>
      <c r="M58" s="61">
        <f t="shared" ref="M58" si="98">+L58*(1+M59)</f>
        <v>7862.8148052088291</v>
      </c>
      <c r="N58" s="61">
        <f t="shared" ref="N58" si="99">+M58*(1+N59)</f>
        <v>9026.5113963797357</v>
      </c>
      <c r="O58" s="68"/>
      <c r="P58" s="68"/>
    </row>
    <row r="59" spans="1:16" x14ac:dyDescent="0.3">
      <c r="A59" s="58" t="s">
        <v>132</v>
      </c>
      <c r="B59" s="59" t="str">
        <f t="shared" ref="B59:I59" si="100">+IFERROR(B58/A58-1,"nm")</f>
        <v>nm</v>
      </c>
      <c r="C59" s="59" t="str">
        <f t="shared" si="100"/>
        <v>nm</v>
      </c>
      <c r="D59" s="59">
        <f t="shared" si="100"/>
        <v>0.11447184737087013</v>
      </c>
      <c r="E59" s="59">
        <f t="shared" si="100"/>
        <v>0.22755741127348639</v>
      </c>
      <c r="F59" s="59">
        <f t="shared" si="100"/>
        <v>5.0000000000000044E-2</v>
      </c>
      <c r="G59" s="59">
        <f t="shared" si="100"/>
        <v>-1.1013929381276322E-2</v>
      </c>
      <c r="H59" s="59">
        <f t="shared" si="100"/>
        <v>0.30887651490337364</v>
      </c>
      <c r="I59" s="59">
        <f t="shared" si="100"/>
        <v>0.13288288288288297</v>
      </c>
      <c r="J59" s="59">
        <f>+J60+J61</f>
        <v>0.14799999999999999</v>
      </c>
      <c r="K59" s="59">
        <f t="shared" ref="K59:N59" si="101">+K60+K61</f>
        <v>0.14799999999999999</v>
      </c>
      <c r="L59" s="59">
        <f t="shared" si="101"/>
        <v>0.14799999999999999</v>
      </c>
      <c r="M59" s="59">
        <f t="shared" si="101"/>
        <v>0.14799999999999999</v>
      </c>
      <c r="N59" s="59">
        <f t="shared" si="101"/>
        <v>0.14799999999999999</v>
      </c>
    </row>
    <row r="60" spans="1:16" x14ac:dyDescent="0.3">
      <c r="A60" s="58" t="s">
        <v>140</v>
      </c>
      <c r="B60" s="59">
        <f>+Historicals!B187</f>
        <v>0</v>
      </c>
      <c r="C60" s="59">
        <f>+Historicals!C187</f>
        <v>0</v>
      </c>
      <c r="D60" s="59">
        <f>+Historicals!D187</f>
        <v>0.17</v>
      </c>
      <c r="E60" s="59">
        <f>+Historicals!E187</f>
        <v>0.16</v>
      </c>
      <c r="F60" s="59">
        <f>+Historicals!F187</f>
        <v>0.09</v>
      </c>
      <c r="G60" s="59">
        <f>+Historicals!G187</f>
        <v>0.02</v>
      </c>
      <c r="H60" s="59">
        <f>+Historicals!H187</f>
        <v>0.25</v>
      </c>
      <c r="I60" s="59">
        <f>+Historicals!I187</f>
        <v>0.16</v>
      </c>
      <c r="J60" s="64">
        <v>0.14799999999999999</v>
      </c>
      <c r="K60" s="64">
        <f t="shared" ref="K60:K61" si="102">+J60</f>
        <v>0.14799999999999999</v>
      </c>
      <c r="L60" s="64">
        <f t="shared" ref="L60:L61" si="103">+K60</f>
        <v>0.14799999999999999</v>
      </c>
      <c r="M60" s="64">
        <f t="shared" ref="M60:M61" si="104">+L60</f>
        <v>0.14799999999999999</v>
      </c>
      <c r="N60" s="64">
        <f t="shared" ref="N60:N61" si="105">+M60</f>
        <v>0.14799999999999999</v>
      </c>
      <c r="O60" s="1" t="s">
        <v>199</v>
      </c>
    </row>
    <row r="61" spans="1:16" x14ac:dyDescent="0.3">
      <c r="A61" s="58" t="s">
        <v>141</v>
      </c>
      <c r="B61" s="59" t="str">
        <f t="shared" ref="B61:H61" si="106">+IFERROR(B59-B60,"nm")</f>
        <v>nm</v>
      </c>
      <c r="C61" s="59" t="str">
        <f t="shared" si="106"/>
        <v>nm</v>
      </c>
      <c r="D61" s="59">
        <f t="shared" si="106"/>
        <v>-5.5528152629129884E-2</v>
      </c>
      <c r="E61" s="59">
        <f t="shared" si="106"/>
        <v>6.7557411273486384E-2</v>
      </c>
      <c r="F61" s="59">
        <f t="shared" si="106"/>
        <v>-3.9999999999999952E-2</v>
      </c>
      <c r="G61" s="59">
        <f t="shared" si="106"/>
        <v>-3.1013929381276322E-2</v>
      </c>
      <c r="H61" s="59">
        <f t="shared" si="106"/>
        <v>5.8876514903373645E-2</v>
      </c>
      <c r="I61" s="59">
        <f>+IFERROR(I59-I60,"nm")</f>
        <v>-2.7117117117117034E-2</v>
      </c>
      <c r="J61" s="64">
        <v>0</v>
      </c>
      <c r="K61" s="64">
        <f t="shared" si="102"/>
        <v>0</v>
      </c>
      <c r="L61" s="64">
        <f t="shared" si="103"/>
        <v>0</v>
      </c>
      <c r="M61" s="64">
        <f t="shared" si="104"/>
        <v>0</v>
      </c>
      <c r="N61" s="64">
        <f t="shared" si="105"/>
        <v>0</v>
      </c>
    </row>
    <row r="62" spans="1:16" x14ac:dyDescent="0.3">
      <c r="A62" s="60" t="s">
        <v>115</v>
      </c>
      <c r="B62" s="61">
        <f>+Historicals!B116</f>
        <v>0</v>
      </c>
      <c r="C62" s="61">
        <f>+Historicals!C116</f>
        <v>376</v>
      </c>
      <c r="D62" s="61">
        <f>+Historicals!D116</f>
        <v>383</v>
      </c>
      <c r="E62" s="61">
        <f>+Historicals!E116</f>
        <v>427</v>
      </c>
      <c r="F62" s="61">
        <f>+Historicals!F116</f>
        <v>432</v>
      </c>
      <c r="G62" s="61">
        <f>+Historicals!G116</f>
        <v>402</v>
      </c>
      <c r="H62" s="61">
        <f>+Historicals!H116</f>
        <v>490</v>
      </c>
      <c r="I62" s="61">
        <f>+Historicals!I116</f>
        <v>564</v>
      </c>
      <c r="J62" s="61">
        <f>+I62*(1+J63)</f>
        <v>619.83600000000001</v>
      </c>
      <c r="K62" s="61">
        <f t="shared" ref="K62" si="107">+J62*(1+K63)</f>
        <v>681.19976399999996</v>
      </c>
      <c r="L62" s="61">
        <f t="shared" ref="L62" si="108">+K62*(1+L63)</f>
        <v>748.6385406359999</v>
      </c>
      <c r="M62" s="61">
        <f t="shared" ref="M62" si="109">+L62*(1+M63)</f>
        <v>822.75375615896382</v>
      </c>
      <c r="N62" s="61">
        <f t="shared" ref="N62" si="110">+M62*(1+N63)</f>
        <v>904.20637801870123</v>
      </c>
    </row>
    <row r="63" spans="1:16" x14ac:dyDescent="0.3">
      <c r="A63" s="58" t="s">
        <v>132</v>
      </c>
      <c r="B63" s="59" t="str">
        <f t="shared" ref="B63:I63" si="111">+IFERROR(B62/A62-1,"nm")</f>
        <v>nm</v>
      </c>
      <c r="C63" s="59" t="str">
        <f t="shared" si="111"/>
        <v>nm</v>
      </c>
      <c r="D63" s="59">
        <f t="shared" si="111"/>
        <v>1.8617021276595702E-2</v>
      </c>
      <c r="E63" s="59">
        <f t="shared" si="111"/>
        <v>0.11488250652741505</v>
      </c>
      <c r="F63" s="59">
        <f t="shared" si="111"/>
        <v>1.1709601873536313E-2</v>
      </c>
      <c r="G63" s="59">
        <f t="shared" si="111"/>
        <v>-6.944444444444442E-2</v>
      </c>
      <c r="H63" s="59">
        <f t="shared" si="111"/>
        <v>0.21890547263681581</v>
      </c>
      <c r="I63" s="59">
        <f t="shared" si="111"/>
        <v>0.15102040816326534</v>
      </c>
      <c r="J63" s="59">
        <f>+J64+J65</f>
        <v>9.9000000000000005E-2</v>
      </c>
      <c r="K63" s="59">
        <f t="shared" ref="K63:N63" si="112">+K64+K65</f>
        <v>9.9000000000000005E-2</v>
      </c>
      <c r="L63" s="59">
        <f t="shared" si="112"/>
        <v>9.9000000000000005E-2</v>
      </c>
      <c r="M63" s="59">
        <f t="shared" si="112"/>
        <v>9.9000000000000005E-2</v>
      </c>
      <c r="N63" s="59">
        <f t="shared" si="112"/>
        <v>9.9000000000000005E-2</v>
      </c>
    </row>
    <row r="64" spans="1:16" x14ac:dyDescent="0.3">
      <c r="A64" s="58" t="s">
        <v>140</v>
      </c>
      <c r="B64" s="59">
        <f>+Historicals!B188</f>
        <v>0</v>
      </c>
      <c r="C64" s="59">
        <f>+Historicals!C188</f>
        <v>0</v>
      </c>
      <c r="D64" s="59">
        <f>+Historicals!D188</f>
        <v>7.0000000000000007E-2</v>
      </c>
      <c r="E64" s="59">
        <f>+Historicals!E188</f>
        <v>0.06</v>
      </c>
      <c r="F64" s="59">
        <f>+Historicals!F188</f>
        <v>0.05</v>
      </c>
      <c r="G64" s="59">
        <f>+Historicals!G188</f>
        <v>-0.03</v>
      </c>
      <c r="H64" s="59">
        <f>+Historicals!H188</f>
        <v>0.19</v>
      </c>
      <c r="I64" s="59">
        <f>+Historicals!I188</f>
        <v>0.17</v>
      </c>
      <c r="J64" s="64">
        <v>9.9000000000000005E-2</v>
      </c>
      <c r="K64" s="64">
        <f t="shared" ref="K64:K65" si="113">+J64</f>
        <v>9.9000000000000005E-2</v>
      </c>
      <c r="L64" s="64">
        <f t="shared" ref="L64:L65" si="114">+K64</f>
        <v>9.9000000000000005E-2</v>
      </c>
      <c r="M64" s="64">
        <f t="shared" ref="M64:M65" si="115">+L64</f>
        <v>9.9000000000000005E-2</v>
      </c>
      <c r="N64" s="64">
        <f t="shared" ref="N64:N65" si="116">+M64</f>
        <v>9.9000000000000005E-2</v>
      </c>
      <c r="O64" s="1" t="s">
        <v>199</v>
      </c>
    </row>
    <row r="65" spans="1:14" x14ac:dyDescent="0.3">
      <c r="A65" s="58" t="s">
        <v>141</v>
      </c>
      <c r="B65" s="59" t="str">
        <f t="shared" ref="B65:H65" si="117">+IFERROR(B63-B64,"nm")</f>
        <v>nm</v>
      </c>
      <c r="C65" s="59" t="str">
        <f t="shared" si="117"/>
        <v>nm</v>
      </c>
      <c r="D65" s="59">
        <f t="shared" si="117"/>
        <v>-5.1382978723404304E-2</v>
      </c>
      <c r="E65" s="59">
        <f t="shared" si="117"/>
        <v>5.4882506527415054E-2</v>
      </c>
      <c r="F65" s="59">
        <f t="shared" si="117"/>
        <v>-3.829039812646369E-2</v>
      </c>
      <c r="G65" s="59">
        <f t="shared" si="117"/>
        <v>-3.9444444444444421E-2</v>
      </c>
      <c r="H65" s="59">
        <f t="shared" si="117"/>
        <v>2.890547263681581E-2</v>
      </c>
      <c r="I65" s="59">
        <f>+IFERROR(I63-I64,"nm")</f>
        <v>-1.8979591836734672E-2</v>
      </c>
      <c r="J65" s="64">
        <v>0</v>
      </c>
      <c r="K65" s="64">
        <f t="shared" si="113"/>
        <v>0</v>
      </c>
      <c r="L65" s="64">
        <f t="shared" si="114"/>
        <v>0</v>
      </c>
      <c r="M65" s="64">
        <f t="shared" si="115"/>
        <v>0</v>
      </c>
      <c r="N65" s="64">
        <f t="shared" si="116"/>
        <v>0</v>
      </c>
    </row>
    <row r="66" spans="1:14" x14ac:dyDescent="0.3">
      <c r="A66" s="55" t="s">
        <v>133</v>
      </c>
      <c r="B66" s="62">
        <f t="shared" ref="B66:H66" si="118">+B73+B69</f>
        <v>0</v>
      </c>
      <c r="C66" s="62">
        <f t="shared" si="118"/>
        <v>1872</v>
      </c>
      <c r="D66" s="62">
        <f t="shared" si="118"/>
        <v>1613</v>
      </c>
      <c r="E66" s="62">
        <f t="shared" si="118"/>
        <v>1703</v>
      </c>
      <c r="F66" s="62">
        <f t="shared" si="118"/>
        <v>2106</v>
      </c>
      <c r="G66" s="62">
        <f t="shared" si="118"/>
        <v>1673</v>
      </c>
      <c r="H66" s="62">
        <f t="shared" si="118"/>
        <v>2571</v>
      </c>
      <c r="I66" s="62">
        <f>+I73+I69</f>
        <v>3427</v>
      </c>
      <c r="J66" s="62">
        <f>+J52*J68</f>
        <v>3800.8146005288881</v>
      </c>
      <c r="K66" s="62">
        <f t="shared" ref="K66:N66" si="119">+K52*K68</f>
        <v>4218.3842989133746</v>
      </c>
      <c r="L66" s="62">
        <f t="shared" si="119"/>
        <v>4685.1801082119873</v>
      </c>
      <c r="M66" s="62">
        <f t="shared" si="119"/>
        <v>5207.3953766606382</v>
      </c>
      <c r="N66" s="62">
        <f t="shared" si="119"/>
        <v>5792.0450833176237</v>
      </c>
    </row>
    <row r="67" spans="1:14" x14ac:dyDescent="0.3">
      <c r="A67" s="56" t="s">
        <v>132</v>
      </c>
      <c r="B67" s="59" t="str">
        <f t="shared" ref="B67:I67" si="120">+IFERROR(B66/A66-1,"nm")</f>
        <v>nm</v>
      </c>
      <c r="C67" s="59" t="str">
        <f t="shared" si="120"/>
        <v>nm</v>
      </c>
      <c r="D67" s="59">
        <f t="shared" si="120"/>
        <v>-0.13835470085470081</v>
      </c>
      <c r="E67" s="59">
        <f t="shared" si="120"/>
        <v>5.5796652200867936E-2</v>
      </c>
      <c r="F67" s="59">
        <f t="shared" si="120"/>
        <v>0.23664122137404586</v>
      </c>
      <c r="G67" s="59">
        <f t="shared" si="120"/>
        <v>-0.20560303893637222</v>
      </c>
      <c r="H67" s="59">
        <f t="shared" si="120"/>
        <v>0.53676031081888831</v>
      </c>
      <c r="I67" s="59">
        <f t="shared" si="120"/>
        <v>0.33294437961882539</v>
      </c>
      <c r="J67" s="59">
        <f t="shared" ref="J67" si="121">+IFERROR(J66/I66-1,"nm")</f>
        <v>0.10907925314528399</v>
      </c>
      <c r="K67" s="59">
        <f t="shared" ref="K67" si="122">+IFERROR(K66/J66-1,"nm")</f>
        <v>0.10986321151428458</v>
      </c>
      <c r="L67" s="59">
        <f t="shared" ref="L67" si="123">+IFERROR(L66/K66-1,"nm")</f>
        <v>0.11065748784880891</v>
      </c>
      <c r="M67" s="59">
        <f t="shared" ref="M67" si="124">+IFERROR(M66/L66-1,"nm")</f>
        <v>0.11146108717001812</v>
      </c>
      <c r="N67" s="59">
        <f t="shared" ref="N67" si="125">+IFERROR(N66/M66-1,"nm")</f>
        <v>0.11227296265564246</v>
      </c>
    </row>
    <row r="68" spans="1:14" x14ac:dyDescent="0.3">
      <c r="A68" s="56" t="s">
        <v>134</v>
      </c>
      <c r="B68" s="59" t="str">
        <f>+IFERROR(B66/B$52,"nm")</f>
        <v>nm</v>
      </c>
      <c r="C68" s="59">
        <f t="shared" ref="C68:I68" si="126">+IFERROR(C66/C$52,"nm")</f>
        <v>0.24735729386892177</v>
      </c>
      <c r="D68" s="59">
        <f t="shared" si="126"/>
        <v>0.20238393977415309</v>
      </c>
      <c r="E68" s="59">
        <f t="shared" si="126"/>
        <v>0.18426747457260334</v>
      </c>
      <c r="F68" s="59">
        <f t="shared" si="126"/>
        <v>0.21463514064410924</v>
      </c>
      <c r="G68" s="59">
        <f t="shared" si="126"/>
        <v>0.17898791055953783</v>
      </c>
      <c r="H68" s="59">
        <f t="shared" si="126"/>
        <v>0.22442388268156424</v>
      </c>
      <c r="I68" s="59">
        <f t="shared" si="126"/>
        <v>0.27462136389133746</v>
      </c>
      <c r="J68" s="64">
        <f>+I68</f>
        <v>0.27462136389133746</v>
      </c>
      <c r="K68" s="64">
        <f t="shared" ref="K68" si="127">+J68</f>
        <v>0.27462136389133746</v>
      </c>
      <c r="L68" s="64">
        <f t="shared" ref="L68" si="128">+K68</f>
        <v>0.27462136389133746</v>
      </c>
      <c r="M68" s="64">
        <f t="shared" ref="M68" si="129">+L68</f>
        <v>0.27462136389133746</v>
      </c>
      <c r="N68" s="64">
        <f t="shared" ref="N68" si="130">+M68</f>
        <v>0.27462136389133746</v>
      </c>
    </row>
    <row r="69" spans="1:14" x14ac:dyDescent="0.3">
      <c r="A69" s="55" t="s">
        <v>135</v>
      </c>
      <c r="B69" s="55">
        <f>+Historicals!B170</f>
        <v>0</v>
      </c>
      <c r="C69" s="55">
        <f>+Historicals!C170</f>
        <v>85</v>
      </c>
      <c r="D69" s="55">
        <f>+Historicals!D170</f>
        <v>106</v>
      </c>
      <c r="E69" s="55">
        <f>+Historicals!E170</f>
        <v>116</v>
      </c>
      <c r="F69" s="55">
        <f>+Historicals!F170</f>
        <v>111</v>
      </c>
      <c r="G69" s="55">
        <f>+Historicals!G170</f>
        <v>132</v>
      </c>
      <c r="H69" s="55">
        <f>+Historicals!H170</f>
        <v>136</v>
      </c>
      <c r="I69" s="55">
        <f>+Historicals!I170</f>
        <v>134</v>
      </c>
      <c r="J69" s="62">
        <f>+J72*J79</f>
        <v>148.61661992146807</v>
      </c>
      <c r="K69" s="62">
        <f>+K72*K79</f>
        <v>164.94411907043835</v>
      </c>
      <c r="L69" s="62">
        <f>+L72*L79</f>
        <v>183.19642092220786</v>
      </c>
      <c r="M69" s="62">
        <f>+M72*M79</f>
        <v>203.61569316385339</v>
      </c>
      <c r="N69" s="62">
        <f>+N72*N79</f>
        <v>226.47623027854146</v>
      </c>
    </row>
    <row r="70" spans="1:14" x14ac:dyDescent="0.3">
      <c r="A70" s="56" t="s">
        <v>132</v>
      </c>
      <c r="B70" s="59" t="str">
        <f t="shared" ref="B70:I70" si="131">+IFERROR(B69/A69-1,"nm")</f>
        <v>nm</v>
      </c>
      <c r="C70" s="59" t="str">
        <f t="shared" si="131"/>
        <v>nm</v>
      </c>
      <c r="D70" s="59">
        <f t="shared" si="131"/>
        <v>0.24705882352941178</v>
      </c>
      <c r="E70" s="59">
        <f t="shared" si="131"/>
        <v>9.4339622641509413E-2</v>
      </c>
      <c r="F70" s="59">
        <f t="shared" si="131"/>
        <v>-4.31034482758621E-2</v>
      </c>
      <c r="G70" s="59">
        <f t="shared" si="131"/>
        <v>0.18918918918918926</v>
      </c>
      <c r="H70" s="59">
        <f t="shared" si="131"/>
        <v>3.0303030303030276E-2</v>
      </c>
      <c r="I70" s="59">
        <f t="shared" si="131"/>
        <v>-1.4705882352941124E-2</v>
      </c>
      <c r="J70" s="59">
        <f t="shared" ref="J70" si="132">+IFERROR(J69/I69-1,"nm")</f>
        <v>0.10907925314528422</v>
      </c>
      <c r="K70" s="59">
        <f t="shared" ref="K70" si="133">+IFERROR(K69/J69-1,"nm")</f>
        <v>0.10986321151428458</v>
      </c>
      <c r="L70" s="59">
        <f t="shared" ref="L70" si="134">+IFERROR(L69/K69-1,"nm")</f>
        <v>0.11065748784880891</v>
      </c>
      <c r="M70" s="59">
        <f t="shared" ref="M70" si="135">+IFERROR(M69/L69-1,"nm")</f>
        <v>0.11146108717001812</v>
      </c>
      <c r="N70" s="59">
        <f t="shared" ref="N70" si="136">+IFERROR(N69/M69-1,"nm")</f>
        <v>0.11227296265564246</v>
      </c>
    </row>
    <row r="71" spans="1:14" x14ac:dyDescent="0.3">
      <c r="A71" s="56" t="s">
        <v>136</v>
      </c>
      <c r="B71" s="59" t="str">
        <f t="shared" ref="B71:H71" si="137">+IFERROR(B69/B$52,"nm")</f>
        <v>nm</v>
      </c>
      <c r="C71" s="59">
        <f t="shared" si="137"/>
        <v>1.1231501057082453E-2</v>
      </c>
      <c r="D71" s="59">
        <f t="shared" si="137"/>
        <v>1.3299874529485571E-2</v>
      </c>
      <c r="E71" s="59">
        <f t="shared" si="137"/>
        <v>1.2551395801774508E-2</v>
      </c>
      <c r="F71" s="59">
        <f t="shared" si="137"/>
        <v>1.1312678353037097E-2</v>
      </c>
      <c r="G71" s="59">
        <f t="shared" si="137"/>
        <v>1.4122178239007167E-2</v>
      </c>
      <c r="H71" s="59">
        <f t="shared" si="137"/>
        <v>1.1871508379888268E-2</v>
      </c>
      <c r="I71" s="59">
        <f>+IFERROR(I69/I$52,"nm")</f>
        <v>1.0738039907043834E-2</v>
      </c>
      <c r="J71" s="59">
        <f t="shared" ref="J71:N71" si="138">+IFERROR(J69/J$21,"nm")</f>
        <v>7.6830390456079575E-3</v>
      </c>
      <c r="K71" s="59">
        <f t="shared" si="138"/>
        <v>8.0876645799542648E-3</v>
      </c>
      <c r="L71" s="59">
        <f t="shared" si="138"/>
        <v>8.5168938113134255E-3</v>
      </c>
      <c r="M71" s="59">
        <f t="shared" si="138"/>
        <v>8.972624538052797E-3</v>
      </c>
      <c r="N71" s="59">
        <f t="shared" si="138"/>
        <v>9.4569048602742949E-3</v>
      </c>
    </row>
    <row r="72" spans="1:14" x14ac:dyDescent="0.3">
      <c r="A72" s="56" t="s">
        <v>144</v>
      </c>
      <c r="B72" s="59" t="str">
        <f>+IFERROR(B69/B79,"nm")</f>
        <v>nm</v>
      </c>
      <c r="C72" s="59" t="str">
        <f t="shared" ref="C72:I72" si="139">+IFERROR(C69/C79,"nm")</f>
        <v>nm</v>
      </c>
      <c r="D72" s="59">
        <f t="shared" si="139"/>
        <v>0.14950634696755993</v>
      </c>
      <c r="E72" s="59">
        <f t="shared" si="139"/>
        <v>0.13663133097762073</v>
      </c>
      <c r="F72" s="59">
        <f t="shared" si="139"/>
        <v>0.11948331539289558</v>
      </c>
      <c r="G72" s="59">
        <f t="shared" si="139"/>
        <v>0.14915254237288136</v>
      </c>
      <c r="H72" s="59">
        <f t="shared" si="139"/>
        <v>0.1384928716904277</v>
      </c>
      <c r="I72" s="59">
        <f t="shared" si="139"/>
        <v>0.14565217391304347</v>
      </c>
      <c r="J72" s="64">
        <f>+I72</f>
        <v>0.14565217391304347</v>
      </c>
      <c r="K72" s="64">
        <f t="shared" ref="K72" si="140">+J72</f>
        <v>0.14565217391304347</v>
      </c>
      <c r="L72" s="64">
        <f t="shared" ref="L72" si="141">+K72</f>
        <v>0.14565217391304347</v>
      </c>
      <c r="M72" s="64">
        <f t="shared" ref="M72" si="142">+L72</f>
        <v>0.14565217391304347</v>
      </c>
      <c r="N72" s="64">
        <f t="shared" ref="N72" si="143">+M72</f>
        <v>0.14565217391304347</v>
      </c>
    </row>
    <row r="73" spans="1:14" x14ac:dyDescent="0.3">
      <c r="A73" s="55" t="s">
        <v>137</v>
      </c>
      <c r="B73" s="55">
        <f>+Historicals!B137</f>
        <v>0</v>
      </c>
      <c r="C73" s="55">
        <f>+Historicals!C137</f>
        <v>1787</v>
      </c>
      <c r="D73" s="55">
        <f>+Historicals!D137</f>
        <v>1507</v>
      </c>
      <c r="E73" s="55">
        <f>+Historicals!E137</f>
        <v>1587</v>
      </c>
      <c r="F73" s="55">
        <f>+Historicals!F137</f>
        <v>1995</v>
      </c>
      <c r="G73" s="55">
        <f>+Historicals!G137</f>
        <v>1541</v>
      </c>
      <c r="H73" s="55">
        <f>+Historicals!H137</f>
        <v>2435</v>
      </c>
      <c r="I73" s="55">
        <f>+Historicals!I137</f>
        <v>3293</v>
      </c>
      <c r="J73" s="55">
        <f>+J66-J69</f>
        <v>3652.19798060742</v>
      </c>
      <c r="K73" s="55">
        <f t="shared" ref="K73:N73" si="144">+K66-K69</f>
        <v>4053.4401798429362</v>
      </c>
      <c r="L73" s="55">
        <f t="shared" si="144"/>
        <v>4501.9836872897795</v>
      </c>
      <c r="M73" s="55">
        <f t="shared" si="144"/>
        <v>5003.7796834967849</v>
      </c>
      <c r="N73" s="55">
        <f t="shared" si="144"/>
        <v>5565.5688530390826</v>
      </c>
    </row>
    <row r="74" spans="1:14" x14ac:dyDescent="0.3">
      <c r="A74" s="56" t="s">
        <v>132</v>
      </c>
      <c r="B74" s="59" t="str">
        <f t="shared" ref="B74:I74" si="145">+IFERROR(B73/A73-1,"nm")</f>
        <v>nm</v>
      </c>
      <c r="C74" s="59" t="str">
        <f t="shared" si="145"/>
        <v>nm</v>
      </c>
      <c r="D74" s="59">
        <f t="shared" si="145"/>
        <v>-0.15668718522663683</v>
      </c>
      <c r="E74" s="59">
        <f t="shared" si="145"/>
        <v>5.3085600530855981E-2</v>
      </c>
      <c r="F74" s="59">
        <f t="shared" si="145"/>
        <v>0.25708884688090738</v>
      </c>
      <c r="G74" s="59">
        <f t="shared" si="145"/>
        <v>-0.22756892230576442</v>
      </c>
      <c r="H74" s="59">
        <f t="shared" si="145"/>
        <v>0.58014276443867629</v>
      </c>
      <c r="I74" s="59">
        <f t="shared" si="145"/>
        <v>0.3523613963039014</v>
      </c>
      <c r="J74" s="59">
        <f t="shared" ref="J74" si="146">+IFERROR(J73/I73-1,"nm")</f>
        <v>0.10907925314528399</v>
      </c>
      <c r="K74" s="59">
        <f t="shared" ref="K74" si="147">+IFERROR(K73/J73-1,"nm")</f>
        <v>0.10986321151428458</v>
      </c>
      <c r="L74" s="59">
        <f t="shared" ref="L74" si="148">+IFERROR(L73/K73-1,"nm")</f>
        <v>0.11065748784880891</v>
      </c>
      <c r="M74" s="59">
        <f t="shared" ref="M74" si="149">+IFERROR(M73/L73-1,"nm")</f>
        <v>0.11146108717001812</v>
      </c>
      <c r="N74" s="59">
        <f t="shared" ref="N74" si="150">+IFERROR(N73/M73-1,"nm")</f>
        <v>0.11227296265564268</v>
      </c>
    </row>
    <row r="75" spans="1:14" x14ac:dyDescent="0.3">
      <c r="A75" s="56" t="s">
        <v>134</v>
      </c>
      <c r="B75" s="59" t="str">
        <f t="shared" ref="B75:H75" si="151">+IFERROR(B73/B$52,"nm")</f>
        <v>nm</v>
      </c>
      <c r="C75" s="59">
        <f t="shared" si="151"/>
        <v>0.23612579281183932</v>
      </c>
      <c r="D75" s="59">
        <f t="shared" si="151"/>
        <v>0.1890840652446675</v>
      </c>
      <c r="E75" s="59">
        <f t="shared" si="151"/>
        <v>0.17171607877082881</v>
      </c>
      <c r="F75" s="59">
        <f t="shared" si="151"/>
        <v>0.20332246229107215</v>
      </c>
      <c r="G75" s="59">
        <f t="shared" si="151"/>
        <v>0.16486573232053064</v>
      </c>
      <c r="H75" s="59">
        <f t="shared" si="151"/>
        <v>0.21255237430167598</v>
      </c>
      <c r="I75" s="59">
        <f>+IFERROR(I73/I$52,"nm")</f>
        <v>0.26388332398429359</v>
      </c>
      <c r="J75" s="59">
        <f t="shared" ref="J75:N75" si="152">+IFERROR(J73/J$21,"nm")</f>
        <v>0.1888078177402015</v>
      </c>
      <c r="K75" s="59">
        <f t="shared" si="152"/>
        <v>0.19875133926708502</v>
      </c>
      <c r="L75" s="59">
        <f t="shared" si="152"/>
        <v>0.20929948746757543</v>
      </c>
      <c r="M75" s="59">
        <f t="shared" si="152"/>
        <v>0.22049890002841682</v>
      </c>
      <c r="N75" s="59">
        <f t="shared" si="152"/>
        <v>0.23239990824539739</v>
      </c>
    </row>
    <row r="76" spans="1:14" x14ac:dyDescent="0.3">
      <c r="A76" s="55" t="s">
        <v>138</v>
      </c>
      <c r="B76" s="55">
        <f>+Historicals!B159</f>
        <v>0</v>
      </c>
      <c r="C76" s="55">
        <f>+Historicals!C159</f>
        <v>234</v>
      </c>
      <c r="D76" s="55">
        <f>+Historicals!D159</f>
        <v>173</v>
      </c>
      <c r="E76" s="55">
        <f>+Historicals!E159</f>
        <v>240</v>
      </c>
      <c r="F76" s="55">
        <f>+Historicals!F159</f>
        <v>233</v>
      </c>
      <c r="G76" s="55">
        <f>+Historicals!G159</f>
        <v>139</v>
      </c>
      <c r="H76" s="55">
        <f>+Historicals!H159</f>
        <v>153</v>
      </c>
      <c r="I76" s="55">
        <f>+Historicals!I159</f>
        <v>197</v>
      </c>
      <c r="J76" s="62">
        <f>+J52*J78</f>
        <v>218.48861286962094</v>
      </c>
      <c r="K76" s="62">
        <f t="shared" ref="K76:N76" si="153">+K52*K78</f>
        <v>242.49247355877873</v>
      </c>
      <c r="L76" s="62">
        <f t="shared" si="153"/>
        <v>269.32608150503688</v>
      </c>
      <c r="M76" s="62">
        <f t="shared" si="153"/>
        <v>299.34545935282921</v>
      </c>
      <c r="N76" s="62">
        <f t="shared" si="153"/>
        <v>332.95386093188557</v>
      </c>
    </row>
    <row r="77" spans="1:14" x14ac:dyDescent="0.3">
      <c r="A77" s="56" t="s">
        <v>132</v>
      </c>
      <c r="B77" s="59" t="str">
        <f t="shared" ref="B77:I77" si="154">+IFERROR(B76/A76-1,"nm")</f>
        <v>nm</v>
      </c>
      <c r="C77" s="59" t="str">
        <f t="shared" si="154"/>
        <v>nm</v>
      </c>
      <c r="D77" s="59">
        <f t="shared" si="154"/>
        <v>-0.26068376068376065</v>
      </c>
      <c r="E77" s="59">
        <f t="shared" si="154"/>
        <v>0.38728323699421963</v>
      </c>
      <c r="F77" s="59">
        <f t="shared" si="154"/>
        <v>-2.9166666666666674E-2</v>
      </c>
      <c r="G77" s="59">
        <f t="shared" si="154"/>
        <v>-0.40343347639484983</v>
      </c>
      <c r="H77" s="59">
        <f t="shared" si="154"/>
        <v>0.10071942446043169</v>
      </c>
      <c r="I77" s="59">
        <f t="shared" si="154"/>
        <v>0.28758169934640532</v>
      </c>
      <c r="J77" s="59">
        <f t="shared" ref="J77" si="155">+IFERROR(J76/I76-1,"nm")</f>
        <v>0.10907925314528399</v>
      </c>
      <c r="K77" s="59">
        <f t="shared" ref="K77" si="156">+IFERROR(K76/J76-1,"nm")</f>
        <v>0.10986321151428458</v>
      </c>
      <c r="L77" s="59">
        <f t="shared" ref="L77" si="157">+IFERROR(L76/K76-1,"nm")</f>
        <v>0.11065748784880891</v>
      </c>
      <c r="M77" s="59">
        <f t="shared" ref="M77" si="158">+IFERROR(M76/L76-1,"nm")</f>
        <v>0.11146108717001812</v>
      </c>
      <c r="N77" s="59">
        <f t="shared" ref="N77" si="159">+IFERROR(N76/M76-1,"nm")</f>
        <v>0.11227296265564246</v>
      </c>
    </row>
    <row r="78" spans="1:14" x14ac:dyDescent="0.3">
      <c r="A78" s="56" t="s">
        <v>136</v>
      </c>
      <c r="B78" s="59" t="str">
        <f t="shared" ref="B78:H78" si="160">+IFERROR(B76/B$52,"nm")</f>
        <v>nm</v>
      </c>
      <c r="C78" s="59">
        <f t="shared" si="160"/>
        <v>3.0919661733615222E-2</v>
      </c>
      <c r="D78" s="59">
        <f t="shared" si="160"/>
        <v>2.1706398996235884E-2</v>
      </c>
      <c r="E78" s="59">
        <f t="shared" si="160"/>
        <v>2.5968405107119671E-2</v>
      </c>
      <c r="F78" s="59">
        <f t="shared" si="160"/>
        <v>2.3746432939258051E-2</v>
      </c>
      <c r="G78" s="59">
        <f t="shared" si="160"/>
        <v>1.4871081630469669E-2</v>
      </c>
      <c r="H78" s="59">
        <f t="shared" si="160"/>
        <v>1.3355446927374302E-2</v>
      </c>
      <c r="I78" s="59">
        <f>+IFERROR(I76/I$52,"nm")</f>
        <v>1.5786521355877874E-2</v>
      </c>
      <c r="J78" s="64">
        <f>+I78</f>
        <v>1.5786521355877874E-2</v>
      </c>
      <c r="K78" s="64">
        <f t="shared" ref="K78" si="161">+J78</f>
        <v>1.5786521355877874E-2</v>
      </c>
      <c r="L78" s="64">
        <f t="shared" ref="L78" si="162">+K78</f>
        <v>1.5786521355877874E-2</v>
      </c>
      <c r="M78" s="64">
        <f t="shared" ref="M78" si="163">+L78</f>
        <v>1.5786521355877874E-2</v>
      </c>
      <c r="N78" s="64">
        <f t="shared" ref="N78" si="164">+M78</f>
        <v>1.5786521355877874E-2</v>
      </c>
    </row>
    <row r="79" spans="1:14" x14ac:dyDescent="0.3">
      <c r="A79" s="55" t="s">
        <v>143</v>
      </c>
      <c r="B79" s="62">
        <f>+Historicals!B148</f>
        <v>0</v>
      </c>
      <c r="C79" s="62">
        <f>+Historicals!C148</f>
        <v>0</v>
      </c>
      <c r="D79" s="62">
        <f>+Historicals!D148</f>
        <v>709</v>
      </c>
      <c r="E79" s="62">
        <f>+Historicals!E148</f>
        <v>849</v>
      </c>
      <c r="F79" s="62">
        <f>+Historicals!F148</f>
        <v>929</v>
      </c>
      <c r="G79" s="62">
        <f>+Historicals!G148</f>
        <v>885</v>
      </c>
      <c r="H79" s="62">
        <f>+Historicals!H148</f>
        <v>982</v>
      </c>
      <c r="I79" s="62">
        <f>+Historicals!I148</f>
        <v>920</v>
      </c>
      <c r="J79" s="62">
        <f>+J52*J81</f>
        <v>1020.3529128936614</v>
      </c>
      <c r="K79" s="62">
        <f>+K52*K81</f>
        <v>1132.4521607821141</v>
      </c>
      <c r="L79" s="62">
        <f>+L52*L81</f>
        <v>1257.7664720032183</v>
      </c>
      <c r="M79" s="62">
        <f>+M52*M81</f>
        <v>1397.9584903786949</v>
      </c>
      <c r="N79" s="62">
        <f>+N52*N81</f>
        <v>1554.9114317631206</v>
      </c>
    </row>
    <row r="80" spans="1:14" x14ac:dyDescent="0.3">
      <c r="A80" s="56" t="s">
        <v>132</v>
      </c>
      <c r="B80" s="63" t="str">
        <f t="shared" ref="B80" si="165">+IFERROR(B79/A79-1,"nm")</f>
        <v>nm</v>
      </c>
      <c r="C80" s="63" t="str">
        <f t="shared" ref="C80" si="166">+IFERROR(C79/B79-1,"nm")</f>
        <v>nm</v>
      </c>
      <c r="D80" s="63" t="str">
        <f t="shared" ref="D80" si="167">+IFERROR(D79/C79-1,"nm")</f>
        <v>nm</v>
      </c>
      <c r="E80" s="63">
        <f t="shared" ref="E80" si="168">+IFERROR(E79/D79-1,"nm")</f>
        <v>0.19746121297602248</v>
      </c>
      <c r="F80" s="63">
        <f t="shared" ref="F80" si="169">+IFERROR(F79/E79-1,"nm")</f>
        <v>9.4228504122497059E-2</v>
      </c>
      <c r="G80" s="63">
        <f t="shared" ref="G80" si="170">+IFERROR(G79/F79-1,"nm")</f>
        <v>-4.7362755651237931E-2</v>
      </c>
      <c r="H80" s="63">
        <f t="shared" ref="H80" si="171">+IFERROR(H79/G79-1,"nm")</f>
        <v>0.1096045197740112</v>
      </c>
      <c r="I80" s="63">
        <f t="shared" ref="I80" si="172">+IFERROR(I79/H79-1,"nm")</f>
        <v>-6.313645621181263E-2</v>
      </c>
      <c r="J80" s="59">
        <f>+J81+J82</f>
        <v>7.37238560782114E-2</v>
      </c>
      <c r="K80" s="59">
        <f t="shared" ref="K80:N80" si="173">+K81+K82</f>
        <v>7.37238560782114E-2</v>
      </c>
      <c r="L80" s="59">
        <f t="shared" si="173"/>
        <v>7.37238560782114E-2</v>
      </c>
      <c r="M80" s="59">
        <f t="shared" si="173"/>
        <v>7.37238560782114E-2</v>
      </c>
      <c r="N80" s="59">
        <f t="shared" si="173"/>
        <v>7.37238560782114E-2</v>
      </c>
    </row>
    <row r="81" spans="1:15" x14ac:dyDescent="0.3">
      <c r="A81" s="56" t="s">
        <v>136</v>
      </c>
      <c r="B81" s="63" t="str">
        <f>+IFERROR(B79/B52,"nm")</f>
        <v>nm</v>
      </c>
      <c r="C81" s="63">
        <f t="shared" ref="C81:I81" si="174">+IFERROR(C79/C52,"nm")</f>
        <v>0</v>
      </c>
      <c r="D81" s="63">
        <f t="shared" si="174"/>
        <v>8.8958594730238399E-2</v>
      </c>
      <c r="E81" s="63">
        <f t="shared" si="174"/>
        <v>9.1863233066435832E-2</v>
      </c>
      <c r="F81" s="63">
        <f t="shared" si="174"/>
        <v>9.4679983693436609E-2</v>
      </c>
      <c r="G81" s="63">
        <f t="shared" si="174"/>
        <v>9.4682785920616241E-2</v>
      </c>
      <c r="H81" s="63">
        <f t="shared" si="174"/>
        <v>8.5719273743016758E-2</v>
      </c>
      <c r="I81" s="63">
        <f t="shared" si="174"/>
        <v>7.37238560782114E-2</v>
      </c>
      <c r="J81" s="64">
        <f>+I81</f>
        <v>7.37238560782114E-2</v>
      </c>
      <c r="K81" s="64">
        <f t="shared" ref="K81" si="175">+J81</f>
        <v>7.37238560782114E-2</v>
      </c>
      <c r="L81" s="64">
        <f t="shared" ref="L81" si="176">+K81</f>
        <v>7.37238560782114E-2</v>
      </c>
      <c r="M81" s="64">
        <f t="shared" ref="M81" si="177">+L81</f>
        <v>7.37238560782114E-2</v>
      </c>
      <c r="N81" s="64">
        <f t="shared" ref="N81" si="178">+M81</f>
        <v>7.37238560782114E-2</v>
      </c>
    </row>
    <row r="82" spans="1:15" x14ac:dyDescent="0.3">
      <c r="A82" s="57" t="str">
        <f>+Historicals!A117</f>
        <v>Greater China</v>
      </c>
      <c r="B82" s="57"/>
      <c r="C82" s="57"/>
      <c r="D82" s="57"/>
      <c r="E82" s="57"/>
      <c r="F82" s="57"/>
      <c r="G82" s="57"/>
      <c r="H82" s="57"/>
      <c r="I82" s="57"/>
      <c r="J82" s="53"/>
      <c r="K82" s="53"/>
      <c r="L82" s="53"/>
      <c r="M82" s="53"/>
      <c r="N82" s="53"/>
    </row>
    <row r="83" spans="1:15" x14ac:dyDescent="0.3">
      <c r="A83" s="55" t="s">
        <v>139</v>
      </c>
      <c r="B83" s="55">
        <f t="shared" ref="B83:H83" si="179">SUM(B85,B89,B93)</f>
        <v>3067</v>
      </c>
      <c r="C83" s="55">
        <f t="shared" si="179"/>
        <v>3785</v>
      </c>
      <c r="D83" s="55">
        <f t="shared" si="179"/>
        <v>4237</v>
      </c>
      <c r="E83" s="55">
        <f t="shared" si="179"/>
        <v>5134</v>
      </c>
      <c r="F83" s="55">
        <f t="shared" si="179"/>
        <v>6208</v>
      </c>
      <c r="G83" s="55">
        <f t="shared" si="179"/>
        <v>6679</v>
      </c>
      <c r="H83" s="55">
        <f t="shared" si="179"/>
        <v>8290</v>
      </c>
      <c r="I83" s="55">
        <f>SUM(I85,I89,I93)</f>
        <v>7547</v>
      </c>
      <c r="J83" s="55">
        <f>+SUM(J85+J89+J93)</f>
        <v>8381.8989999999994</v>
      </c>
      <c r="K83" s="55">
        <f t="shared" ref="K83:N83" si="180">+SUM(K85+K89+K93)</f>
        <v>9313.8212409999996</v>
      </c>
      <c r="L83" s="55">
        <f t="shared" si="180"/>
        <v>10354.406121366999</v>
      </c>
      <c r="M83" s="55">
        <f t="shared" si="180"/>
        <v>11516.717183819135</v>
      </c>
      <c r="N83" s="55">
        <f t="shared" si="180"/>
        <v>12815.418461286246</v>
      </c>
    </row>
    <row r="84" spans="1:15" x14ac:dyDescent="0.3">
      <c r="A84" s="58" t="s">
        <v>132</v>
      </c>
      <c r="B84" s="59" t="str">
        <f t="shared" ref="B84:I84" si="181">+IFERROR(B83/A83-1,"nm")</f>
        <v>nm</v>
      </c>
      <c r="C84" s="59">
        <f t="shared" si="181"/>
        <v>0.23410498858819695</v>
      </c>
      <c r="D84" s="59">
        <f t="shared" si="181"/>
        <v>0.11941875825627468</v>
      </c>
      <c r="E84" s="59">
        <f t="shared" si="181"/>
        <v>0.21170639603493036</v>
      </c>
      <c r="F84" s="59">
        <f t="shared" si="181"/>
        <v>0.20919361121932223</v>
      </c>
      <c r="G84" s="59">
        <f t="shared" si="181"/>
        <v>7.5869845360824639E-2</v>
      </c>
      <c r="H84" s="59">
        <f t="shared" si="181"/>
        <v>0.24120377301991325</v>
      </c>
      <c r="I84" s="59">
        <f t="shared" si="181"/>
        <v>-8.9626055488540413E-2</v>
      </c>
      <c r="J84" s="59">
        <f t="shared" ref="J84" si="182">+IFERROR(J83/I83-1,"nm")</f>
        <v>0.11062660659864831</v>
      </c>
      <c r="K84" s="59">
        <f t="shared" ref="K84" si="183">+IFERROR(K83/J83-1,"nm")</f>
        <v>0.11118270943135911</v>
      </c>
      <c r="L84" s="59">
        <f t="shared" ref="L84" si="184">+IFERROR(L83/K83-1,"nm")</f>
        <v>0.11172480697678444</v>
      </c>
      <c r="M84" s="59">
        <f t="shared" ref="M84" si="185">+IFERROR(M83/L83-1,"nm")</f>
        <v>0.1122527983573709</v>
      </c>
      <c r="N84" s="59">
        <f t="shared" ref="N84" si="186">+IFERROR(N83/M83-1,"nm")</f>
        <v>0.11276662062100229</v>
      </c>
    </row>
    <row r="85" spans="1:15" x14ac:dyDescent="0.3">
      <c r="A85" s="60" t="s">
        <v>113</v>
      </c>
      <c r="B85" s="61">
        <f>+Historicals!B118</f>
        <v>2016</v>
      </c>
      <c r="C85" s="61">
        <f>+Historicals!C118</f>
        <v>2599</v>
      </c>
      <c r="D85" s="61">
        <f>+Historicals!D118</f>
        <v>2920</v>
      </c>
      <c r="E85" s="61">
        <f>+Historicals!E118</f>
        <v>3496</v>
      </c>
      <c r="F85" s="61">
        <f>+Historicals!F118</f>
        <v>4262</v>
      </c>
      <c r="G85" s="61">
        <f>+Historicals!G118</f>
        <v>4635</v>
      </c>
      <c r="H85" s="61">
        <f>+Historicals!H118</f>
        <v>5748</v>
      </c>
      <c r="I85" s="61">
        <f>+Historicals!I118</f>
        <v>5416</v>
      </c>
      <c r="J85" s="61">
        <f>+I85*(1+J86)</f>
        <v>6098.4159999999993</v>
      </c>
      <c r="K85" s="61">
        <f t="shared" ref="K85" si="187">+J85*(1+K86)</f>
        <v>6866.8164159999988</v>
      </c>
      <c r="L85" s="61">
        <f t="shared" ref="L85" si="188">+K85*(1+L86)</f>
        <v>7732.0352844159979</v>
      </c>
      <c r="M85" s="61">
        <f t="shared" ref="M85" si="189">+L85*(1+M86)</f>
        <v>8706.2717302524125</v>
      </c>
      <c r="N85" s="61">
        <f t="shared" ref="N85" si="190">+M85*(1+N86)</f>
        <v>9803.2619682642162</v>
      </c>
    </row>
    <row r="86" spans="1:15" x14ac:dyDescent="0.3">
      <c r="A86" s="58" t="s">
        <v>132</v>
      </c>
      <c r="B86" s="59" t="str">
        <f t="shared" ref="B86:I86" si="191">+IFERROR(B85/A85-1,"nm")</f>
        <v>nm</v>
      </c>
      <c r="C86" s="59">
        <f t="shared" si="191"/>
        <v>0.28918650793650791</v>
      </c>
      <c r="D86" s="59">
        <f t="shared" si="191"/>
        <v>0.12350904193920731</v>
      </c>
      <c r="E86" s="59">
        <f t="shared" si="191"/>
        <v>0.19726027397260282</v>
      </c>
      <c r="F86" s="59">
        <f t="shared" si="191"/>
        <v>0.21910755148741412</v>
      </c>
      <c r="G86" s="59">
        <f t="shared" si="191"/>
        <v>8.7517597372125833E-2</v>
      </c>
      <c r="H86" s="59">
        <f t="shared" si="191"/>
        <v>0.24012944983818763</v>
      </c>
      <c r="I86" s="59">
        <f t="shared" si="191"/>
        <v>-5.7759220598469052E-2</v>
      </c>
      <c r="J86" s="59">
        <f>+J87+J88</f>
        <v>0.126</v>
      </c>
      <c r="K86" s="59">
        <f t="shared" ref="K86:N86" si="192">+K87+K88</f>
        <v>0.126</v>
      </c>
      <c r="L86" s="59">
        <f t="shared" si="192"/>
        <v>0.126</v>
      </c>
      <c r="M86" s="59">
        <f t="shared" si="192"/>
        <v>0.126</v>
      </c>
      <c r="N86" s="59">
        <f t="shared" si="192"/>
        <v>0.126</v>
      </c>
    </row>
    <row r="87" spans="1:15" x14ac:dyDescent="0.3">
      <c r="A87" s="58" t="s">
        <v>140</v>
      </c>
      <c r="B87" s="59">
        <f>+Historicals!B190</f>
        <v>0.28000000000000003</v>
      </c>
      <c r="C87" s="59">
        <f>+Historicals!C190</f>
        <v>0.33</v>
      </c>
      <c r="D87" s="59">
        <f>+Historicals!D190</f>
        <v>0.18</v>
      </c>
      <c r="E87" s="59">
        <f>+Historicals!E190</f>
        <v>0.16</v>
      </c>
      <c r="F87" s="59">
        <f>+Historicals!F190</f>
        <v>0.25</v>
      </c>
      <c r="G87" s="59">
        <f>+Historicals!G190</f>
        <v>0.12</v>
      </c>
      <c r="H87" s="59">
        <f>+Historicals!H190</f>
        <v>0.19</v>
      </c>
      <c r="I87" s="59">
        <f>+Historicals!I190</f>
        <v>-0.1</v>
      </c>
      <c r="J87" s="64">
        <v>0.126</v>
      </c>
      <c r="K87" s="64">
        <f t="shared" ref="K87:K88" si="193">+J87</f>
        <v>0.126</v>
      </c>
      <c r="L87" s="64">
        <f t="shared" ref="L87:L88" si="194">+K87</f>
        <v>0.126</v>
      </c>
      <c r="M87" s="64">
        <f t="shared" ref="M87:M88" si="195">+L87</f>
        <v>0.126</v>
      </c>
      <c r="N87" s="64">
        <f t="shared" ref="N87:N88" si="196">+M87</f>
        <v>0.126</v>
      </c>
      <c r="O87" s="65" t="s">
        <v>198</v>
      </c>
    </row>
    <row r="88" spans="1:15" x14ac:dyDescent="0.3">
      <c r="A88" s="58" t="s">
        <v>141</v>
      </c>
      <c r="B88" s="59" t="str">
        <f t="shared" ref="B88:H88" si="197">+IFERROR(B86-B87,"nm")</f>
        <v>nm</v>
      </c>
      <c r="C88" s="59">
        <f t="shared" si="197"/>
        <v>-4.0813492063492107E-2</v>
      </c>
      <c r="D88" s="59">
        <f t="shared" si="197"/>
        <v>-5.6490958060792684E-2</v>
      </c>
      <c r="E88" s="59">
        <f t="shared" si="197"/>
        <v>3.7260273972602814E-2</v>
      </c>
      <c r="F88" s="59">
        <f t="shared" si="197"/>
        <v>-3.0892448512585879E-2</v>
      </c>
      <c r="G88" s="59">
        <f t="shared" si="197"/>
        <v>-3.2482402627874163E-2</v>
      </c>
      <c r="H88" s="59">
        <f t="shared" si="197"/>
        <v>5.0129449838187623E-2</v>
      </c>
      <c r="I88" s="59">
        <f>+IFERROR(I86-I87,"nm")</f>
        <v>4.2240779401530953E-2</v>
      </c>
      <c r="J88" s="64">
        <v>0</v>
      </c>
      <c r="K88" s="64">
        <f t="shared" si="193"/>
        <v>0</v>
      </c>
      <c r="L88" s="64">
        <f t="shared" si="194"/>
        <v>0</v>
      </c>
      <c r="M88" s="64">
        <f t="shared" si="195"/>
        <v>0</v>
      </c>
      <c r="N88" s="64">
        <f t="shared" si="196"/>
        <v>0</v>
      </c>
    </row>
    <row r="89" spans="1:15" x14ac:dyDescent="0.3">
      <c r="A89" s="60" t="s">
        <v>114</v>
      </c>
      <c r="B89" s="61">
        <f>+Historicals!B119</f>
        <v>925</v>
      </c>
      <c r="C89" s="61">
        <f>+Historicals!C119</f>
        <v>1055</v>
      </c>
      <c r="D89" s="61">
        <f>+Historicals!D119</f>
        <v>1188</v>
      </c>
      <c r="E89" s="61">
        <f>+Historicals!E119</f>
        <v>1508</v>
      </c>
      <c r="F89" s="61">
        <f>+Historicals!F119</f>
        <v>1808</v>
      </c>
      <c r="G89" s="61">
        <f>+Historicals!G119</f>
        <v>1896</v>
      </c>
      <c r="H89" s="61">
        <f>+Historicals!H119</f>
        <v>2347</v>
      </c>
      <c r="I89" s="61">
        <f>+Historicals!I119</f>
        <v>1938</v>
      </c>
      <c r="J89" s="61">
        <f>+I89*(1+J90)</f>
        <v>2081.4120000000003</v>
      </c>
      <c r="K89" s="61">
        <f t="shared" ref="K89" si="198">+J89*(1+K90)</f>
        <v>2235.4364880000003</v>
      </c>
      <c r="L89" s="61">
        <f t="shared" ref="L89" si="199">+K89*(1+L90)</f>
        <v>2400.8587881120006</v>
      </c>
      <c r="M89" s="61">
        <f t="shared" ref="M89" si="200">+L89*(1+M90)</f>
        <v>2578.522338432289</v>
      </c>
      <c r="N89" s="61">
        <f t="shared" ref="N89" si="201">+M89*(1+N90)</f>
        <v>2769.3329914762785</v>
      </c>
    </row>
    <row r="90" spans="1:15" x14ac:dyDescent="0.3">
      <c r="A90" s="58" t="s">
        <v>132</v>
      </c>
      <c r="B90" s="59" t="str">
        <f t="shared" ref="B90:I90" si="202">+IFERROR(B89/A89-1,"nm")</f>
        <v>nm</v>
      </c>
      <c r="C90" s="59">
        <f t="shared" si="202"/>
        <v>0.14054054054054044</v>
      </c>
      <c r="D90" s="59">
        <f t="shared" si="202"/>
        <v>0.12606635071090055</v>
      </c>
      <c r="E90" s="59">
        <f t="shared" si="202"/>
        <v>0.26936026936026947</v>
      </c>
      <c r="F90" s="59">
        <f t="shared" si="202"/>
        <v>0.19893899204244025</v>
      </c>
      <c r="G90" s="59">
        <f t="shared" si="202"/>
        <v>4.8672566371681381E-2</v>
      </c>
      <c r="H90" s="59">
        <f t="shared" si="202"/>
        <v>0.2378691983122363</v>
      </c>
      <c r="I90" s="59">
        <f t="shared" si="202"/>
        <v>-0.17426501917341286</v>
      </c>
      <c r="J90" s="59">
        <f>+J91+J92</f>
        <v>7.3999999999999996E-2</v>
      </c>
      <c r="K90" s="59">
        <f t="shared" ref="K90:N90" si="203">+K91+K92</f>
        <v>7.3999999999999996E-2</v>
      </c>
      <c r="L90" s="59">
        <f t="shared" si="203"/>
        <v>7.3999999999999996E-2</v>
      </c>
      <c r="M90" s="59">
        <f t="shared" si="203"/>
        <v>7.3999999999999996E-2</v>
      </c>
      <c r="N90" s="59">
        <f t="shared" si="203"/>
        <v>7.3999999999999996E-2</v>
      </c>
    </row>
    <row r="91" spans="1:15" x14ac:dyDescent="0.3">
      <c r="A91" s="58" t="s">
        <v>140</v>
      </c>
      <c r="B91" s="59">
        <f>+Historicals!B191</f>
        <v>7.0000000000000007E-2</v>
      </c>
      <c r="C91" s="59">
        <f>+Historicals!C191</f>
        <v>0.17</v>
      </c>
      <c r="D91" s="59">
        <f>+Historicals!D191</f>
        <v>0.18</v>
      </c>
      <c r="E91" s="59">
        <f>+Historicals!E191</f>
        <v>0.23</v>
      </c>
      <c r="F91" s="59">
        <f>+Historicals!F191</f>
        <v>0.23</v>
      </c>
      <c r="G91" s="59">
        <f>+Historicals!G191</f>
        <v>0.08</v>
      </c>
      <c r="H91" s="59">
        <f>+Historicals!H191</f>
        <v>0.19</v>
      </c>
      <c r="I91" s="59">
        <f>+Historicals!I191</f>
        <v>-0.21</v>
      </c>
      <c r="J91" s="64">
        <v>7.3999999999999996E-2</v>
      </c>
      <c r="K91" s="64">
        <f t="shared" ref="K91:K92" si="204">+J91</f>
        <v>7.3999999999999996E-2</v>
      </c>
      <c r="L91" s="64">
        <f t="shared" ref="L91:L92" si="205">+K91</f>
        <v>7.3999999999999996E-2</v>
      </c>
      <c r="M91" s="64">
        <f t="shared" ref="M91:M92" si="206">+L91</f>
        <v>7.3999999999999996E-2</v>
      </c>
      <c r="N91" s="64">
        <f t="shared" ref="N91:N92" si="207">+M91</f>
        <v>7.3999999999999996E-2</v>
      </c>
      <c r="O91" s="65" t="s">
        <v>198</v>
      </c>
    </row>
    <row r="92" spans="1:15" x14ac:dyDescent="0.3">
      <c r="A92" s="58" t="s">
        <v>141</v>
      </c>
      <c r="B92" s="59" t="str">
        <f t="shared" ref="B92:H92" si="208">+IFERROR(B90-B91,"nm")</f>
        <v>nm</v>
      </c>
      <c r="C92" s="59">
        <f t="shared" si="208"/>
        <v>-2.9459459459459575E-2</v>
      </c>
      <c r="D92" s="59">
        <f t="shared" si="208"/>
        <v>-5.3933649289099439E-2</v>
      </c>
      <c r="E92" s="59">
        <f t="shared" si="208"/>
        <v>3.9360269360269456E-2</v>
      </c>
      <c r="F92" s="59">
        <f t="shared" si="208"/>
        <v>-3.1061007957559755E-2</v>
      </c>
      <c r="G92" s="59">
        <f t="shared" si="208"/>
        <v>-3.1327433628318621E-2</v>
      </c>
      <c r="H92" s="59">
        <f t="shared" si="208"/>
        <v>4.7869198312236294E-2</v>
      </c>
      <c r="I92" s="59">
        <f>+IFERROR(I90-I91,"nm")</f>
        <v>3.5734980826587132E-2</v>
      </c>
      <c r="J92" s="64">
        <v>0</v>
      </c>
      <c r="K92" s="64">
        <f t="shared" si="204"/>
        <v>0</v>
      </c>
      <c r="L92" s="64">
        <f t="shared" si="205"/>
        <v>0</v>
      </c>
      <c r="M92" s="64">
        <f t="shared" si="206"/>
        <v>0</v>
      </c>
      <c r="N92" s="64">
        <f t="shared" si="207"/>
        <v>0</v>
      </c>
    </row>
    <row r="93" spans="1:15" x14ac:dyDescent="0.3">
      <c r="A93" s="60" t="s">
        <v>115</v>
      </c>
      <c r="B93" s="61">
        <f>+Historicals!B120</f>
        <v>126</v>
      </c>
      <c r="C93" s="61">
        <f>+Historicals!C120</f>
        <v>131</v>
      </c>
      <c r="D93" s="61">
        <f>+Historicals!D120</f>
        <v>129</v>
      </c>
      <c r="E93" s="61">
        <f>+Historicals!E120</f>
        <v>130</v>
      </c>
      <c r="F93" s="61">
        <f>+Historicals!F120</f>
        <v>138</v>
      </c>
      <c r="G93" s="61">
        <f>+Historicals!G120</f>
        <v>148</v>
      </c>
      <c r="H93" s="61">
        <f>+Historicals!H120</f>
        <v>195</v>
      </c>
      <c r="I93" s="61">
        <f>+Historicals!I120</f>
        <v>193</v>
      </c>
      <c r="J93" s="61">
        <f>+I93*(1+J94)</f>
        <v>202.071</v>
      </c>
      <c r="K93" s="61">
        <f t="shared" ref="K93" si="209">+J93*(1+K94)</f>
        <v>211.56833699999999</v>
      </c>
      <c r="L93" s="61">
        <f t="shared" ref="L93" si="210">+K93*(1+L94)</f>
        <v>221.51204883899996</v>
      </c>
      <c r="M93" s="61">
        <f t="shared" ref="M93" si="211">+L93*(1+M94)</f>
        <v>231.92311513443295</v>
      </c>
      <c r="N93" s="61">
        <f t="shared" ref="N93" si="212">+M93*(1+N94)</f>
        <v>242.82350154575127</v>
      </c>
    </row>
    <row r="94" spans="1:15" x14ac:dyDescent="0.3">
      <c r="A94" s="58" t="s">
        <v>132</v>
      </c>
      <c r="B94" s="59" t="str">
        <f t="shared" ref="B94:I94" si="213">+IFERROR(B93/A93-1,"nm")</f>
        <v>nm</v>
      </c>
      <c r="C94" s="59">
        <f t="shared" si="213"/>
        <v>3.9682539682539764E-2</v>
      </c>
      <c r="D94" s="59">
        <f t="shared" si="213"/>
        <v>-1.5267175572519109E-2</v>
      </c>
      <c r="E94" s="59">
        <f t="shared" si="213"/>
        <v>7.7519379844961378E-3</v>
      </c>
      <c r="F94" s="59">
        <f t="shared" si="213"/>
        <v>6.1538461538461542E-2</v>
      </c>
      <c r="G94" s="59">
        <f t="shared" si="213"/>
        <v>7.2463768115942129E-2</v>
      </c>
      <c r="H94" s="59">
        <f t="shared" si="213"/>
        <v>0.31756756756756754</v>
      </c>
      <c r="I94" s="59">
        <f t="shared" si="213"/>
        <v>-1.025641025641022E-2</v>
      </c>
      <c r="J94" s="59">
        <f>+J95+J96</f>
        <v>4.7E-2</v>
      </c>
      <c r="K94" s="59">
        <f t="shared" ref="K94:N94" si="214">+K95+K96</f>
        <v>4.7E-2</v>
      </c>
      <c r="L94" s="59">
        <f t="shared" si="214"/>
        <v>4.7E-2</v>
      </c>
      <c r="M94" s="59">
        <f t="shared" si="214"/>
        <v>4.7E-2</v>
      </c>
      <c r="N94" s="59">
        <f t="shared" si="214"/>
        <v>4.7E-2</v>
      </c>
    </row>
    <row r="95" spans="1:15" x14ac:dyDescent="0.3">
      <c r="A95" s="58" t="s">
        <v>140</v>
      </c>
      <c r="B95" s="59">
        <f>+Historicals!B192</f>
        <v>0.01</v>
      </c>
      <c r="C95" s="59">
        <f>+Historicals!C192</f>
        <v>7.0000000000000007E-2</v>
      </c>
      <c r="D95" s="59">
        <f>+Historicals!D192</f>
        <v>0.03</v>
      </c>
      <c r="E95" s="59">
        <f>+Historicals!E192</f>
        <v>-0.01</v>
      </c>
      <c r="F95" s="59">
        <f>+Historicals!F192</f>
        <v>0.08</v>
      </c>
      <c r="G95" s="59">
        <f>+Historicals!G192</f>
        <v>0.11</v>
      </c>
      <c r="H95" s="59">
        <f>+Historicals!H192</f>
        <v>0.26</v>
      </c>
      <c r="I95" s="59">
        <f>+Historicals!I192</f>
        <v>-0.06</v>
      </c>
      <c r="J95" s="64">
        <v>4.7E-2</v>
      </c>
      <c r="K95" s="64">
        <f t="shared" ref="K95:K96" si="215">+J95</f>
        <v>4.7E-2</v>
      </c>
      <c r="L95" s="64">
        <f t="shared" ref="L95:L96" si="216">+K95</f>
        <v>4.7E-2</v>
      </c>
      <c r="M95" s="64">
        <f t="shared" ref="M95:M96" si="217">+L95</f>
        <v>4.7E-2</v>
      </c>
      <c r="N95" s="64">
        <f t="shared" ref="N95:N96" si="218">+M95</f>
        <v>4.7E-2</v>
      </c>
      <c r="O95" s="65" t="s">
        <v>198</v>
      </c>
    </row>
    <row r="96" spans="1:15" x14ac:dyDescent="0.3">
      <c r="A96" s="58" t="s">
        <v>141</v>
      </c>
      <c r="B96" s="59" t="str">
        <f t="shared" ref="B96:H96" si="219">+IFERROR(B94-B95,"nm")</f>
        <v>nm</v>
      </c>
      <c r="C96" s="59">
        <f t="shared" si="219"/>
        <v>-3.0317460317460243E-2</v>
      </c>
      <c r="D96" s="59">
        <f t="shared" si="219"/>
        <v>-4.5267175572519108E-2</v>
      </c>
      <c r="E96" s="59">
        <f t="shared" si="219"/>
        <v>1.775193798449614E-2</v>
      </c>
      <c r="F96" s="59">
        <f t="shared" si="219"/>
        <v>-1.846153846153846E-2</v>
      </c>
      <c r="G96" s="59">
        <f t="shared" si="219"/>
        <v>-3.7536231884057872E-2</v>
      </c>
      <c r="H96" s="59">
        <f t="shared" si="219"/>
        <v>5.7567567567567535E-2</v>
      </c>
      <c r="I96" s="59">
        <f>+IFERROR(I94-I95,"nm")</f>
        <v>4.9743589743589778E-2</v>
      </c>
      <c r="J96" s="64">
        <v>0</v>
      </c>
      <c r="K96" s="64">
        <f t="shared" si="215"/>
        <v>0</v>
      </c>
      <c r="L96" s="64">
        <f t="shared" si="216"/>
        <v>0</v>
      </c>
      <c r="M96" s="64">
        <f t="shared" si="217"/>
        <v>0</v>
      </c>
      <c r="N96" s="64">
        <f t="shared" si="218"/>
        <v>0</v>
      </c>
    </row>
    <row r="97" spans="1:14" x14ac:dyDescent="0.3">
      <c r="A97" s="55" t="s">
        <v>133</v>
      </c>
      <c r="B97" s="62">
        <f t="shared" ref="B97:H97" si="220">+B104+B100</f>
        <v>1039</v>
      </c>
      <c r="C97" s="62">
        <f t="shared" si="220"/>
        <v>1420</v>
      </c>
      <c r="D97" s="62">
        <f t="shared" si="220"/>
        <v>1561</v>
      </c>
      <c r="E97" s="62">
        <f t="shared" si="220"/>
        <v>1863</v>
      </c>
      <c r="F97" s="62">
        <f t="shared" si="220"/>
        <v>2426</v>
      </c>
      <c r="G97" s="62">
        <f t="shared" si="220"/>
        <v>2534</v>
      </c>
      <c r="H97" s="62">
        <f t="shared" si="220"/>
        <v>3289</v>
      </c>
      <c r="I97" s="62">
        <f>+I104+I100</f>
        <v>2406</v>
      </c>
      <c r="J97" s="62">
        <f>+J83*J99</f>
        <v>2672.1676154763477</v>
      </c>
      <c r="K97" s="62">
        <f t="shared" ref="K97:N97" si="221">+K83*K99</f>
        <v>2969.2664510197428</v>
      </c>
      <c r="L97" s="62">
        <f t="shared" si="221"/>
        <v>3301.007172122565</v>
      </c>
      <c r="M97" s="62">
        <f t="shared" si="221"/>
        <v>3671.5544645910741</v>
      </c>
      <c r="N97" s="62">
        <f t="shared" si="221"/>
        <v>4085.5832539889634</v>
      </c>
    </row>
    <row r="98" spans="1:14" x14ac:dyDescent="0.3">
      <c r="A98" s="56" t="s">
        <v>132</v>
      </c>
      <c r="B98" s="59" t="str">
        <f t="shared" ref="B98:I98" si="222">+IFERROR(B97/A97-1,"nm")</f>
        <v>nm</v>
      </c>
      <c r="C98" s="59">
        <f t="shared" si="222"/>
        <v>0.36669874879692022</v>
      </c>
      <c r="D98" s="59">
        <f t="shared" si="222"/>
        <v>9.9295774647887303E-2</v>
      </c>
      <c r="E98" s="59">
        <f t="shared" si="222"/>
        <v>0.19346572709801402</v>
      </c>
      <c r="F98" s="59">
        <f t="shared" si="222"/>
        <v>0.3022007514761138</v>
      </c>
      <c r="G98" s="59">
        <f t="shared" si="222"/>
        <v>4.4517724649629109E-2</v>
      </c>
      <c r="H98" s="59">
        <f t="shared" si="222"/>
        <v>0.29794790844514596</v>
      </c>
      <c r="I98" s="59">
        <f t="shared" si="222"/>
        <v>-0.26847065977500761</v>
      </c>
      <c r="J98" s="59">
        <f t="shared" ref="J98" si="223">+IFERROR(J97/I97-1,"nm")</f>
        <v>0.11062660659864831</v>
      </c>
      <c r="K98" s="59">
        <f t="shared" ref="K98" si="224">+IFERROR(K97/J97-1,"nm")</f>
        <v>0.11118270943135933</v>
      </c>
      <c r="L98" s="59">
        <f t="shared" ref="L98" si="225">+IFERROR(L97/K97-1,"nm")</f>
        <v>0.11172480697678422</v>
      </c>
      <c r="M98" s="59">
        <f t="shared" ref="M98" si="226">+IFERROR(M97/L97-1,"nm")</f>
        <v>0.1122527983573709</v>
      </c>
      <c r="N98" s="59">
        <f t="shared" ref="N98" si="227">+IFERROR(N97/M97-1,"nm")</f>
        <v>0.11276662062100251</v>
      </c>
    </row>
    <row r="99" spans="1:14" x14ac:dyDescent="0.3">
      <c r="A99" s="56" t="s">
        <v>134</v>
      </c>
      <c r="B99" s="59">
        <f t="shared" ref="B99:H99" si="228">+IFERROR(B97/B$83,"nm")</f>
        <v>0.33876752526899251</v>
      </c>
      <c r="C99" s="59">
        <f t="shared" si="228"/>
        <v>0.37516512549537651</v>
      </c>
      <c r="D99" s="59">
        <f t="shared" si="228"/>
        <v>0.36842105263157893</v>
      </c>
      <c r="E99" s="59">
        <f t="shared" si="228"/>
        <v>0.36287495130502534</v>
      </c>
      <c r="F99" s="59">
        <f t="shared" si="228"/>
        <v>0.3907860824742268</v>
      </c>
      <c r="G99" s="59">
        <f t="shared" si="228"/>
        <v>0.37939811349004343</v>
      </c>
      <c r="H99" s="59">
        <f t="shared" si="228"/>
        <v>0.39674306393244874</v>
      </c>
      <c r="I99" s="59">
        <f>+IFERROR(I97/I$83,"nm")</f>
        <v>0.31880217304889358</v>
      </c>
      <c r="J99" s="64">
        <f>+I99</f>
        <v>0.31880217304889358</v>
      </c>
      <c r="K99" s="64">
        <f t="shared" ref="K99" si="229">+J99</f>
        <v>0.31880217304889358</v>
      </c>
      <c r="L99" s="64">
        <f t="shared" ref="L99" si="230">+K99</f>
        <v>0.31880217304889358</v>
      </c>
      <c r="M99" s="64">
        <f t="shared" ref="M99" si="231">+L99</f>
        <v>0.31880217304889358</v>
      </c>
      <c r="N99" s="64">
        <f t="shared" ref="N99" si="232">+M99</f>
        <v>0.31880217304889358</v>
      </c>
    </row>
    <row r="100" spans="1:14" x14ac:dyDescent="0.3">
      <c r="A100" s="55" t="s">
        <v>135</v>
      </c>
      <c r="B100" s="55">
        <f>+Historicals!B171</f>
        <v>46</v>
      </c>
      <c r="C100" s="55">
        <f>+Historicals!C171</f>
        <v>48</v>
      </c>
      <c r="D100" s="55">
        <f>+Historicals!D171</f>
        <v>54</v>
      </c>
      <c r="E100" s="55">
        <f>+Historicals!E171</f>
        <v>56</v>
      </c>
      <c r="F100" s="55">
        <f>+Historicals!F171</f>
        <v>50</v>
      </c>
      <c r="G100" s="55">
        <f>+Historicals!G171</f>
        <v>44</v>
      </c>
      <c r="H100" s="55">
        <f>+Historicals!H171</f>
        <v>46</v>
      </c>
      <c r="I100" s="55">
        <f>+Historicals!I171</f>
        <v>41</v>
      </c>
      <c r="J100" s="62">
        <f>+J103*J110</f>
        <v>45.535690870544585</v>
      </c>
      <c r="K100" s="62">
        <f>+K103*K110</f>
        <v>50.598472357360542</v>
      </c>
      <c r="L100" s="62">
        <f>+L103*L110</f>
        <v>56.251576914806805</v>
      </c>
      <c r="M100" s="62">
        <f>+M103*M110</f>
        <v>62.56597383550875</v>
      </c>
      <c r="N100" s="62">
        <f>+N103*N110</f>
        <v>69.621327270801132</v>
      </c>
    </row>
    <row r="101" spans="1:14" x14ac:dyDescent="0.3">
      <c r="A101" s="56" t="s">
        <v>132</v>
      </c>
      <c r="B101" s="59" t="str">
        <f t="shared" ref="B101:I101" si="233">+IFERROR(B100/A100-1,"nm")</f>
        <v>nm</v>
      </c>
      <c r="C101" s="59">
        <f t="shared" si="233"/>
        <v>4.3478260869565188E-2</v>
      </c>
      <c r="D101" s="59">
        <f t="shared" si="233"/>
        <v>0.125</v>
      </c>
      <c r="E101" s="59">
        <f t="shared" si="233"/>
        <v>3.7037037037036979E-2</v>
      </c>
      <c r="F101" s="59">
        <f t="shared" si="233"/>
        <v>-0.1071428571428571</v>
      </c>
      <c r="G101" s="59">
        <f t="shared" si="233"/>
        <v>-0.12</v>
      </c>
      <c r="H101" s="59">
        <f t="shared" si="233"/>
        <v>4.5454545454545414E-2</v>
      </c>
      <c r="I101" s="59">
        <f t="shared" si="233"/>
        <v>-0.10869565217391308</v>
      </c>
      <c r="J101" s="59">
        <f t="shared" ref="J101" si="234">+IFERROR(J100/I100-1,"nm")</f>
        <v>0.11062660659864831</v>
      </c>
      <c r="K101" s="59">
        <f t="shared" ref="K101" si="235">+IFERROR(K100/J100-1,"nm")</f>
        <v>0.11118270943135933</v>
      </c>
      <c r="L101" s="59">
        <f t="shared" ref="L101" si="236">+IFERROR(L100/K100-1,"nm")</f>
        <v>0.11172480697678422</v>
      </c>
      <c r="M101" s="59">
        <f t="shared" ref="M101" si="237">+IFERROR(M100/L100-1,"nm")</f>
        <v>0.1122527983573709</v>
      </c>
      <c r="N101" s="59">
        <f t="shared" ref="N101" si="238">+IFERROR(N100/M100-1,"nm")</f>
        <v>0.11276662062100251</v>
      </c>
    </row>
    <row r="102" spans="1:14" x14ac:dyDescent="0.3">
      <c r="A102" s="56" t="s">
        <v>136</v>
      </c>
      <c r="B102" s="59">
        <f t="shared" ref="B102:H102" si="239">+IFERROR(B100/B$83,"nm")</f>
        <v>1.4998369742419302E-2</v>
      </c>
      <c r="C102" s="59">
        <f t="shared" si="239"/>
        <v>1.2681638044914135E-2</v>
      </c>
      <c r="D102" s="59">
        <f t="shared" si="239"/>
        <v>1.2744866650932263E-2</v>
      </c>
      <c r="E102" s="59">
        <f t="shared" si="239"/>
        <v>1.090767432800935E-2</v>
      </c>
      <c r="F102" s="59">
        <f t="shared" si="239"/>
        <v>8.0541237113402053E-3</v>
      </c>
      <c r="G102" s="59">
        <f t="shared" si="239"/>
        <v>6.5878125467884411E-3</v>
      </c>
      <c r="H102" s="59">
        <f t="shared" si="239"/>
        <v>5.5488540410132689E-3</v>
      </c>
      <c r="I102" s="59">
        <f>+IFERROR(I100/I$83,"nm")</f>
        <v>5.4326222340002651E-3</v>
      </c>
      <c r="J102" s="59">
        <f t="shared" ref="J102:N102" si="240">+IFERROR(J100/J$21,"nm")</f>
        <v>2.3540603407074981E-3</v>
      </c>
      <c r="K102" s="59">
        <f t="shared" si="240"/>
        <v>2.4809824987434897E-3</v>
      </c>
      <c r="L102" s="59">
        <f t="shared" si="240"/>
        <v>2.6151641221515915E-3</v>
      </c>
      <c r="M102" s="59">
        <f t="shared" si="240"/>
        <v>2.7570615180034339E-3</v>
      </c>
      <c r="N102" s="59">
        <f t="shared" si="240"/>
        <v>2.9071583690536635E-3</v>
      </c>
    </row>
    <row r="103" spans="1:14" x14ac:dyDescent="0.3">
      <c r="A103" s="56" t="s">
        <v>144</v>
      </c>
      <c r="B103" s="59">
        <f>+IFERROR(B100/B110,"nm")</f>
        <v>0.18110236220472442</v>
      </c>
      <c r="C103" s="59">
        <f t="shared" ref="C103:I103" si="241">+IFERROR(C100/C110,"nm")</f>
        <v>0.20512820512820512</v>
      </c>
      <c r="D103" s="59">
        <f t="shared" si="241"/>
        <v>0.24</v>
      </c>
      <c r="E103" s="59">
        <f t="shared" si="241"/>
        <v>0.21875</v>
      </c>
      <c r="F103" s="59">
        <f t="shared" si="241"/>
        <v>0.2109704641350211</v>
      </c>
      <c r="G103" s="59">
        <f t="shared" si="241"/>
        <v>0.20560747663551401</v>
      </c>
      <c r="H103" s="59">
        <f t="shared" si="241"/>
        <v>0.15972222222222221</v>
      </c>
      <c r="I103" s="59">
        <f t="shared" si="241"/>
        <v>0.13531353135313531</v>
      </c>
      <c r="J103" s="64">
        <f>+I103</f>
        <v>0.13531353135313531</v>
      </c>
      <c r="K103" s="64">
        <f t="shared" ref="K103" si="242">+J103</f>
        <v>0.13531353135313531</v>
      </c>
      <c r="L103" s="64">
        <f t="shared" ref="L103" si="243">+K103</f>
        <v>0.13531353135313531</v>
      </c>
      <c r="M103" s="64">
        <f t="shared" ref="M103" si="244">+L103</f>
        <v>0.13531353135313531</v>
      </c>
      <c r="N103" s="64">
        <f t="shared" ref="N103" si="245">+M103</f>
        <v>0.13531353135313531</v>
      </c>
    </row>
    <row r="104" spans="1:14" x14ac:dyDescent="0.3">
      <c r="A104" s="55" t="s">
        <v>137</v>
      </c>
      <c r="B104" s="55">
        <f>+Historicals!B138</f>
        <v>993</v>
      </c>
      <c r="C104" s="55">
        <f>+Historicals!C138</f>
        <v>1372</v>
      </c>
      <c r="D104" s="55">
        <f>+Historicals!D138</f>
        <v>1507</v>
      </c>
      <c r="E104" s="55">
        <f>+Historicals!E138</f>
        <v>1807</v>
      </c>
      <c r="F104" s="55">
        <f>+Historicals!F138</f>
        <v>2376</v>
      </c>
      <c r="G104" s="55">
        <f>+Historicals!G138</f>
        <v>2490</v>
      </c>
      <c r="H104" s="55">
        <f>+Historicals!H138</f>
        <v>3243</v>
      </c>
      <c r="I104" s="55">
        <f>+Historicals!I138</f>
        <v>2365</v>
      </c>
      <c r="J104" s="55">
        <f>+J97-J100</f>
        <v>2626.6319246058033</v>
      </c>
      <c r="K104" s="55">
        <f t="shared" ref="K104:N104" si="246">+K97-K100</f>
        <v>2918.6679786623822</v>
      </c>
      <c r="L104" s="55">
        <f t="shared" si="246"/>
        <v>3244.7555952077582</v>
      </c>
      <c r="M104" s="55">
        <f t="shared" si="246"/>
        <v>3608.9884907555652</v>
      </c>
      <c r="N104" s="55">
        <f t="shared" si="246"/>
        <v>4015.9619267181624</v>
      </c>
    </row>
    <row r="105" spans="1:14" x14ac:dyDescent="0.3">
      <c r="A105" s="56" t="s">
        <v>132</v>
      </c>
      <c r="B105" s="59" t="str">
        <f t="shared" ref="B105:I105" si="247">+IFERROR(B104/A104-1,"nm")</f>
        <v>nm</v>
      </c>
      <c r="C105" s="59">
        <f t="shared" si="247"/>
        <v>0.38167170191339372</v>
      </c>
      <c r="D105" s="59">
        <f t="shared" si="247"/>
        <v>9.8396501457725938E-2</v>
      </c>
      <c r="E105" s="59">
        <f t="shared" si="247"/>
        <v>0.19907100199071004</v>
      </c>
      <c r="F105" s="59">
        <f t="shared" si="247"/>
        <v>0.31488655229662421</v>
      </c>
      <c r="G105" s="59">
        <f t="shared" si="247"/>
        <v>4.7979797979798011E-2</v>
      </c>
      <c r="H105" s="59">
        <f t="shared" si="247"/>
        <v>0.30240963855421676</v>
      </c>
      <c r="I105" s="59">
        <f t="shared" si="247"/>
        <v>-0.27073697193956214</v>
      </c>
      <c r="J105" s="59">
        <f t="shared" ref="J105" si="248">+IFERROR(J104/I104-1,"nm")</f>
        <v>0.11062660659864831</v>
      </c>
      <c r="K105" s="59">
        <f t="shared" ref="K105" si="249">+IFERROR(K104/J104-1,"nm")</f>
        <v>0.11118270943135933</v>
      </c>
      <c r="L105" s="59">
        <f t="shared" ref="L105" si="250">+IFERROR(L104/K104-1,"nm")</f>
        <v>0.11172480697678444</v>
      </c>
      <c r="M105" s="59">
        <f t="shared" ref="M105" si="251">+IFERROR(M104/L104-1,"nm")</f>
        <v>0.11225279835737068</v>
      </c>
      <c r="N105" s="59">
        <f t="shared" ref="N105" si="252">+IFERROR(N104/M104-1,"nm")</f>
        <v>0.11276662062100251</v>
      </c>
    </row>
    <row r="106" spans="1:14" x14ac:dyDescent="0.3">
      <c r="A106" s="56" t="s">
        <v>134</v>
      </c>
      <c r="B106" s="59">
        <f t="shared" ref="B106:H106" si="253">+IFERROR(B104/B$83,"nm")</f>
        <v>0.3237691555265732</v>
      </c>
      <c r="C106" s="59">
        <f t="shared" si="253"/>
        <v>0.36248348745046233</v>
      </c>
      <c r="D106" s="59">
        <f t="shared" si="253"/>
        <v>0.35567618598064671</v>
      </c>
      <c r="E106" s="59">
        <f t="shared" si="253"/>
        <v>0.35196727697701596</v>
      </c>
      <c r="F106" s="59">
        <f t="shared" si="253"/>
        <v>0.38273195876288657</v>
      </c>
      <c r="G106" s="59">
        <f t="shared" si="253"/>
        <v>0.37281030094325496</v>
      </c>
      <c r="H106" s="59">
        <f t="shared" si="253"/>
        <v>0.39119420989143544</v>
      </c>
      <c r="I106" s="59">
        <f>+IFERROR(I104/I$83,"nm")</f>
        <v>0.31336955081489332</v>
      </c>
      <c r="J106" s="59">
        <f t="shared" ref="J106:N106" si="254">+IFERROR(J104/J$21,"nm")</f>
        <v>0.13578909038471298</v>
      </c>
      <c r="K106" s="59">
        <f t="shared" si="254"/>
        <v>0.14311033193971592</v>
      </c>
      <c r="L106" s="59">
        <f t="shared" si="254"/>
        <v>0.15085032070459792</v>
      </c>
      <c r="M106" s="59">
        <f t="shared" si="254"/>
        <v>0.15903537780678342</v>
      </c>
      <c r="N106" s="59">
        <f t="shared" si="254"/>
        <v>0.1676934034832174</v>
      </c>
    </row>
    <row r="107" spans="1:14" x14ac:dyDescent="0.3">
      <c r="A107" s="55" t="s">
        <v>138</v>
      </c>
      <c r="B107" s="55">
        <f>+Historicals!B160</f>
        <v>69</v>
      </c>
      <c r="C107" s="55">
        <f>+Historicals!C160</f>
        <v>44</v>
      </c>
      <c r="D107" s="55">
        <f>+Historicals!D160</f>
        <v>51</v>
      </c>
      <c r="E107" s="55">
        <f>+Historicals!E160</f>
        <v>76</v>
      </c>
      <c r="F107" s="55">
        <f>+Historicals!F160</f>
        <v>49</v>
      </c>
      <c r="G107" s="55">
        <f>+Historicals!G160</f>
        <v>28</v>
      </c>
      <c r="H107" s="55">
        <f>+Historicals!H160</f>
        <v>94</v>
      </c>
      <c r="I107" s="55">
        <f>+Historicals!I160</f>
        <v>78</v>
      </c>
      <c r="J107" s="62">
        <f>+J83*J109</f>
        <v>86.628875314694568</v>
      </c>
      <c r="K107" s="62">
        <f t="shared" ref="K107:N107" si="255">+K83*K109</f>
        <v>96.260508387173701</v>
      </c>
      <c r="L107" s="62">
        <f t="shared" si="255"/>
        <v>107.01519510621783</v>
      </c>
      <c r="M107" s="62">
        <f t="shared" si="255"/>
        <v>119.02795022365079</v>
      </c>
      <c r="N107" s="62">
        <f t="shared" si="255"/>
        <v>132.45032992981677</v>
      </c>
    </row>
    <row r="108" spans="1:14" x14ac:dyDescent="0.3">
      <c r="A108" s="56" t="s">
        <v>132</v>
      </c>
      <c r="B108" s="59" t="str">
        <f t="shared" ref="B108:I108" si="256">+IFERROR(B107/A107-1,"nm")</f>
        <v>nm</v>
      </c>
      <c r="C108" s="59">
        <f t="shared" si="256"/>
        <v>-0.3623188405797102</v>
      </c>
      <c r="D108" s="59">
        <f t="shared" si="256"/>
        <v>0.15909090909090917</v>
      </c>
      <c r="E108" s="59">
        <f t="shared" si="256"/>
        <v>0.49019607843137258</v>
      </c>
      <c r="F108" s="59">
        <f t="shared" si="256"/>
        <v>-0.35526315789473684</v>
      </c>
      <c r="G108" s="59">
        <f t="shared" si="256"/>
        <v>-0.4285714285714286</v>
      </c>
      <c r="H108" s="59">
        <f t="shared" si="256"/>
        <v>2.3571428571428572</v>
      </c>
      <c r="I108" s="59">
        <f t="shared" si="256"/>
        <v>-0.17021276595744683</v>
      </c>
      <c r="J108" s="59">
        <f t="shared" ref="J108" si="257">+IFERROR(J107/I107-1,"nm")</f>
        <v>0.11062660659864831</v>
      </c>
      <c r="K108" s="59">
        <f t="shared" ref="K108" si="258">+IFERROR(K107/J107-1,"nm")</f>
        <v>0.11118270943135911</v>
      </c>
      <c r="L108" s="59">
        <f t="shared" ref="L108" si="259">+IFERROR(L107/K107-1,"nm")</f>
        <v>0.11172480697678444</v>
      </c>
      <c r="M108" s="59">
        <f t="shared" ref="M108" si="260">+IFERROR(M107/L107-1,"nm")</f>
        <v>0.11225279835737068</v>
      </c>
      <c r="N108" s="59">
        <f t="shared" ref="N108" si="261">+IFERROR(N107/M107-1,"nm")</f>
        <v>0.11276662062100229</v>
      </c>
    </row>
    <row r="109" spans="1:14" x14ac:dyDescent="0.3">
      <c r="A109" s="56" t="s">
        <v>136</v>
      </c>
      <c r="B109" s="59">
        <f t="shared" ref="B109:H109" si="262">+IFERROR(B107/B$83,"nm")</f>
        <v>2.2497554613628953E-2</v>
      </c>
      <c r="C109" s="59">
        <f t="shared" si="262"/>
        <v>1.1624834874504624E-2</v>
      </c>
      <c r="D109" s="59">
        <f t="shared" si="262"/>
        <v>1.2036818503658248E-2</v>
      </c>
      <c r="E109" s="59">
        <f t="shared" si="262"/>
        <v>1.4803272302298403E-2</v>
      </c>
      <c r="F109" s="59">
        <f t="shared" si="262"/>
        <v>7.8930412371134018E-3</v>
      </c>
      <c r="G109" s="59">
        <f t="shared" si="262"/>
        <v>4.1922443479562805E-3</v>
      </c>
      <c r="H109" s="59">
        <f t="shared" si="262"/>
        <v>1.1338962605548853E-2</v>
      </c>
      <c r="I109" s="59">
        <f>+IFERROR(I107/I$83,"nm")</f>
        <v>1.0335232542732211E-2</v>
      </c>
      <c r="J109" s="64">
        <f>+I109</f>
        <v>1.0335232542732211E-2</v>
      </c>
      <c r="K109" s="64">
        <f t="shared" ref="K109" si="263">+J109</f>
        <v>1.0335232542732211E-2</v>
      </c>
      <c r="L109" s="64">
        <f t="shared" ref="L109" si="264">+K109</f>
        <v>1.0335232542732211E-2</v>
      </c>
      <c r="M109" s="64">
        <f t="shared" ref="M109" si="265">+L109</f>
        <v>1.0335232542732211E-2</v>
      </c>
      <c r="N109" s="64">
        <f t="shared" ref="N109" si="266">+M109</f>
        <v>1.0335232542732211E-2</v>
      </c>
    </row>
    <row r="110" spans="1:14" x14ac:dyDescent="0.3">
      <c r="A110" s="55" t="s">
        <v>143</v>
      </c>
      <c r="B110" s="62">
        <f>+Historicals!B149</f>
        <v>254</v>
      </c>
      <c r="C110" s="62">
        <f>+Historicals!C149</f>
        <v>234</v>
      </c>
      <c r="D110" s="62">
        <f>+Historicals!D149</f>
        <v>225</v>
      </c>
      <c r="E110" s="62">
        <f>+Historicals!E149</f>
        <v>256</v>
      </c>
      <c r="F110" s="62">
        <f>+Historicals!F149</f>
        <v>237</v>
      </c>
      <c r="G110" s="62">
        <f>+Historicals!G149</f>
        <v>214</v>
      </c>
      <c r="H110" s="62">
        <f>+Historicals!H149</f>
        <v>288</v>
      </c>
      <c r="I110" s="62">
        <f>+Historicals!I149</f>
        <v>303</v>
      </c>
      <c r="J110" s="62">
        <f>+J83*J112</f>
        <v>336.51986179939047</v>
      </c>
      <c r="K110" s="62">
        <f>+K83*K112</f>
        <v>373.93505181171327</v>
      </c>
      <c r="L110" s="62">
        <f>+L83*L112</f>
        <v>415.71287329723077</v>
      </c>
      <c r="M110" s="62">
        <f>+M83*M112</f>
        <v>462.37780663802806</v>
      </c>
      <c r="N110" s="62">
        <f>+N83*N112</f>
        <v>514.51858934274981</v>
      </c>
    </row>
    <row r="111" spans="1:14" x14ac:dyDescent="0.3">
      <c r="A111" s="56" t="s">
        <v>132</v>
      </c>
      <c r="B111" s="63" t="str">
        <f t="shared" ref="B111" si="267">+IFERROR(B110/A110-1,"nm")</f>
        <v>nm</v>
      </c>
      <c r="C111" s="63">
        <f t="shared" ref="C111" si="268">+IFERROR(C110/B110-1,"nm")</f>
        <v>-7.8740157480314932E-2</v>
      </c>
      <c r="D111" s="63">
        <f t="shared" ref="D111" si="269">+IFERROR(D110/C110-1,"nm")</f>
        <v>-3.8461538461538436E-2</v>
      </c>
      <c r="E111" s="63">
        <f t="shared" ref="E111" si="270">+IFERROR(E110/D110-1,"nm")</f>
        <v>0.13777777777777778</v>
      </c>
      <c r="F111" s="63">
        <f t="shared" ref="F111" si="271">+IFERROR(F110/E110-1,"nm")</f>
        <v>-7.421875E-2</v>
      </c>
      <c r="G111" s="63">
        <f t="shared" ref="G111" si="272">+IFERROR(G110/F110-1,"nm")</f>
        <v>-9.7046413502109741E-2</v>
      </c>
      <c r="H111" s="63">
        <f t="shared" ref="H111" si="273">+IFERROR(H110/G110-1,"nm")</f>
        <v>0.34579439252336441</v>
      </c>
      <c r="I111" s="63">
        <f t="shared" ref="I111" si="274">+IFERROR(I110/H110-1,"nm")</f>
        <v>5.2083333333333259E-2</v>
      </c>
      <c r="J111" s="59">
        <f>+J112+J113</f>
        <v>4.0148403339075128E-2</v>
      </c>
      <c r="K111" s="59">
        <f t="shared" ref="K111:N111" si="275">+K112+K113</f>
        <v>4.0148403339075128E-2</v>
      </c>
      <c r="L111" s="59">
        <f t="shared" si="275"/>
        <v>4.0148403339075128E-2</v>
      </c>
      <c r="M111" s="59">
        <f t="shared" si="275"/>
        <v>4.0148403339075128E-2</v>
      </c>
      <c r="N111" s="59">
        <f t="shared" si="275"/>
        <v>4.0148403339075128E-2</v>
      </c>
    </row>
    <row r="112" spans="1:14" x14ac:dyDescent="0.3">
      <c r="A112" s="56" t="s">
        <v>136</v>
      </c>
      <c r="B112" s="63">
        <f>+IFERROR(B110/B83,"nm")</f>
        <v>8.2817085099445714E-2</v>
      </c>
      <c r="C112" s="63">
        <f t="shared" ref="C112:I112" si="276">+IFERROR(C110/C83,"nm")</f>
        <v>6.1822985468956405E-2</v>
      </c>
      <c r="D112" s="63">
        <f t="shared" si="276"/>
        <v>5.31036110455511E-2</v>
      </c>
      <c r="E112" s="63">
        <f t="shared" si="276"/>
        <v>4.9863654070899883E-2</v>
      </c>
      <c r="F112" s="63">
        <f t="shared" si="276"/>
        <v>3.817654639175258E-2</v>
      </c>
      <c r="G112" s="63">
        <f t="shared" si="276"/>
        <v>3.2040724659380147E-2</v>
      </c>
      <c r="H112" s="63">
        <f t="shared" si="276"/>
        <v>3.4740651387213509E-2</v>
      </c>
      <c r="I112" s="63">
        <f t="shared" si="276"/>
        <v>4.0148403339075128E-2</v>
      </c>
      <c r="J112" s="64">
        <f>+I112</f>
        <v>4.0148403339075128E-2</v>
      </c>
      <c r="K112" s="64">
        <f t="shared" ref="K112" si="277">+J112</f>
        <v>4.0148403339075128E-2</v>
      </c>
      <c r="L112" s="64">
        <f t="shared" ref="L112" si="278">+K112</f>
        <v>4.0148403339075128E-2</v>
      </c>
      <c r="M112" s="64">
        <f t="shared" ref="M112" si="279">+L112</f>
        <v>4.0148403339075128E-2</v>
      </c>
      <c r="N112" s="64">
        <f t="shared" ref="N112" si="280">+M112</f>
        <v>4.0148403339075128E-2</v>
      </c>
    </row>
    <row r="113" spans="1:15" x14ac:dyDescent="0.3">
      <c r="A113" s="57" t="str">
        <f>+Historicals!A121</f>
        <v>Asia Pacific &amp; Latin America</v>
      </c>
      <c r="B113" s="57"/>
      <c r="C113" s="57"/>
      <c r="D113" s="57"/>
      <c r="E113" s="57"/>
      <c r="F113" s="57"/>
      <c r="G113" s="57"/>
      <c r="H113" s="57"/>
      <c r="I113" s="57"/>
      <c r="J113" s="53"/>
      <c r="K113" s="53"/>
      <c r="L113" s="53"/>
      <c r="M113" s="53"/>
      <c r="N113" s="53"/>
    </row>
    <row r="114" spans="1:15" x14ac:dyDescent="0.3">
      <c r="A114" s="55" t="s">
        <v>139</v>
      </c>
      <c r="B114" s="55">
        <f t="shared" ref="B114:H114" si="281">SUM(B116,B120,B124)</f>
        <v>0</v>
      </c>
      <c r="C114" s="55">
        <f t="shared" si="281"/>
        <v>4317</v>
      </c>
      <c r="D114" s="55">
        <f t="shared" si="281"/>
        <v>4737</v>
      </c>
      <c r="E114" s="55">
        <f t="shared" si="281"/>
        <v>5166</v>
      </c>
      <c r="F114" s="55">
        <f t="shared" si="281"/>
        <v>5254</v>
      </c>
      <c r="G114" s="55">
        <f t="shared" si="281"/>
        <v>5028</v>
      </c>
      <c r="H114" s="55">
        <f t="shared" si="281"/>
        <v>5343</v>
      </c>
      <c r="I114" s="55">
        <f>SUM(I116,I120,I124)</f>
        <v>5955</v>
      </c>
      <c r="J114" s="55">
        <f>+SUM(J116+J120+J124)</f>
        <v>6585.9269999999997</v>
      </c>
      <c r="K114" s="55">
        <f t="shared" ref="K114:N114" si="282">+SUM(K116+K120+K124)</f>
        <v>7284.4194870000001</v>
      </c>
      <c r="L114" s="55">
        <f t="shared" si="282"/>
        <v>8057.7517632510016</v>
      </c>
      <c r="M114" s="55">
        <f t="shared" si="282"/>
        <v>8913.9834019125756</v>
      </c>
      <c r="N114" s="55">
        <f t="shared" si="282"/>
        <v>9862.0441342832055</v>
      </c>
    </row>
    <row r="115" spans="1:15" x14ac:dyDescent="0.3">
      <c r="A115" s="58" t="s">
        <v>132</v>
      </c>
      <c r="B115" s="59" t="str">
        <f t="shared" ref="B115:I115" si="283">+IFERROR(B114/A114-1,"nm")</f>
        <v>nm</v>
      </c>
      <c r="C115" s="59" t="str">
        <f t="shared" si="283"/>
        <v>nm</v>
      </c>
      <c r="D115" s="59">
        <f t="shared" si="283"/>
        <v>9.7289784572619942E-2</v>
      </c>
      <c r="E115" s="59">
        <f t="shared" si="283"/>
        <v>9.0563647878403986E-2</v>
      </c>
      <c r="F115" s="59">
        <f t="shared" si="283"/>
        <v>1.7034456058846237E-2</v>
      </c>
      <c r="G115" s="59">
        <f t="shared" si="283"/>
        <v>-4.3014845831747195E-2</v>
      </c>
      <c r="H115" s="59">
        <f t="shared" si="283"/>
        <v>6.2649164677804237E-2</v>
      </c>
      <c r="I115" s="59">
        <f t="shared" si="283"/>
        <v>0.11454239191465465</v>
      </c>
      <c r="J115" s="59">
        <f t="shared" ref="J115" si="284">+IFERROR(J114/I114-1,"nm")</f>
        <v>0.10594911838790932</v>
      </c>
      <c r="K115" s="59">
        <f t="shared" ref="K115" si="285">+IFERROR(K114/J114-1,"nm")</f>
        <v>0.1060583403065356</v>
      </c>
      <c r="L115" s="59">
        <f t="shared" ref="L115" si="286">+IFERROR(L114/K114-1,"nm")</f>
        <v>0.10616251269316845</v>
      </c>
      <c r="M115" s="59">
        <f t="shared" ref="M115" si="287">+IFERROR(M114/L114-1,"nm")</f>
        <v>0.10626185365582863</v>
      </c>
      <c r="N115" s="59">
        <f t="shared" ref="N115" si="288">+IFERROR(N114/M114-1,"nm")</f>
        <v>0.1063565736690979</v>
      </c>
    </row>
    <row r="116" spans="1:15" x14ac:dyDescent="0.3">
      <c r="A116" s="60" t="s">
        <v>113</v>
      </c>
      <c r="B116" s="61">
        <f>+Historicals!B122</f>
        <v>0</v>
      </c>
      <c r="C116" s="61">
        <f>+Historicals!C122</f>
        <v>2930</v>
      </c>
      <c r="D116" s="61">
        <f>+Historicals!D122</f>
        <v>3285</v>
      </c>
      <c r="E116" s="61">
        <f>+Historicals!E122</f>
        <v>3575</v>
      </c>
      <c r="F116" s="61">
        <f>+Historicals!F122</f>
        <v>3622</v>
      </c>
      <c r="G116" s="61">
        <f>+Historicals!G122</f>
        <v>3449</v>
      </c>
      <c r="H116" s="61">
        <f>+Historicals!H122</f>
        <v>3659</v>
      </c>
      <c r="I116" s="61">
        <f>+Historicals!I122</f>
        <v>4111</v>
      </c>
      <c r="J116" s="61">
        <f>+I116*(1+J117)</f>
        <v>4559.0990000000002</v>
      </c>
      <c r="K116" s="61">
        <f t="shared" ref="K116" si="289">+J116*(1+K117)</f>
        <v>5056.0407910000004</v>
      </c>
      <c r="L116" s="61">
        <f t="shared" ref="L116" si="290">+K116*(1+L117)</f>
        <v>5607.1492372190005</v>
      </c>
      <c r="M116" s="61">
        <f t="shared" ref="M116" si="291">+L116*(1+M117)</f>
        <v>6218.328504075871</v>
      </c>
      <c r="N116" s="61">
        <f t="shared" ref="N116" si="292">+M116*(1+N117)</f>
        <v>6896.1263110201407</v>
      </c>
    </row>
    <row r="117" spans="1:15" x14ac:dyDescent="0.3">
      <c r="A117" s="58" t="s">
        <v>132</v>
      </c>
      <c r="B117" s="59" t="str">
        <f t="shared" ref="B117:I117" si="293">+IFERROR(B116/A116-1,"nm")</f>
        <v>nm</v>
      </c>
      <c r="C117" s="59" t="str">
        <f t="shared" si="293"/>
        <v>nm</v>
      </c>
      <c r="D117" s="59">
        <f t="shared" si="293"/>
        <v>0.12116040955631391</v>
      </c>
      <c r="E117" s="59">
        <f t="shared" si="293"/>
        <v>8.8280060882800715E-2</v>
      </c>
      <c r="F117" s="59">
        <f t="shared" si="293"/>
        <v>1.3146853146853044E-2</v>
      </c>
      <c r="G117" s="59">
        <f t="shared" si="293"/>
        <v>-4.7763666482606326E-2</v>
      </c>
      <c r="H117" s="59">
        <f t="shared" si="293"/>
        <v>6.0887213685126174E-2</v>
      </c>
      <c r="I117" s="59">
        <f t="shared" si="293"/>
        <v>0.12353101940420874</v>
      </c>
      <c r="J117" s="59">
        <f>+J118+J119</f>
        <v>0.109</v>
      </c>
      <c r="K117" s="59">
        <f t="shared" ref="K117:N117" si="294">+K118+K119</f>
        <v>0.109</v>
      </c>
      <c r="L117" s="59">
        <f t="shared" si="294"/>
        <v>0.109</v>
      </c>
      <c r="M117" s="59">
        <f t="shared" si="294"/>
        <v>0.109</v>
      </c>
      <c r="N117" s="59">
        <f t="shared" si="294"/>
        <v>0.109</v>
      </c>
    </row>
    <row r="118" spans="1:15" x14ac:dyDescent="0.3">
      <c r="A118" s="58" t="s">
        <v>140</v>
      </c>
      <c r="B118" s="59">
        <f>+Historicals!B194</f>
        <v>0</v>
      </c>
      <c r="C118" s="59">
        <f>+Historicals!C194</f>
        <v>0</v>
      </c>
      <c r="D118" s="59">
        <f>+Historicals!D194</f>
        <v>0.16</v>
      </c>
      <c r="E118" s="59">
        <f>+Historicals!E194</f>
        <v>0.09</v>
      </c>
      <c r="F118" s="59">
        <f>+Historicals!F194</f>
        <v>0.12</v>
      </c>
      <c r="G118" s="59">
        <f>+Historicals!G194</f>
        <v>0</v>
      </c>
      <c r="H118" s="59">
        <f>+Historicals!H194</f>
        <v>0.08</v>
      </c>
      <c r="I118" s="59">
        <f>+Historicals!I194</f>
        <v>0.17</v>
      </c>
      <c r="J118" s="64">
        <v>0.109</v>
      </c>
      <c r="K118" s="64">
        <f t="shared" ref="K118:K119" si="295">+J118</f>
        <v>0.109</v>
      </c>
      <c r="L118" s="64">
        <f t="shared" ref="L118:L119" si="296">+K118</f>
        <v>0.109</v>
      </c>
      <c r="M118" s="64">
        <f t="shared" ref="M118:M119" si="297">+L118</f>
        <v>0.109</v>
      </c>
      <c r="N118" s="64">
        <f t="shared" ref="N118:N119" si="298">+M118</f>
        <v>0.109</v>
      </c>
      <c r="O118" s="65" t="s">
        <v>195</v>
      </c>
    </row>
    <row r="119" spans="1:15" x14ac:dyDescent="0.3">
      <c r="A119" s="58" t="s">
        <v>141</v>
      </c>
      <c r="B119" s="59" t="str">
        <f t="shared" ref="B119:H119" si="299">+IFERROR(B117-B118,"nm")</f>
        <v>nm</v>
      </c>
      <c r="C119" s="59" t="str">
        <f t="shared" si="299"/>
        <v>nm</v>
      </c>
      <c r="D119" s="59">
        <f t="shared" si="299"/>
        <v>-3.8839590443686095E-2</v>
      </c>
      <c r="E119" s="59">
        <f t="shared" si="299"/>
        <v>-1.7199391171992817E-3</v>
      </c>
      <c r="F119" s="59">
        <f t="shared" si="299"/>
        <v>-0.10685314685314695</v>
      </c>
      <c r="G119" s="59">
        <f t="shared" si="299"/>
        <v>-4.7763666482606326E-2</v>
      </c>
      <c r="H119" s="59">
        <f t="shared" si="299"/>
        <v>-1.9112786314873828E-2</v>
      </c>
      <c r="I119" s="59">
        <f>+IFERROR(I117-I118,"nm")</f>
        <v>-4.646898059579127E-2</v>
      </c>
      <c r="J119" s="64">
        <v>0</v>
      </c>
      <c r="K119" s="64">
        <f t="shared" si="295"/>
        <v>0</v>
      </c>
      <c r="L119" s="64">
        <f t="shared" si="296"/>
        <v>0</v>
      </c>
      <c r="M119" s="64">
        <f t="shared" si="297"/>
        <v>0</v>
      </c>
      <c r="N119" s="64">
        <f t="shared" si="298"/>
        <v>0</v>
      </c>
    </row>
    <row r="120" spans="1:15" x14ac:dyDescent="0.3">
      <c r="A120" s="60" t="s">
        <v>114</v>
      </c>
      <c r="B120" s="61">
        <f>+Historicals!B123</f>
        <v>0</v>
      </c>
      <c r="C120" s="61">
        <f>+Historicals!C123</f>
        <v>1117</v>
      </c>
      <c r="D120" s="61">
        <f>+Historicals!D123</f>
        <v>1185</v>
      </c>
      <c r="E120" s="61">
        <f>+Historicals!E123</f>
        <v>1347</v>
      </c>
      <c r="F120" s="61">
        <f>+Historicals!F123</f>
        <v>1395</v>
      </c>
      <c r="G120" s="61">
        <f>+Historicals!G123</f>
        <v>1365</v>
      </c>
      <c r="H120" s="61">
        <f>+Historicals!H123</f>
        <v>1494</v>
      </c>
      <c r="I120" s="61">
        <f>+Historicals!I123</f>
        <v>1610</v>
      </c>
      <c r="J120" s="61">
        <f>+I120*(1+J121)</f>
        <v>1780.66</v>
      </c>
      <c r="K120" s="61">
        <f t="shared" ref="K120" si="300">+J120*(1+K121)</f>
        <v>1969.4099600000002</v>
      </c>
      <c r="L120" s="61">
        <f t="shared" ref="L120" si="301">+K120*(1+L121)</f>
        <v>2178.1674157600005</v>
      </c>
      <c r="M120" s="61">
        <f t="shared" ref="M120" si="302">+L120*(1+M121)</f>
        <v>2409.0531618305608</v>
      </c>
      <c r="N120" s="61">
        <f t="shared" ref="N120" si="303">+M120*(1+N121)</f>
        <v>2664.4127969846004</v>
      </c>
    </row>
    <row r="121" spans="1:15" x14ac:dyDescent="0.3">
      <c r="A121" s="58" t="s">
        <v>132</v>
      </c>
      <c r="B121" s="59" t="str">
        <f t="shared" ref="B121:I121" si="304">+IFERROR(B120/A120-1,"nm")</f>
        <v>nm</v>
      </c>
      <c r="C121" s="59" t="str">
        <f t="shared" si="304"/>
        <v>nm</v>
      </c>
      <c r="D121" s="59">
        <f t="shared" si="304"/>
        <v>6.0877350044762801E-2</v>
      </c>
      <c r="E121" s="59">
        <f t="shared" si="304"/>
        <v>0.13670886075949373</v>
      </c>
      <c r="F121" s="59">
        <f t="shared" si="304"/>
        <v>3.563474387527843E-2</v>
      </c>
      <c r="G121" s="59">
        <f t="shared" si="304"/>
        <v>-2.1505376344086002E-2</v>
      </c>
      <c r="H121" s="59">
        <f t="shared" si="304"/>
        <v>9.4505494505494614E-2</v>
      </c>
      <c r="I121" s="59">
        <f t="shared" si="304"/>
        <v>7.7643908969210251E-2</v>
      </c>
      <c r="J121" s="59">
        <f>+J122+J123</f>
        <v>0.106</v>
      </c>
      <c r="K121" s="59">
        <f t="shared" ref="K121:N121" si="305">+K122+K123</f>
        <v>0.106</v>
      </c>
      <c r="L121" s="59">
        <f t="shared" si="305"/>
        <v>0.106</v>
      </c>
      <c r="M121" s="59">
        <f t="shared" si="305"/>
        <v>0.106</v>
      </c>
      <c r="N121" s="59">
        <f t="shared" si="305"/>
        <v>0.106</v>
      </c>
    </row>
    <row r="122" spans="1:15" x14ac:dyDescent="0.3">
      <c r="A122" s="58" t="s">
        <v>140</v>
      </c>
      <c r="B122" s="59">
        <f>+Historicals!B195</f>
        <v>0</v>
      </c>
      <c r="C122" s="59">
        <f>+Historicals!C195</f>
        <v>0</v>
      </c>
      <c r="D122" s="59">
        <f>+Historicals!D195</f>
        <v>0.09</v>
      </c>
      <c r="E122" s="59">
        <f>+Historicals!E195</f>
        <v>0.15</v>
      </c>
      <c r="F122" s="59">
        <f>+Historicals!F195</f>
        <v>0.15</v>
      </c>
      <c r="G122" s="59">
        <f>+Historicals!G195</f>
        <v>0.03</v>
      </c>
      <c r="H122" s="59">
        <f>+Historicals!H195</f>
        <v>0.1</v>
      </c>
      <c r="I122" s="59">
        <f>+Historicals!I195</f>
        <v>0.12</v>
      </c>
      <c r="J122" s="64">
        <v>0.106</v>
      </c>
      <c r="K122" s="64">
        <f t="shared" ref="K122:K123" si="306">+J122</f>
        <v>0.106</v>
      </c>
      <c r="L122" s="64">
        <f t="shared" ref="L122:L123" si="307">+K122</f>
        <v>0.106</v>
      </c>
      <c r="M122" s="64">
        <f t="shared" ref="M122:M123" si="308">+L122</f>
        <v>0.106</v>
      </c>
      <c r="N122" s="64">
        <f t="shared" ref="N122:N123" si="309">+M122</f>
        <v>0.106</v>
      </c>
      <c r="O122" s="65" t="s">
        <v>195</v>
      </c>
    </row>
    <row r="123" spans="1:15" x14ac:dyDescent="0.3">
      <c r="A123" s="58" t="s">
        <v>141</v>
      </c>
      <c r="B123" s="59" t="str">
        <f t="shared" ref="B123:H123" si="310">+IFERROR(B121-B122,"nm")</f>
        <v>nm</v>
      </c>
      <c r="C123" s="59" t="str">
        <f t="shared" si="310"/>
        <v>nm</v>
      </c>
      <c r="D123" s="59">
        <f t="shared" si="310"/>
        <v>-2.9122649955237195E-2</v>
      </c>
      <c r="E123" s="59">
        <f t="shared" si="310"/>
        <v>-1.3291139240506261E-2</v>
      </c>
      <c r="F123" s="59">
        <f t="shared" si="310"/>
        <v>-0.11436525612472156</v>
      </c>
      <c r="G123" s="59">
        <f t="shared" si="310"/>
        <v>-5.1505376344086001E-2</v>
      </c>
      <c r="H123" s="59">
        <f t="shared" si="310"/>
        <v>-5.4945054945053917E-3</v>
      </c>
      <c r="I123" s="59">
        <f>+IFERROR(I121-I122,"nm")</f>
        <v>-4.2356091030789744E-2</v>
      </c>
      <c r="J123" s="64">
        <v>0</v>
      </c>
      <c r="K123" s="64">
        <f t="shared" si="306"/>
        <v>0</v>
      </c>
      <c r="L123" s="64">
        <f t="shared" si="307"/>
        <v>0</v>
      </c>
      <c r="M123" s="64">
        <f t="shared" si="308"/>
        <v>0</v>
      </c>
      <c r="N123" s="64">
        <f t="shared" si="309"/>
        <v>0</v>
      </c>
    </row>
    <row r="124" spans="1:15" x14ac:dyDescent="0.3">
      <c r="A124" s="60" t="s">
        <v>115</v>
      </c>
      <c r="B124" s="61">
        <f>+Historicals!B124</f>
        <v>0</v>
      </c>
      <c r="C124" s="61">
        <f>+Historicals!C124</f>
        <v>270</v>
      </c>
      <c r="D124" s="61">
        <f>+Historicals!D124</f>
        <v>267</v>
      </c>
      <c r="E124" s="61">
        <f>+Historicals!E124</f>
        <v>244</v>
      </c>
      <c r="F124" s="61">
        <f>+Historicals!F124</f>
        <v>237</v>
      </c>
      <c r="G124" s="61">
        <f>+Historicals!G124</f>
        <v>214</v>
      </c>
      <c r="H124" s="61">
        <f>+Historicals!H124</f>
        <v>190</v>
      </c>
      <c r="I124" s="61">
        <f>+Historicals!I124</f>
        <v>234</v>
      </c>
      <c r="J124" s="61">
        <f>+I124*(1+J125)</f>
        <v>246.16800000000001</v>
      </c>
      <c r="K124" s="61">
        <f t="shared" ref="K124" si="311">+J124*(1+K125)</f>
        <v>258.96873600000004</v>
      </c>
      <c r="L124" s="61">
        <f t="shared" ref="L124" si="312">+K124*(1+L125)</f>
        <v>272.43511027200003</v>
      </c>
      <c r="M124" s="61">
        <f t="shared" ref="M124" si="313">+L124*(1+M125)</f>
        <v>286.60173600614405</v>
      </c>
      <c r="N124" s="61">
        <f t="shared" ref="N124" si="314">+M124*(1+N125)</f>
        <v>301.50502627846356</v>
      </c>
    </row>
    <row r="125" spans="1:15" x14ac:dyDescent="0.3">
      <c r="A125" s="58" t="s">
        <v>132</v>
      </c>
      <c r="B125" s="59" t="str">
        <f t="shared" ref="B125:I125" si="315">+IFERROR(B124/A124-1,"nm")</f>
        <v>nm</v>
      </c>
      <c r="C125" s="59" t="str">
        <f t="shared" si="315"/>
        <v>nm</v>
      </c>
      <c r="D125" s="59">
        <f t="shared" si="315"/>
        <v>-1.1111111111111072E-2</v>
      </c>
      <c r="E125" s="59">
        <f t="shared" si="315"/>
        <v>-8.6142322097378266E-2</v>
      </c>
      <c r="F125" s="59">
        <f t="shared" si="315"/>
        <v>-2.8688524590163911E-2</v>
      </c>
      <c r="G125" s="59">
        <f t="shared" si="315"/>
        <v>-9.7046413502109741E-2</v>
      </c>
      <c r="H125" s="59">
        <f t="shared" si="315"/>
        <v>-0.11214953271028039</v>
      </c>
      <c r="I125" s="59">
        <f t="shared" si="315"/>
        <v>0.23157894736842111</v>
      </c>
      <c r="J125" s="59">
        <f>+J126+J127</f>
        <v>5.1999999999999998E-2</v>
      </c>
      <c r="K125" s="59">
        <f t="shared" ref="K125:N125" si="316">+K126+K127</f>
        <v>5.1999999999999998E-2</v>
      </c>
      <c r="L125" s="59">
        <f t="shared" si="316"/>
        <v>5.1999999999999998E-2</v>
      </c>
      <c r="M125" s="59">
        <f t="shared" si="316"/>
        <v>5.1999999999999998E-2</v>
      </c>
      <c r="N125" s="59">
        <f t="shared" si="316"/>
        <v>5.1999999999999998E-2</v>
      </c>
    </row>
    <row r="126" spans="1:15" x14ac:dyDescent="0.3">
      <c r="A126" s="58" t="s">
        <v>140</v>
      </c>
      <c r="B126" s="59">
        <f>+Historicals!B196</f>
        <v>0</v>
      </c>
      <c r="C126" s="59">
        <f>+Historicals!C196</f>
        <v>0</v>
      </c>
      <c r="D126" s="59">
        <f>+Historicals!D196</f>
        <v>-0.01</v>
      </c>
      <c r="E126" s="59">
        <f>+Historicals!E196</f>
        <v>-0.08</v>
      </c>
      <c r="F126" s="59">
        <f>+Historicals!F196</f>
        <v>0.08</v>
      </c>
      <c r="G126" s="59">
        <f>+Historicals!G196</f>
        <v>-0.04</v>
      </c>
      <c r="H126" s="59">
        <f>+Historicals!H196</f>
        <v>-0.09</v>
      </c>
      <c r="I126" s="59">
        <f>+Historicals!I196</f>
        <v>0.28000000000000003</v>
      </c>
      <c r="J126" s="64">
        <v>5.1999999999999998E-2</v>
      </c>
      <c r="K126" s="64">
        <f t="shared" ref="K126:K127" si="317">+J126</f>
        <v>5.1999999999999998E-2</v>
      </c>
      <c r="L126" s="64">
        <f t="shared" ref="L126:L127" si="318">+K126</f>
        <v>5.1999999999999998E-2</v>
      </c>
      <c r="M126" s="64">
        <f t="shared" ref="M126:M127" si="319">+L126</f>
        <v>5.1999999999999998E-2</v>
      </c>
      <c r="N126" s="64">
        <f t="shared" ref="N126:N127" si="320">+M126</f>
        <v>5.1999999999999998E-2</v>
      </c>
      <c r="O126" s="65" t="s">
        <v>195</v>
      </c>
    </row>
    <row r="127" spans="1:15" x14ac:dyDescent="0.3">
      <c r="A127" s="58" t="s">
        <v>141</v>
      </c>
      <c r="B127" s="59" t="str">
        <f t="shared" ref="B127:H127" si="321">+IFERROR(B125-B126,"nm")</f>
        <v>nm</v>
      </c>
      <c r="C127" s="59" t="str">
        <f t="shared" si="321"/>
        <v>nm</v>
      </c>
      <c r="D127" s="59">
        <f t="shared" si="321"/>
        <v>-1.1111111111110714E-3</v>
      </c>
      <c r="E127" s="59">
        <f t="shared" si="321"/>
        <v>-6.1423220973782638E-3</v>
      </c>
      <c r="F127" s="59">
        <f t="shared" si="321"/>
        <v>-0.10868852459016391</v>
      </c>
      <c r="G127" s="59">
        <f t="shared" si="321"/>
        <v>-5.704641350210974E-2</v>
      </c>
      <c r="H127" s="59">
        <f t="shared" si="321"/>
        <v>-2.214953271028039E-2</v>
      </c>
      <c r="I127" s="59">
        <f>+IFERROR(I125-I126,"nm")</f>
        <v>-4.842105263157892E-2</v>
      </c>
      <c r="J127" s="64">
        <v>0</v>
      </c>
      <c r="K127" s="64">
        <f t="shared" si="317"/>
        <v>0</v>
      </c>
      <c r="L127" s="64">
        <f t="shared" si="318"/>
        <v>0</v>
      </c>
      <c r="M127" s="64">
        <f t="shared" si="319"/>
        <v>0</v>
      </c>
      <c r="N127" s="64">
        <f t="shared" si="320"/>
        <v>0</v>
      </c>
    </row>
    <row r="128" spans="1:15" x14ac:dyDescent="0.3">
      <c r="A128" s="55" t="s">
        <v>133</v>
      </c>
      <c r="B128" s="62">
        <f t="shared" ref="B128:H128" si="322">+B135+B131</f>
        <v>0</v>
      </c>
      <c r="C128" s="62">
        <f t="shared" si="322"/>
        <v>1044</v>
      </c>
      <c r="D128" s="62">
        <f t="shared" si="322"/>
        <v>1034</v>
      </c>
      <c r="E128" s="62">
        <f t="shared" si="322"/>
        <v>1244</v>
      </c>
      <c r="F128" s="62">
        <f t="shared" si="322"/>
        <v>1376</v>
      </c>
      <c r="G128" s="62">
        <f t="shared" si="322"/>
        <v>1230</v>
      </c>
      <c r="H128" s="62">
        <f t="shared" si="322"/>
        <v>1573</v>
      </c>
      <c r="I128" s="62">
        <f>+I135+I131</f>
        <v>1938</v>
      </c>
      <c r="J128" s="62">
        <f>+J114*J130</f>
        <v>2143.3293914357682</v>
      </c>
      <c r="K128" s="62">
        <f t="shared" ref="K128:N128" si="323">+K114*K130</f>
        <v>2370.6473494216625</v>
      </c>
      <c r="L128" s="62">
        <f t="shared" si="323"/>
        <v>2622.3212287456658</v>
      </c>
      <c r="M128" s="62">
        <f t="shared" si="323"/>
        <v>2900.9739433932109</v>
      </c>
      <c r="N128" s="62">
        <f t="shared" si="323"/>
        <v>3209.5115923158442</v>
      </c>
    </row>
    <row r="129" spans="1:14" x14ac:dyDescent="0.3">
      <c r="A129" s="56" t="s">
        <v>132</v>
      </c>
      <c r="B129" s="59" t="str">
        <f t="shared" ref="B129:I129" si="324">+IFERROR(B128/A128-1,"nm")</f>
        <v>nm</v>
      </c>
      <c r="C129" s="59" t="str">
        <f t="shared" si="324"/>
        <v>nm</v>
      </c>
      <c r="D129" s="59">
        <f t="shared" si="324"/>
        <v>-9.5785440613026518E-3</v>
      </c>
      <c r="E129" s="59">
        <f t="shared" si="324"/>
        <v>0.20309477756286265</v>
      </c>
      <c r="F129" s="59">
        <f t="shared" si="324"/>
        <v>0.10610932475884249</v>
      </c>
      <c r="G129" s="59">
        <f t="shared" si="324"/>
        <v>-0.10610465116279066</v>
      </c>
      <c r="H129" s="59">
        <f t="shared" si="324"/>
        <v>0.27886178861788613</v>
      </c>
      <c r="I129" s="59">
        <f t="shared" si="324"/>
        <v>0.23204068658614108</v>
      </c>
      <c r="J129" s="59">
        <f t="shared" ref="J129" si="325">+IFERROR(J128/I128-1,"nm")</f>
        <v>0.10594911838790932</v>
      </c>
      <c r="K129" s="59">
        <f t="shared" ref="K129" si="326">+IFERROR(K128/J128-1,"nm")</f>
        <v>0.10605834030653538</v>
      </c>
      <c r="L129" s="59">
        <f t="shared" ref="L129" si="327">+IFERROR(L128/K128-1,"nm")</f>
        <v>0.10616251269316845</v>
      </c>
      <c r="M129" s="59">
        <f t="shared" ref="M129" si="328">+IFERROR(M128/L128-1,"nm")</f>
        <v>0.10626185365582885</v>
      </c>
      <c r="N129" s="59">
        <f t="shared" ref="N129" si="329">+IFERROR(N128/M128-1,"nm")</f>
        <v>0.1063565736690979</v>
      </c>
    </row>
    <row r="130" spans="1:14" x14ac:dyDescent="0.3">
      <c r="A130" s="56" t="s">
        <v>134</v>
      </c>
      <c r="B130" s="59" t="str">
        <f t="shared" ref="B130:H130" si="330">+IFERROR(B128/B$114,"nm")</f>
        <v>nm</v>
      </c>
      <c r="C130" s="59">
        <f t="shared" si="330"/>
        <v>0.24183460736622656</v>
      </c>
      <c r="D130" s="59">
        <f t="shared" si="330"/>
        <v>0.21828161283512773</v>
      </c>
      <c r="E130" s="59">
        <f t="shared" si="330"/>
        <v>0.2408052651955091</v>
      </c>
      <c r="F130" s="59">
        <f t="shared" si="330"/>
        <v>0.26189569851541683</v>
      </c>
      <c r="G130" s="59">
        <f t="shared" si="330"/>
        <v>0.24463007159904535</v>
      </c>
      <c r="H130" s="59">
        <f t="shared" si="330"/>
        <v>0.2944038929440389</v>
      </c>
      <c r="I130" s="59">
        <f>+IFERROR(I128/I$114,"nm")</f>
        <v>0.32544080604534004</v>
      </c>
      <c r="J130" s="64">
        <f>+I130</f>
        <v>0.32544080604534004</v>
      </c>
      <c r="K130" s="64">
        <f t="shared" ref="K130" si="331">+J130</f>
        <v>0.32544080604534004</v>
      </c>
      <c r="L130" s="64">
        <f t="shared" ref="L130" si="332">+K130</f>
        <v>0.32544080604534004</v>
      </c>
      <c r="M130" s="64">
        <f t="shared" ref="M130" si="333">+L130</f>
        <v>0.32544080604534004</v>
      </c>
      <c r="N130" s="64">
        <f t="shared" ref="N130" si="334">+M130</f>
        <v>0.32544080604534004</v>
      </c>
    </row>
    <row r="131" spans="1:14" x14ac:dyDescent="0.3">
      <c r="A131" s="55" t="s">
        <v>135</v>
      </c>
      <c r="B131" s="55">
        <f>+Historicals!B172</f>
        <v>0</v>
      </c>
      <c r="C131" s="55">
        <f>+Historicals!C172</f>
        <v>42</v>
      </c>
      <c r="D131" s="55">
        <f>+Historicals!D172</f>
        <v>54</v>
      </c>
      <c r="E131" s="55">
        <f>+Historicals!E172</f>
        <v>55</v>
      </c>
      <c r="F131" s="55">
        <f>+Historicals!F172</f>
        <v>53</v>
      </c>
      <c r="G131" s="55">
        <f>+Historicals!G172</f>
        <v>46</v>
      </c>
      <c r="H131" s="55">
        <f>+Historicals!H172</f>
        <v>43</v>
      </c>
      <c r="I131" s="55">
        <f>+Historicals!I172</f>
        <v>42</v>
      </c>
      <c r="J131" s="62">
        <f>+J134*J141</f>
        <v>46.449862972292195</v>
      </c>
      <c r="K131" s="62">
        <f>+K134*K141</f>
        <v>51.376258346599499</v>
      </c>
      <c r="L131" s="62">
        <f>+L134*L141</f>
        <v>56.830491025447877</v>
      </c>
      <c r="M131" s="62">
        <f>+M134*M141</f>
        <v>62.8694043459829</v>
      </c>
      <c r="N131" s="62">
        <f>+N134*N141</f>
        <v>69.555978780838728</v>
      </c>
    </row>
    <row r="132" spans="1:14" x14ac:dyDescent="0.3">
      <c r="A132" s="56" t="s">
        <v>132</v>
      </c>
      <c r="B132" s="59" t="str">
        <f t="shared" ref="B132:I132" si="335">+IFERROR(B131/A131-1,"nm")</f>
        <v>nm</v>
      </c>
      <c r="C132" s="59" t="str">
        <f t="shared" si="335"/>
        <v>nm</v>
      </c>
      <c r="D132" s="59">
        <f t="shared" si="335"/>
        <v>0.28571428571428581</v>
      </c>
      <c r="E132" s="59">
        <f t="shared" si="335"/>
        <v>1.8518518518518601E-2</v>
      </c>
      <c r="F132" s="59">
        <f t="shared" si="335"/>
        <v>-3.6363636363636376E-2</v>
      </c>
      <c r="G132" s="59">
        <f t="shared" si="335"/>
        <v>-0.13207547169811318</v>
      </c>
      <c r="H132" s="59">
        <f t="shared" si="335"/>
        <v>-6.5217391304347783E-2</v>
      </c>
      <c r="I132" s="59">
        <f t="shared" si="335"/>
        <v>-2.3255813953488413E-2</v>
      </c>
      <c r="J132" s="59">
        <f t="shared" ref="J132" si="336">+IFERROR(J131/I131-1,"nm")</f>
        <v>0.10594911838790932</v>
      </c>
      <c r="K132" s="59">
        <f t="shared" ref="K132" si="337">+IFERROR(K131/J131-1,"nm")</f>
        <v>0.10605834030653538</v>
      </c>
      <c r="L132" s="59">
        <f t="shared" ref="L132" si="338">+IFERROR(L131/K131-1,"nm")</f>
        <v>0.10616251269316868</v>
      </c>
      <c r="M132" s="59">
        <f t="shared" ref="M132" si="339">+IFERROR(M131/L131-1,"nm")</f>
        <v>0.10626185365582863</v>
      </c>
      <c r="N132" s="59">
        <f t="shared" ref="N132" si="340">+IFERROR(N131/M131-1,"nm")</f>
        <v>0.1063565736690979</v>
      </c>
    </row>
    <row r="133" spans="1:14" x14ac:dyDescent="0.3">
      <c r="A133" s="56" t="s">
        <v>136</v>
      </c>
      <c r="B133" s="59" t="str">
        <f t="shared" ref="B133:H133" si="341">+IFERROR(B131/B$114,"nm")</f>
        <v>nm</v>
      </c>
      <c r="C133" s="59">
        <f t="shared" si="341"/>
        <v>9.7289784572619879E-3</v>
      </c>
      <c r="D133" s="59">
        <f t="shared" si="341"/>
        <v>1.1399620012666244E-2</v>
      </c>
      <c r="E133" s="59">
        <f t="shared" si="341"/>
        <v>1.064653503677894E-2</v>
      </c>
      <c r="F133" s="59">
        <f t="shared" si="341"/>
        <v>1.0087552341073468E-2</v>
      </c>
      <c r="G133" s="59">
        <f t="shared" si="341"/>
        <v>9.148766905330152E-3</v>
      </c>
      <c r="H133" s="59">
        <f t="shared" si="341"/>
        <v>8.0479131574022079E-3</v>
      </c>
      <c r="I133" s="59">
        <f>+IFERROR(I131/I$114,"nm")</f>
        <v>7.0528967254408059E-3</v>
      </c>
      <c r="J133" s="59">
        <f t="shared" ref="J133:N133" si="342">+IFERROR(J131/J$21,"nm")</f>
        <v>2.4013203305783739E-3</v>
      </c>
      <c r="K133" s="59">
        <f t="shared" si="342"/>
        <v>2.5191194886004381E-3</v>
      </c>
      <c r="L133" s="59">
        <f t="shared" si="342"/>
        <v>2.6420781305223919E-3</v>
      </c>
      <c r="M133" s="59">
        <f t="shared" si="342"/>
        <v>2.7704326290488059E-3</v>
      </c>
      <c r="N133" s="59">
        <f t="shared" si="342"/>
        <v>2.90442963036185E-3</v>
      </c>
    </row>
    <row r="134" spans="1:14" x14ac:dyDescent="0.3">
      <c r="A134" s="56" t="s">
        <v>144</v>
      </c>
      <c r="B134" s="59" t="str">
        <f>+IFERROR(B131/B141,"nm")</f>
        <v>nm</v>
      </c>
      <c r="C134" s="59" t="str">
        <f t="shared" ref="C134:I134" si="343">+IFERROR(C131/C141,"nm")</f>
        <v>nm</v>
      </c>
      <c r="D134" s="59">
        <f t="shared" si="343"/>
        <v>0.1588235294117647</v>
      </c>
      <c r="E134" s="59">
        <f t="shared" si="343"/>
        <v>0.16224188790560473</v>
      </c>
      <c r="F134" s="59">
        <f t="shared" si="343"/>
        <v>0.16257668711656442</v>
      </c>
      <c r="G134" s="59">
        <f t="shared" si="343"/>
        <v>0.1554054054054054</v>
      </c>
      <c r="H134" s="59">
        <f t="shared" si="343"/>
        <v>0.14144736842105263</v>
      </c>
      <c r="I134" s="59">
        <f t="shared" si="343"/>
        <v>0.15328467153284672</v>
      </c>
      <c r="J134" s="64">
        <f>+I134</f>
        <v>0.15328467153284672</v>
      </c>
      <c r="K134" s="64">
        <f t="shared" ref="K134" si="344">+J134</f>
        <v>0.15328467153284672</v>
      </c>
      <c r="L134" s="64">
        <f t="shared" ref="L134" si="345">+K134</f>
        <v>0.15328467153284672</v>
      </c>
      <c r="M134" s="64">
        <f t="shared" ref="M134" si="346">+L134</f>
        <v>0.15328467153284672</v>
      </c>
      <c r="N134" s="64">
        <f t="shared" ref="N134" si="347">+M134</f>
        <v>0.15328467153284672</v>
      </c>
    </row>
    <row r="135" spans="1:14" x14ac:dyDescent="0.3">
      <c r="A135" s="55" t="s">
        <v>137</v>
      </c>
      <c r="B135" s="55">
        <f>+Historicals!B139</f>
        <v>0</v>
      </c>
      <c r="C135" s="55">
        <f>+Historicals!C139</f>
        <v>1002</v>
      </c>
      <c r="D135" s="55">
        <f>+Historicals!D139</f>
        <v>980</v>
      </c>
      <c r="E135" s="55">
        <f>+Historicals!E139</f>
        <v>1189</v>
      </c>
      <c r="F135" s="55">
        <f>+Historicals!F139</f>
        <v>1323</v>
      </c>
      <c r="G135" s="55">
        <f>+Historicals!G139</f>
        <v>1184</v>
      </c>
      <c r="H135" s="55">
        <f>+Historicals!H139</f>
        <v>1530</v>
      </c>
      <c r="I135" s="55">
        <f>+Historicals!I139</f>
        <v>1896</v>
      </c>
      <c r="J135" s="55">
        <f>+J128-J131</f>
        <v>2096.8795284634762</v>
      </c>
      <c r="K135" s="55">
        <f t="shared" ref="K135:N135" si="348">+K128-K131</f>
        <v>2319.2710910750629</v>
      </c>
      <c r="L135" s="55">
        <f t="shared" si="348"/>
        <v>2565.490737720218</v>
      </c>
      <c r="M135" s="55">
        <f t="shared" si="348"/>
        <v>2838.1045390472282</v>
      </c>
      <c r="N135" s="55">
        <f t="shared" si="348"/>
        <v>3139.9556135350053</v>
      </c>
    </row>
    <row r="136" spans="1:14" x14ac:dyDescent="0.3">
      <c r="A136" s="56" t="s">
        <v>132</v>
      </c>
      <c r="B136" s="59" t="str">
        <f t="shared" ref="B136:I136" si="349">+IFERROR(B135/A135-1,"nm")</f>
        <v>nm</v>
      </c>
      <c r="C136" s="59" t="str">
        <f t="shared" si="349"/>
        <v>nm</v>
      </c>
      <c r="D136" s="59">
        <f t="shared" si="349"/>
        <v>-2.1956087824351322E-2</v>
      </c>
      <c r="E136" s="59">
        <f t="shared" si="349"/>
        <v>0.21326530612244898</v>
      </c>
      <c r="F136" s="59">
        <f t="shared" si="349"/>
        <v>0.11269974768713209</v>
      </c>
      <c r="G136" s="59">
        <f t="shared" si="349"/>
        <v>-0.1050642479213908</v>
      </c>
      <c r="H136" s="59">
        <f t="shared" si="349"/>
        <v>0.29222972972972983</v>
      </c>
      <c r="I136" s="59">
        <f t="shared" si="349"/>
        <v>0.23921568627450984</v>
      </c>
      <c r="J136" s="59">
        <f t="shared" ref="J136" si="350">+IFERROR(J135/I135-1,"nm")</f>
        <v>0.10594911838790932</v>
      </c>
      <c r="K136" s="59">
        <f t="shared" ref="K136" si="351">+IFERROR(K135/J135-1,"nm")</f>
        <v>0.10605834030653538</v>
      </c>
      <c r="L136" s="59">
        <f t="shared" ref="L136" si="352">+IFERROR(L135/K135-1,"nm")</f>
        <v>0.10616251269316845</v>
      </c>
      <c r="M136" s="59">
        <f t="shared" ref="M136" si="353">+IFERROR(M135/L135-1,"nm")</f>
        <v>0.10626185365582885</v>
      </c>
      <c r="N136" s="59">
        <f t="shared" ref="N136" si="354">+IFERROR(N135/M135-1,"nm")</f>
        <v>0.10635657366909768</v>
      </c>
    </row>
    <row r="137" spans="1:14" x14ac:dyDescent="0.3">
      <c r="A137" s="56" t="s">
        <v>134</v>
      </c>
      <c r="B137" s="59" t="str">
        <f t="shared" ref="B137:H137" si="355">+IFERROR(B135/B$114,"nm")</f>
        <v>nm</v>
      </c>
      <c r="C137" s="59">
        <f t="shared" si="355"/>
        <v>0.23210562890896455</v>
      </c>
      <c r="D137" s="59">
        <f t="shared" si="355"/>
        <v>0.20688199282246147</v>
      </c>
      <c r="E137" s="59">
        <f t="shared" si="355"/>
        <v>0.23015873015873015</v>
      </c>
      <c r="F137" s="59">
        <f t="shared" si="355"/>
        <v>0.25180814617434338</v>
      </c>
      <c r="G137" s="59">
        <f t="shared" si="355"/>
        <v>0.2354813046937152</v>
      </c>
      <c r="H137" s="59">
        <f t="shared" si="355"/>
        <v>0.28635597978663674</v>
      </c>
      <c r="I137" s="59">
        <f>+IFERROR(I135/I$114,"nm")</f>
        <v>0.31838790931989924</v>
      </c>
      <c r="J137" s="59">
        <f t="shared" ref="J137:N137" si="356">+IFERROR(J135/J$21,"nm")</f>
        <v>0.10840246063753801</v>
      </c>
      <c r="K137" s="59">
        <f t="shared" si="356"/>
        <v>0.11372025119967691</v>
      </c>
      <c r="L137" s="59">
        <f t="shared" si="356"/>
        <v>0.1192709556064394</v>
      </c>
      <c r="M137" s="59">
        <f t="shared" si="356"/>
        <v>0.12506524439706038</v>
      </c>
      <c r="N137" s="59">
        <f t="shared" si="356"/>
        <v>0.13111425188490639</v>
      </c>
    </row>
    <row r="138" spans="1:14" x14ac:dyDescent="0.3">
      <c r="A138" s="55" t="s">
        <v>138</v>
      </c>
      <c r="B138" s="55">
        <f>+Historicals!B161</f>
        <v>0</v>
      </c>
      <c r="C138" s="55">
        <f>+Historicals!C161</f>
        <v>62</v>
      </c>
      <c r="D138" s="55">
        <f>+Historicals!D161</f>
        <v>59</v>
      </c>
      <c r="E138" s="55">
        <f>+Historicals!E161</f>
        <v>49</v>
      </c>
      <c r="F138" s="55">
        <f>+Historicals!F161</f>
        <v>47</v>
      </c>
      <c r="G138" s="55">
        <f>+Historicals!G161</f>
        <v>41</v>
      </c>
      <c r="H138" s="55">
        <f>+Historicals!H161</f>
        <v>54</v>
      </c>
      <c r="I138" s="55">
        <f>+Historicals!I161</f>
        <v>56</v>
      </c>
      <c r="J138" s="62">
        <f>+J114*J140</f>
        <v>61.933150629722917</v>
      </c>
      <c r="K138" s="62">
        <f t="shared" ref="K138:N138" si="357">+K114*K140</f>
        <v>68.501677795465994</v>
      </c>
      <c r="L138" s="62">
        <f t="shared" si="357"/>
        <v>75.773988033930493</v>
      </c>
      <c r="M138" s="62">
        <f t="shared" si="357"/>
        <v>83.825872461310539</v>
      </c>
      <c r="N138" s="62">
        <f t="shared" si="357"/>
        <v>92.741305041118309</v>
      </c>
    </row>
    <row r="139" spans="1:14" x14ac:dyDescent="0.3">
      <c r="A139" s="56" t="s">
        <v>132</v>
      </c>
      <c r="B139" s="59" t="str">
        <f t="shared" ref="B139:I139" si="358">+IFERROR(B138/A138-1,"nm")</f>
        <v>nm</v>
      </c>
      <c r="C139" s="59" t="str">
        <f t="shared" si="358"/>
        <v>nm</v>
      </c>
      <c r="D139" s="59">
        <f t="shared" si="358"/>
        <v>-4.8387096774193505E-2</v>
      </c>
      <c r="E139" s="59">
        <f t="shared" si="358"/>
        <v>-0.16949152542372881</v>
      </c>
      <c r="F139" s="59">
        <f t="shared" si="358"/>
        <v>-4.081632653061229E-2</v>
      </c>
      <c r="G139" s="59">
        <f t="shared" si="358"/>
        <v>-0.12765957446808507</v>
      </c>
      <c r="H139" s="59">
        <f t="shared" si="358"/>
        <v>0.31707317073170738</v>
      </c>
      <c r="I139" s="59">
        <f t="shared" si="358"/>
        <v>3.7037037037036979E-2</v>
      </c>
      <c r="J139" s="59">
        <f t="shared" ref="J139" si="359">+IFERROR(J138/I138-1,"nm")</f>
        <v>0.10594911838790932</v>
      </c>
      <c r="K139" s="59">
        <f t="shared" ref="K139" si="360">+IFERROR(K138/J138-1,"nm")</f>
        <v>0.1060583403065356</v>
      </c>
      <c r="L139" s="59">
        <f t="shared" ref="L139" si="361">+IFERROR(L138/K138-1,"nm")</f>
        <v>0.10616251269316845</v>
      </c>
      <c r="M139" s="59">
        <f t="shared" ref="M139" si="362">+IFERROR(M138/L138-1,"nm")</f>
        <v>0.10626185365582885</v>
      </c>
      <c r="N139" s="59">
        <f t="shared" ref="N139" si="363">+IFERROR(N138/M138-1,"nm")</f>
        <v>0.1063565736690979</v>
      </c>
    </row>
    <row r="140" spans="1:14" x14ac:dyDescent="0.3">
      <c r="A140" s="56" t="s">
        <v>136</v>
      </c>
      <c r="B140" s="59" t="str">
        <f t="shared" ref="B140:H140" si="364">+IFERROR(B138/B$114,"nm")</f>
        <v>nm</v>
      </c>
      <c r="C140" s="59">
        <f t="shared" si="364"/>
        <v>1.4361825341672458E-2</v>
      </c>
      <c r="D140" s="59">
        <f t="shared" si="364"/>
        <v>1.2455140384209416E-2</v>
      </c>
      <c r="E140" s="59">
        <f t="shared" si="364"/>
        <v>9.485094850948509E-3</v>
      </c>
      <c r="F140" s="59">
        <f t="shared" si="364"/>
        <v>8.9455652835934533E-3</v>
      </c>
      <c r="G140" s="59">
        <f t="shared" si="364"/>
        <v>8.1543357199681775E-3</v>
      </c>
      <c r="H140" s="59">
        <f t="shared" si="364"/>
        <v>1.0106681639528355E-2</v>
      </c>
      <c r="I140" s="59">
        <f>+IFERROR(I138/I$114,"nm")</f>
        <v>9.4038623005877411E-3</v>
      </c>
      <c r="J140" s="64">
        <f>+I140</f>
        <v>9.4038623005877411E-3</v>
      </c>
      <c r="K140" s="64">
        <f t="shared" ref="K140" si="365">+J140</f>
        <v>9.4038623005877411E-3</v>
      </c>
      <c r="L140" s="64">
        <f t="shared" ref="L140" si="366">+K140</f>
        <v>9.4038623005877411E-3</v>
      </c>
      <c r="M140" s="64">
        <f t="shared" ref="M140" si="367">+L140</f>
        <v>9.4038623005877411E-3</v>
      </c>
      <c r="N140" s="64">
        <f t="shared" ref="N140" si="368">+M140</f>
        <v>9.4038623005877411E-3</v>
      </c>
    </row>
    <row r="141" spans="1:14" x14ac:dyDescent="0.3">
      <c r="A141" s="55" t="s">
        <v>143</v>
      </c>
      <c r="B141" s="62">
        <f>+Historicals!B150</f>
        <v>0</v>
      </c>
      <c r="C141" s="62">
        <f>+Historicals!C150</f>
        <v>0</v>
      </c>
      <c r="D141" s="62">
        <f>+Historicals!D150</f>
        <v>340</v>
      </c>
      <c r="E141" s="62">
        <f>+Historicals!E150</f>
        <v>339</v>
      </c>
      <c r="F141" s="62">
        <f>+Historicals!F150</f>
        <v>326</v>
      </c>
      <c r="G141" s="62">
        <f>+Historicals!G150</f>
        <v>296</v>
      </c>
      <c r="H141" s="62">
        <f>+Historicals!H150</f>
        <v>304</v>
      </c>
      <c r="I141" s="62">
        <f>+Historicals!I150</f>
        <v>274</v>
      </c>
      <c r="J141" s="62">
        <f>+J114*J143</f>
        <v>303.03005843828714</v>
      </c>
      <c r="K141" s="62">
        <f>+K114*K143</f>
        <v>335.16892349924433</v>
      </c>
      <c r="L141" s="62">
        <f>+L114*L143</f>
        <v>370.75129859458849</v>
      </c>
      <c r="M141" s="62">
        <f>+M114*M143</f>
        <v>410.14801882855511</v>
      </c>
      <c r="N141" s="62">
        <f>+N114*N143</f>
        <v>453.76995680832886</v>
      </c>
    </row>
    <row r="142" spans="1:14" x14ac:dyDescent="0.3">
      <c r="A142" s="56" t="s">
        <v>132</v>
      </c>
      <c r="B142" s="63" t="str">
        <f t="shared" ref="B142" si="369">+IFERROR(B141/A141-1,"nm")</f>
        <v>nm</v>
      </c>
      <c r="C142" s="63" t="str">
        <f t="shared" ref="C142" si="370">+IFERROR(C141/B141-1,"nm")</f>
        <v>nm</v>
      </c>
      <c r="D142" s="63" t="str">
        <f t="shared" ref="D142" si="371">+IFERROR(D141/C141-1,"nm")</f>
        <v>nm</v>
      </c>
      <c r="E142" s="63">
        <f t="shared" ref="E142" si="372">+IFERROR(E141/D141-1,"nm")</f>
        <v>-2.9411764705882248E-3</v>
      </c>
      <c r="F142" s="63">
        <f t="shared" ref="F142" si="373">+IFERROR(F141/E141-1,"nm")</f>
        <v>-3.8348082595870192E-2</v>
      </c>
      <c r="G142" s="63">
        <f t="shared" ref="G142" si="374">+IFERROR(G141/F141-1,"nm")</f>
        <v>-9.2024539877300637E-2</v>
      </c>
      <c r="H142" s="63">
        <f t="shared" ref="H142" si="375">+IFERROR(H141/G141-1,"nm")</f>
        <v>2.7027027027026973E-2</v>
      </c>
      <c r="I142" s="63">
        <f t="shared" ref="I142" si="376">+IFERROR(I141/H141-1,"nm")</f>
        <v>-9.8684210526315819E-2</v>
      </c>
      <c r="J142" s="59">
        <f>+J143+J144</f>
        <v>4.6011754827875735E-2</v>
      </c>
      <c r="K142" s="59">
        <f t="shared" ref="K142:N142" si="377">+K143+K144</f>
        <v>4.6011754827875735E-2</v>
      </c>
      <c r="L142" s="59">
        <f t="shared" si="377"/>
        <v>4.6011754827875735E-2</v>
      </c>
      <c r="M142" s="59">
        <f t="shared" si="377"/>
        <v>4.6011754827875735E-2</v>
      </c>
      <c r="N142" s="59">
        <f t="shared" si="377"/>
        <v>4.6011754827875735E-2</v>
      </c>
    </row>
    <row r="143" spans="1:14" x14ac:dyDescent="0.3">
      <c r="A143" s="56" t="s">
        <v>136</v>
      </c>
      <c r="B143" s="63" t="str">
        <f>+IFERROR(B141/B114,"nm")</f>
        <v>nm</v>
      </c>
      <c r="C143" s="63">
        <f t="shared" ref="C143:I143" si="378">+IFERROR(C141/C114,"nm")</f>
        <v>0</v>
      </c>
      <c r="D143" s="63">
        <f t="shared" si="378"/>
        <v>7.1775385264935612E-2</v>
      </c>
      <c r="E143" s="63">
        <f t="shared" si="378"/>
        <v>6.5621370499419282E-2</v>
      </c>
      <c r="F143" s="63">
        <f t="shared" si="378"/>
        <v>6.2047963456414161E-2</v>
      </c>
      <c r="G143" s="63">
        <f t="shared" si="378"/>
        <v>5.88703261734288E-2</v>
      </c>
      <c r="H143" s="63">
        <f t="shared" si="378"/>
        <v>5.6896874415122589E-2</v>
      </c>
      <c r="I143" s="63">
        <f t="shared" si="378"/>
        <v>4.6011754827875735E-2</v>
      </c>
      <c r="J143" s="64">
        <f>+I143</f>
        <v>4.6011754827875735E-2</v>
      </c>
      <c r="K143" s="64">
        <f t="shared" ref="K143" si="379">+J143</f>
        <v>4.6011754827875735E-2</v>
      </c>
      <c r="L143" s="64">
        <f t="shared" ref="L143" si="380">+K143</f>
        <v>4.6011754827875735E-2</v>
      </c>
      <c r="M143" s="64">
        <f t="shared" ref="M143" si="381">+L143</f>
        <v>4.6011754827875735E-2</v>
      </c>
      <c r="N143" s="64">
        <f t="shared" ref="N143" si="382">+M143</f>
        <v>4.6011754827875735E-2</v>
      </c>
    </row>
    <row r="144" spans="1:14" x14ac:dyDescent="0.3">
      <c r="A144" s="57" t="str">
        <f>+Historicals!A125</f>
        <v>Global Brand Divisions</v>
      </c>
      <c r="B144" s="57"/>
      <c r="C144" s="57"/>
      <c r="D144" s="57"/>
      <c r="E144" s="57"/>
      <c r="F144" s="57"/>
      <c r="G144" s="57"/>
      <c r="H144" s="57"/>
      <c r="I144" s="57"/>
      <c r="J144" s="53"/>
      <c r="K144" s="53"/>
      <c r="L144" s="53"/>
      <c r="M144" s="53"/>
      <c r="N144" s="53"/>
    </row>
    <row r="145" spans="1:15" x14ac:dyDescent="0.3">
      <c r="A145" s="55" t="s">
        <v>139</v>
      </c>
      <c r="B145" s="55">
        <f>+Historicals!B125</f>
        <v>0</v>
      </c>
      <c r="C145" s="55">
        <f>+Historicals!C125</f>
        <v>73</v>
      </c>
      <c r="D145" s="55">
        <f>+Historicals!D125</f>
        <v>73</v>
      </c>
      <c r="E145" s="55">
        <f>+Historicals!E125</f>
        <v>88</v>
      </c>
      <c r="F145" s="55">
        <f>+Historicals!F125</f>
        <v>42</v>
      </c>
      <c r="G145" s="55">
        <f>+Historicals!G125</f>
        <v>30</v>
      </c>
      <c r="H145" s="55">
        <f>+Historicals!H125</f>
        <v>25</v>
      </c>
      <c r="I145" s="55">
        <f>+Historicals!I125</f>
        <v>102</v>
      </c>
      <c r="J145" s="70">
        <f>+I145*(1+J146)</f>
        <v>102</v>
      </c>
      <c r="K145" s="70">
        <f t="shared" ref="K145:N145" si="383">+J145*(1+K146)</f>
        <v>102</v>
      </c>
      <c r="L145" s="70">
        <f t="shared" si="383"/>
        <v>102</v>
      </c>
      <c r="M145" s="70">
        <f t="shared" si="383"/>
        <v>102</v>
      </c>
      <c r="N145" s="70">
        <f t="shared" si="383"/>
        <v>102</v>
      </c>
    </row>
    <row r="146" spans="1:15" x14ac:dyDescent="0.3">
      <c r="A146" s="58" t="s">
        <v>132</v>
      </c>
      <c r="B146" s="59" t="str">
        <f t="shared" ref="B146:I146" si="384">+IFERROR(B145/A145-1,"nm")</f>
        <v>nm</v>
      </c>
      <c r="C146" s="59" t="str">
        <f t="shared" si="384"/>
        <v>nm</v>
      </c>
      <c r="D146" s="59">
        <f t="shared" si="384"/>
        <v>0</v>
      </c>
      <c r="E146" s="59">
        <f t="shared" si="384"/>
        <v>0.20547945205479445</v>
      </c>
      <c r="F146" s="59">
        <f t="shared" si="384"/>
        <v>-0.52272727272727271</v>
      </c>
      <c r="G146" s="59">
        <f t="shared" si="384"/>
        <v>-0.2857142857142857</v>
      </c>
      <c r="H146" s="59">
        <f t="shared" si="384"/>
        <v>-0.16666666666666663</v>
      </c>
      <c r="I146" s="59">
        <f t="shared" si="384"/>
        <v>3.08</v>
      </c>
      <c r="J146" s="59">
        <f>+J147+J148</f>
        <v>0</v>
      </c>
      <c r="K146" s="59">
        <f t="shared" ref="K146:N146" si="385">+K147+K148</f>
        <v>0</v>
      </c>
      <c r="L146" s="59">
        <f t="shared" si="385"/>
        <v>0</v>
      </c>
      <c r="M146" s="59">
        <f t="shared" si="385"/>
        <v>0</v>
      </c>
      <c r="N146" s="59">
        <f t="shared" si="385"/>
        <v>0</v>
      </c>
    </row>
    <row r="147" spans="1:15" x14ac:dyDescent="0.3">
      <c r="A147" s="58" t="s">
        <v>140</v>
      </c>
      <c r="B147" s="59">
        <f>+Historicals!B197</f>
        <v>-0.02</v>
      </c>
      <c r="C147" s="59">
        <f>+Historicals!C197</f>
        <v>-0.3</v>
      </c>
      <c r="D147" s="59">
        <f>+Historicals!D197</f>
        <v>-0.02</v>
      </c>
      <c r="E147" s="59">
        <f>+Historicals!E197</f>
        <v>0.12</v>
      </c>
      <c r="F147" s="59">
        <f>+Historicals!F197</f>
        <v>-0.53</v>
      </c>
      <c r="G147" s="59">
        <f>+Historicals!G197</f>
        <v>-0.26</v>
      </c>
      <c r="H147" s="59">
        <f>+Historicals!H197</f>
        <v>-0.17</v>
      </c>
      <c r="I147" s="59">
        <f>+Historicals!I197</f>
        <v>3.02</v>
      </c>
      <c r="J147" s="64">
        <v>0</v>
      </c>
      <c r="K147" s="64">
        <f t="shared" ref="K147:K148" si="386">+J147</f>
        <v>0</v>
      </c>
      <c r="L147" s="64">
        <f t="shared" ref="L147:L148" si="387">+K147</f>
        <v>0</v>
      </c>
      <c r="M147" s="64">
        <f t="shared" ref="M147:M148" si="388">+L147</f>
        <v>0</v>
      </c>
      <c r="N147" s="64">
        <f t="shared" ref="N147:N148" si="389">+M147</f>
        <v>0</v>
      </c>
      <c r="O147" s="65" t="s">
        <v>196</v>
      </c>
    </row>
    <row r="148" spans="1:15" x14ac:dyDescent="0.3">
      <c r="A148" s="58" t="s">
        <v>141</v>
      </c>
      <c r="B148" s="59" t="str">
        <f t="shared" ref="B148:H148" si="390">+IFERROR(B146-B147,"nm")</f>
        <v>nm</v>
      </c>
      <c r="C148" s="59" t="str">
        <f t="shared" si="390"/>
        <v>nm</v>
      </c>
      <c r="D148" s="59">
        <f t="shared" si="390"/>
        <v>0.02</v>
      </c>
      <c r="E148" s="59">
        <f t="shared" si="390"/>
        <v>8.5479452054794458E-2</v>
      </c>
      <c r="F148" s="59">
        <f t="shared" si="390"/>
        <v>7.2727272727273196E-3</v>
      </c>
      <c r="G148" s="59">
        <f t="shared" si="390"/>
        <v>-2.571428571428569E-2</v>
      </c>
      <c r="H148" s="59">
        <f t="shared" si="390"/>
        <v>3.3333333333333826E-3</v>
      </c>
      <c r="I148" s="59">
        <f>+IFERROR(I146-I147,"nm")</f>
        <v>6.0000000000000053E-2</v>
      </c>
      <c r="J148" s="64">
        <v>0</v>
      </c>
      <c r="K148" s="64">
        <f t="shared" si="386"/>
        <v>0</v>
      </c>
      <c r="L148" s="64">
        <f t="shared" si="387"/>
        <v>0</v>
      </c>
      <c r="M148" s="64">
        <f t="shared" si="388"/>
        <v>0</v>
      </c>
      <c r="N148" s="64">
        <f t="shared" si="389"/>
        <v>0</v>
      </c>
    </row>
    <row r="149" spans="1:15" x14ac:dyDescent="0.3">
      <c r="A149" s="55" t="s">
        <v>133</v>
      </c>
      <c r="B149" s="62">
        <f t="shared" ref="B149:H149" si="391">+B156+B152</f>
        <v>-2057</v>
      </c>
      <c r="C149" s="62">
        <f t="shared" si="391"/>
        <v>-2366</v>
      </c>
      <c r="D149" s="62">
        <f t="shared" si="391"/>
        <v>-2444</v>
      </c>
      <c r="E149" s="62">
        <f t="shared" si="391"/>
        <v>-2441</v>
      </c>
      <c r="F149" s="62">
        <f t="shared" si="391"/>
        <v>-3067</v>
      </c>
      <c r="G149" s="62">
        <f t="shared" si="391"/>
        <v>-3254</v>
      </c>
      <c r="H149" s="62">
        <f t="shared" si="391"/>
        <v>-3434</v>
      </c>
      <c r="I149" s="62">
        <f>+I156+I152</f>
        <v>-4042</v>
      </c>
      <c r="J149" s="62">
        <f>+J145*J151</f>
        <v>-4042</v>
      </c>
      <c r="K149" s="62">
        <f t="shared" ref="K149:N149" si="392">+K145*K151</f>
        <v>-4042</v>
      </c>
      <c r="L149" s="62">
        <f t="shared" si="392"/>
        <v>-4042</v>
      </c>
      <c r="M149" s="62">
        <f t="shared" si="392"/>
        <v>-4042</v>
      </c>
      <c r="N149" s="62">
        <f t="shared" si="392"/>
        <v>-4042</v>
      </c>
    </row>
    <row r="150" spans="1:15" x14ac:dyDescent="0.3">
      <c r="A150" s="56" t="s">
        <v>132</v>
      </c>
      <c r="B150" s="59" t="str">
        <f t="shared" ref="B150:I150" si="393">+IFERROR(B149/A149-1,"nm")</f>
        <v>nm</v>
      </c>
      <c r="C150" s="59">
        <f t="shared" si="393"/>
        <v>0.15021876519202726</v>
      </c>
      <c r="D150" s="59">
        <f t="shared" si="393"/>
        <v>3.2967032967033072E-2</v>
      </c>
      <c r="E150" s="59">
        <f t="shared" si="393"/>
        <v>-1.2274959083469206E-3</v>
      </c>
      <c r="F150" s="59">
        <f t="shared" si="393"/>
        <v>0.25645227365833678</v>
      </c>
      <c r="G150" s="59">
        <f t="shared" si="393"/>
        <v>6.0971633518095869E-2</v>
      </c>
      <c r="H150" s="59">
        <f t="shared" si="393"/>
        <v>5.5316533497234088E-2</v>
      </c>
      <c r="I150" s="59">
        <f t="shared" si="393"/>
        <v>0.1770529994175889</v>
      </c>
      <c r="J150" s="59">
        <f t="shared" ref="J150" si="394">+IFERROR(J149/I149-1,"nm")</f>
        <v>0</v>
      </c>
      <c r="K150" s="59">
        <f t="shared" ref="K150" si="395">+IFERROR(K149/J149-1,"nm")</f>
        <v>0</v>
      </c>
      <c r="L150" s="59">
        <f t="shared" ref="L150" si="396">+IFERROR(L149/K149-1,"nm")</f>
        <v>0</v>
      </c>
      <c r="M150" s="59">
        <f t="shared" ref="M150" si="397">+IFERROR(M149/L149-1,"nm")</f>
        <v>0</v>
      </c>
      <c r="N150" s="59">
        <f t="shared" ref="N150" si="398">+IFERROR(N149/M149-1,"nm")</f>
        <v>0</v>
      </c>
    </row>
    <row r="151" spans="1:15" x14ac:dyDescent="0.3">
      <c r="A151" s="56" t="s">
        <v>134</v>
      </c>
      <c r="B151" s="59" t="str">
        <f t="shared" ref="B151:H151" si="399">+IFERROR(B149/B$145,"nm")</f>
        <v>nm</v>
      </c>
      <c r="C151" s="59">
        <f t="shared" si="399"/>
        <v>-32.410958904109592</v>
      </c>
      <c r="D151" s="59">
        <f t="shared" si="399"/>
        <v>-33.479452054794521</v>
      </c>
      <c r="E151" s="59">
        <f t="shared" si="399"/>
        <v>-27.738636363636363</v>
      </c>
      <c r="F151" s="59">
        <f t="shared" si="399"/>
        <v>-73.023809523809518</v>
      </c>
      <c r="G151" s="59">
        <f t="shared" si="399"/>
        <v>-108.46666666666667</v>
      </c>
      <c r="H151" s="59">
        <f t="shared" si="399"/>
        <v>-137.36000000000001</v>
      </c>
      <c r="I151" s="59">
        <f>+IFERROR(I149/I$145,"nm")</f>
        <v>-39.627450980392155</v>
      </c>
      <c r="J151" s="64">
        <f>+I151</f>
        <v>-39.627450980392155</v>
      </c>
      <c r="K151" s="64">
        <f t="shared" ref="K151" si="400">+J151</f>
        <v>-39.627450980392155</v>
      </c>
      <c r="L151" s="64">
        <f t="shared" ref="L151" si="401">+K151</f>
        <v>-39.627450980392155</v>
      </c>
      <c r="M151" s="64">
        <f t="shared" ref="M151" si="402">+L151</f>
        <v>-39.627450980392155</v>
      </c>
      <c r="N151" s="64">
        <f t="shared" ref="N151" si="403">+M151</f>
        <v>-39.627450980392155</v>
      </c>
    </row>
    <row r="152" spans="1:15" x14ac:dyDescent="0.3">
      <c r="A152" s="55" t="s">
        <v>135</v>
      </c>
      <c r="B152" s="55">
        <f>+Historicals!B173</f>
        <v>210</v>
      </c>
      <c r="C152" s="55">
        <f>+Historicals!C173</f>
        <v>230</v>
      </c>
      <c r="D152" s="55">
        <f>+Historicals!D173</f>
        <v>233</v>
      </c>
      <c r="E152" s="55">
        <f>+Historicals!E173</f>
        <v>217</v>
      </c>
      <c r="F152" s="55">
        <f>+Historicals!F173</f>
        <v>195</v>
      </c>
      <c r="G152" s="55">
        <f>+Historicals!G173</f>
        <v>214</v>
      </c>
      <c r="H152" s="55">
        <f>+Historicals!H173</f>
        <v>222</v>
      </c>
      <c r="I152" s="55">
        <f>+Historicals!I173</f>
        <v>220</v>
      </c>
      <c r="J152" s="62">
        <f>+J155*J162</f>
        <v>219.99999999999997</v>
      </c>
      <c r="K152" s="62">
        <f>+K155*K162</f>
        <v>219.99999999999997</v>
      </c>
      <c r="L152" s="62">
        <f>+L155*L162</f>
        <v>219.99999999999997</v>
      </c>
      <c r="M152" s="62">
        <f>+M155*M162</f>
        <v>219.99999999999997</v>
      </c>
      <c r="N152" s="62">
        <f>+N155*N162</f>
        <v>219.99999999999997</v>
      </c>
    </row>
    <row r="153" spans="1:15" x14ac:dyDescent="0.3">
      <c r="A153" s="56" t="s">
        <v>132</v>
      </c>
      <c r="B153" s="59" t="str">
        <f t="shared" ref="B153:I153" si="404">+IFERROR(B152/A152-1,"nm")</f>
        <v>nm</v>
      </c>
      <c r="C153" s="59">
        <f t="shared" si="404"/>
        <v>9.5238095238095344E-2</v>
      </c>
      <c r="D153" s="59">
        <f t="shared" si="404"/>
        <v>1.304347826086949E-2</v>
      </c>
      <c r="E153" s="59">
        <f t="shared" si="404"/>
        <v>-6.8669527896995763E-2</v>
      </c>
      <c r="F153" s="59">
        <f t="shared" si="404"/>
        <v>-0.10138248847926268</v>
      </c>
      <c r="G153" s="59">
        <f t="shared" si="404"/>
        <v>9.7435897435897534E-2</v>
      </c>
      <c r="H153" s="59">
        <f t="shared" si="404"/>
        <v>3.7383177570093462E-2</v>
      </c>
      <c r="I153" s="59">
        <f t="shared" si="404"/>
        <v>-9.009009009009028E-3</v>
      </c>
      <c r="J153" s="59">
        <f t="shared" ref="J153" si="405">+IFERROR(J152/I152-1,"nm")</f>
        <v>-1.1102230246251565E-16</v>
      </c>
      <c r="K153" s="59">
        <f t="shared" ref="K153" si="406">+IFERROR(K152/J152-1,"nm")</f>
        <v>0</v>
      </c>
      <c r="L153" s="59">
        <f t="shared" ref="L153" si="407">+IFERROR(L152/K152-1,"nm")</f>
        <v>0</v>
      </c>
      <c r="M153" s="59">
        <f t="shared" ref="M153" si="408">+IFERROR(M152/L152-1,"nm")</f>
        <v>0</v>
      </c>
      <c r="N153" s="59">
        <f t="shared" ref="N153" si="409">+IFERROR(N152/M152-1,"nm")</f>
        <v>0</v>
      </c>
    </row>
    <row r="154" spans="1:15" x14ac:dyDescent="0.3">
      <c r="A154" s="56" t="s">
        <v>136</v>
      </c>
      <c r="B154" s="59" t="str">
        <f t="shared" ref="B154:H154" si="410">+IFERROR(B152/B$145,"nm")</f>
        <v>nm</v>
      </c>
      <c r="C154" s="59">
        <f t="shared" si="410"/>
        <v>3.1506849315068495</v>
      </c>
      <c r="D154" s="59">
        <f t="shared" si="410"/>
        <v>3.1917808219178081</v>
      </c>
      <c r="E154" s="59">
        <f t="shared" si="410"/>
        <v>2.4659090909090908</v>
      </c>
      <c r="F154" s="59">
        <f t="shared" si="410"/>
        <v>4.6428571428571432</v>
      </c>
      <c r="G154" s="59">
        <f t="shared" si="410"/>
        <v>7.1333333333333337</v>
      </c>
      <c r="H154" s="59">
        <f t="shared" si="410"/>
        <v>8.8800000000000008</v>
      </c>
      <c r="I154" s="59">
        <f>+IFERROR(I152/I$145,"nm")</f>
        <v>2.1568627450980391</v>
      </c>
      <c r="J154" s="59">
        <f t="shared" ref="J154:N154" si="411">+IFERROR(J152/J$21,"nm")</f>
        <v>1.1373348357181864E-2</v>
      </c>
      <c r="K154" s="59">
        <f t="shared" si="411"/>
        <v>1.0787206101177241E-2</v>
      </c>
      <c r="L154" s="59">
        <f t="shared" si="411"/>
        <v>1.022791072585749E-2</v>
      </c>
      <c r="M154" s="59">
        <f t="shared" si="411"/>
        <v>9.694623079877826E-3</v>
      </c>
      <c r="N154" s="59">
        <f t="shared" si="411"/>
        <v>9.1864787165590375E-3</v>
      </c>
    </row>
    <row r="155" spans="1:15" x14ac:dyDescent="0.3">
      <c r="A155" s="56" t="s">
        <v>144</v>
      </c>
      <c r="B155" s="59">
        <f>+IFERROR(B152/B162,"nm")</f>
        <v>0.43388429752066116</v>
      </c>
      <c r="C155" s="59">
        <f t="shared" ref="C155:I155" si="412">+IFERROR(C152/C162,"nm")</f>
        <v>0.45009784735812131</v>
      </c>
      <c r="D155" s="59">
        <f t="shared" si="412"/>
        <v>0.43714821763602252</v>
      </c>
      <c r="E155" s="59">
        <f t="shared" si="412"/>
        <v>0.36348408710217756</v>
      </c>
      <c r="F155" s="59">
        <f t="shared" si="412"/>
        <v>0.2932330827067669</v>
      </c>
      <c r="G155" s="59">
        <f t="shared" si="412"/>
        <v>0.25783132530120484</v>
      </c>
      <c r="H155" s="59">
        <f t="shared" si="412"/>
        <v>0.2846153846153846</v>
      </c>
      <c r="I155" s="59">
        <f t="shared" si="412"/>
        <v>0.27883396704689478</v>
      </c>
      <c r="J155" s="64">
        <f>+I155</f>
        <v>0.27883396704689478</v>
      </c>
      <c r="K155" s="64">
        <f t="shared" ref="K155" si="413">+J155</f>
        <v>0.27883396704689478</v>
      </c>
      <c r="L155" s="64">
        <f t="shared" ref="L155" si="414">+K155</f>
        <v>0.27883396704689478</v>
      </c>
      <c r="M155" s="64">
        <f t="shared" ref="M155" si="415">+L155</f>
        <v>0.27883396704689478</v>
      </c>
      <c r="N155" s="64">
        <f t="shared" ref="N155" si="416">+M155</f>
        <v>0.27883396704689478</v>
      </c>
    </row>
    <row r="156" spans="1:15" x14ac:dyDescent="0.3">
      <c r="A156" s="55" t="s">
        <v>137</v>
      </c>
      <c r="B156" s="55">
        <f>+Historicals!B140</f>
        <v>-2267</v>
      </c>
      <c r="C156" s="55">
        <f>+Historicals!C140</f>
        <v>-2596</v>
      </c>
      <c r="D156" s="55">
        <f>+Historicals!D140</f>
        <v>-2677</v>
      </c>
      <c r="E156" s="55">
        <f>+Historicals!E140</f>
        <v>-2658</v>
      </c>
      <c r="F156" s="55">
        <f>+Historicals!F140</f>
        <v>-3262</v>
      </c>
      <c r="G156" s="55">
        <f>+Historicals!G140</f>
        <v>-3468</v>
      </c>
      <c r="H156" s="55">
        <f>+Historicals!H140</f>
        <v>-3656</v>
      </c>
      <c r="I156" s="55">
        <f>+Historicals!I140</f>
        <v>-4262</v>
      </c>
      <c r="J156" s="55">
        <f>+J149-J152</f>
        <v>-4262</v>
      </c>
      <c r="K156" s="55">
        <f t="shared" ref="K156:N156" si="417">+K149-K152</f>
        <v>-4262</v>
      </c>
      <c r="L156" s="55">
        <f t="shared" si="417"/>
        <v>-4262</v>
      </c>
      <c r="M156" s="55">
        <f t="shared" si="417"/>
        <v>-4262</v>
      </c>
      <c r="N156" s="55">
        <f t="shared" si="417"/>
        <v>-4262</v>
      </c>
    </row>
    <row r="157" spans="1:15" x14ac:dyDescent="0.3">
      <c r="A157" s="56" t="s">
        <v>132</v>
      </c>
      <c r="B157" s="59" t="str">
        <f t="shared" ref="B157:I157" si="418">+IFERROR(B156/A156-1,"nm")</f>
        <v>nm</v>
      </c>
      <c r="C157" s="59">
        <f t="shared" si="418"/>
        <v>0.145125716806352</v>
      </c>
      <c r="D157" s="59">
        <f t="shared" si="418"/>
        <v>3.1201848998459125E-2</v>
      </c>
      <c r="E157" s="59">
        <f t="shared" si="418"/>
        <v>-7.097497198356395E-3</v>
      </c>
      <c r="F157" s="59">
        <f t="shared" si="418"/>
        <v>0.22723852520692245</v>
      </c>
      <c r="G157" s="59">
        <f t="shared" si="418"/>
        <v>6.3151440833844275E-2</v>
      </c>
      <c r="H157" s="59">
        <f t="shared" si="418"/>
        <v>5.4209919261822392E-2</v>
      </c>
      <c r="I157" s="59">
        <f t="shared" si="418"/>
        <v>0.16575492341356668</v>
      </c>
      <c r="J157" s="59">
        <f t="shared" ref="J157" si="419">+IFERROR(J156/I156-1,"nm")</f>
        <v>0</v>
      </c>
      <c r="K157" s="59">
        <f t="shared" ref="K157" si="420">+IFERROR(K156/J156-1,"nm")</f>
        <v>0</v>
      </c>
      <c r="L157" s="59">
        <f t="shared" ref="L157" si="421">+IFERROR(L156/K156-1,"nm")</f>
        <v>0</v>
      </c>
      <c r="M157" s="59">
        <f t="shared" ref="M157" si="422">+IFERROR(M156/L156-1,"nm")</f>
        <v>0</v>
      </c>
      <c r="N157" s="59">
        <f t="shared" ref="N157" si="423">+IFERROR(N156/M156-1,"nm")</f>
        <v>0</v>
      </c>
    </row>
    <row r="158" spans="1:15" x14ac:dyDescent="0.3">
      <c r="A158" s="56" t="s">
        <v>134</v>
      </c>
      <c r="B158" s="59" t="str">
        <f t="shared" ref="B158:H158" si="424">+IFERROR(B156/B$145,"nm")</f>
        <v>nm</v>
      </c>
      <c r="C158" s="59">
        <f t="shared" si="424"/>
        <v>-35.561643835616437</v>
      </c>
      <c r="D158" s="59">
        <f t="shared" si="424"/>
        <v>-36.671232876712331</v>
      </c>
      <c r="E158" s="59">
        <f t="shared" si="424"/>
        <v>-30.204545454545453</v>
      </c>
      <c r="F158" s="59">
        <f t="shared" si="424"/>
        <v>-77.666666666666671</v>
      </c>
      <c r="G158" s="59">
        <f t="shared" si="424"/>
        <v>-115.6</v>
      </c>
      <c r="H158" s="59">
        <f t="shared" si="424"/>
        <v>-146.24</v>
      </c>
      <c r="I158" s="59">
        <f>+IFERROR(I156/I$145,"nm")</f>
        <v>-41.784313725490193</v>
      </c>
      <c r="J158" s="59">
        <f t="shared" ref="J158:N158" si="425">+IFERROR(J156/J$21,"nm")</f>
        <v>-0.22033277590140504</v>
      </c>
      <c r="K158" s="59">
        <f t="shared" si="425"/>
        <v>-0.20897760183280642</v>
      </c>
      <c r="L158" s="59">
        <f t="shared" si="425"/>
        <v>-0.19814252506183921</v>
      </c>
      <c r="M158" s="59">
        <f t="shared" si="425"/>
        <v>-0.18781128893836047</v>
      </c>
      <c r="N158" s="59">
        <f t="shared" si="425"/>
        <v>-0.17796714677261191</v>
      </c>
    </row>
    <row r="159" spans="1:15" x14ac:dyDescent="0.3">
      <c r="A159" s="55" t="s">
        <v>138</v>
      </c>
      <c r="B159" s="55">
        <f>+Historicals!B162</f>
        <v>225</v>
      </c>
      <c r="C159" s="55">
        <f>+Historicals!C162</f>
        <v>258</v>
      </c>
      <c r="D159" s="55">
        <f>+Historicals!D162</f>
        <v>278</v>
      </c>
      <c r="E159" s="55">
        <f>+Historicals!E162</f>
        <v>286</v>
      </c>
      <c r="F159" s="55">
        <f>+Historicals!F162</f>
        <v>278</v>
      </c>
      <c r="G159" s="55">
        <f>+Historicals!G162</f>
        <v>438</v>
      </c>
      <c r="H159" s="55">
        <f>+Historicals!H162</f>
        <v>278</v>
      </c>
      <c r="I159" s="55">
        <f>+Historicals!I162</f>
        <v>222</v>
      </c>
      <c r="J159" s="62">
        <f>+J145*J161</f>
        <v>221.99999999999997</v>
      </c>
      <c r="K159" s="62">
        <f t="shared" ref="K159:N159" si="426">+K145*K161</f>
        <v>221.99999999999997</v>
      </c>
      <c r="L159" s="62">
        <f t="shared" si="426"/>
        <v>221.99999999999997</v>
      </c>
      <c r="M159" s="62">
        <f t="shared" si="426"/>
        <v>221.99999999999997</v>
      </c>
      <c r="N159" s="62">
        <f t="shared" si="426"/>
        <v>221.99999999999997</v>
      </c>
    </row>
    <row r="160" spans="1:15" x14ac:dyDescent="0.3">
      <c r="A160" s="56" t="s">
        <v>132</v>
      </c>
      <c r="B160" s="59" t="str">
        <f t="shared" ref="B160:I160" si="427">+IFERROR(B159/A159-1,"nm")</f>
        <v>nm</v>
      </c>
      <c r="C160" s="59">
        <f t="shared" si="427"/>
        <v>0.14666666666666672</v>
      </c>
      <c r="D160" s="59">
        <f t="shared" si="427"/>
        <v>7.7519379844961156E-2</v>
      </c>
      <c r="E160" s="59">
        <f t="shared" si="427"/>
        <v>2.877697841726623E-2</v>
      </c>
      <c r="F160" s="59">
        <f t="shared" si="427"/>
        <v>-2.7972027972028024E-2</v>
      </c>
      <c r="G160" s="59">
        <f t="shared" si="427"/>
        <v>0.57553956834532372</v>
      </c>
      <c r="H160" s="59">
        <f t="shared" si="427"/>
        <v>-0.36529680365296802</v>
      </c>
      <c r="I160" s="59">
        <f t="shared" si="427"/>
        <v>-0.20143884892086328</v>
      </c>
      <c r="J160" s="59">
        <f t="shared" ref="J160" si="428">+IFERROR(J159/I159-1,"nm")</f>
        <v>-1.1102230246251565E-16</v>
      </c>
      <c r="K160" s="59">
        <f t="shared" ref="K160" si="429">+IFERROR(K159/J159-1,"nm")</f>
        <v>0</v>
      </c>
      <c r="L160" s="59">
        <f t="shared" ref="L160" si="430">+IFERROR(L159/K159-1,"nm")</f>
        <v>0</v>
      </c>
      <c r="M160" s="59">
        <f t="shared" ref="M160" si="431">+IFERROR(M159/L159-1,"nm")</f>
        <v>0</v>
      </c>
      <c r="N160" s="59">
        <f t="shared" ref="N160" si="432">+IFERROR(N159/M159-1,"nm")</f>
        <v>0</v>
      </c>
    </row>
    <row r="161" spans="1:15" x14ac:dyDescent="0.3">
      <c r="A161" s="56" t="s">
        <v>136</v>
      </c>
      <c r="B161" s="59" t="str">
        <f t="shared" ref="B161:H161" si="433">+IFERROR(B159/B$145,"nm")</f>
        <v>nm</v>
      </c>
      <c r="C161" s="59">
        <f t="shared" si="433"/>
        <v>3.5342465753424657</v>
      </c>
      <c r="D161" s="59">
        <f t="shared" si="433"/>
        <v>3.8082191780821919</v>
      </c>
      <c r="E161" s="59">
        <f t="shared" si="433"/>
        <v>3.25</v>
      </c>
      <c r="F161" s="59">
        <f t="shared" si="433"/>
        <v>6.6190476190476186</v>
      </c>
      <c r="G161" s="59">
        <f t="shared" si="433"/>
        <v>14.6</v>
      </c>
      <c r="H161" s="59">
        <f t="shared" si="433"/>
        <v>11.12</v>
      </c>
      <c r="I161" s="59">
        <f>+IFERROR(I159/I$145,"nm")</f>
        <v>2.1764705882352939</v>
      </c>
      <c r="J161" s="64">
        <f>+I161</f>
        <v>2.1764705882352939</v>
      </c>
      <c r="K161" s="64">
        <f t="shared" ref="K161" si="434">+J161</f>
        <v>2.1764705882352939</v>
      </c>
      <c r="L161" s="64">
        <f t="shared" ref="L161" si="435">+K161</f>
        <v>2.1764705882352939</v>
      </c>
      <c r="M161" s="64">
        <f t="shared" ref="M161" si="436">+L161</f>
        <v>2.1764705882352939</v>
      </c>
      <c r="N161" s="64">
        <f t="shared" ref="N161" si="437">+M161</f>
        <v>2.1764705882352939</v>
      </c>
    </row>
    <row r="162" spans="1:15" x14ac:dyDescent="0.3">
      <c r="A162" s="55" t="s">
        <v>143</v>
      </c>
      <c r="B162" s="62">
        <f>+Historicals!B151</f>
        <v>484</v>
      </c>
      <c r="C162" s="62">
        <f>+Historicals!C151</f>
        <v>511</v>
      </c>
      <c r="D162" s="62">
        <f>+Historicals!D151</f>
        <v>533</v>
      </c>
      <c r="E162" s="62">
        <f>+Historicals!E151</f>
        <v>597</v>
      </c>
      <c r="F162" s="62">
        <f>+Historicals!F151</f>
        <v>665</v>
      </c>
      <c r="G162" s="62">
        <f>+Historicals!G151</f>
        <v>830</v>
      </c>
      <c r="H162" s="62">
        <f>+Historicals!H151</f>
        <v>780</v>
      </c>
      <c r="I162" s="62">
        <f>+Historicals!I151</f>
        <v>789</v>
      </c>
      <c r="J162" s="62">
        <f>+J145*J164</f>
        <v>789</v>
      </c>
      <c r="K162" s="62">
        <f t="shared" ref="K162:N162" si="438">+K145*K164</f>
        <v>789</v>
      </c>
      <c r="L162" s="62">
        <f t="shared" si="438"/>
        <v>789</v>
      </c>
      <c r="M162" s="62">
        <f t="shared" si="438"/>
        <v>789</v>
      </c>
      <c r="N162" s="62">
        <f t="shared" si="438"/>
        <v>789</v>
      </c>
    </row>
    <row r="163" spans="1:15" x14ac:dyDescent="0.3">
      <c r="A163" s="56" t="s">
        <v>132</v>
      </c>
      <c r="B163" s="63" t="str">
        <f t="shared" ref="B163" si="439">+IFERROR(B162/A162-1,"nm")</f>
        <v>nm</v>
      </c>
      <c r="C163" s="63">
        <f t="shared" ref="C163" si="440">+IFERROR(C162/B162-1,"nm")</f>
        <v>5.5785123966942241E-2</v>
      </c>
      <c r="D163" s="63">
        <f t="shared" ref="D163" si="441">+IFERROR(D162/C162-1,"nm")</f>
        <v>4.3052837573385627E-2</v>
      </c>
      <c r="E163" s="63">
        <f t="shared" ref="E163" si="442">+IFERROR(E162/D162-1,"nm")</f>
        <v>0.12007504690431525</v>
      </c>
      <c r="F163" s="63">
        <f t="shared" ref="F163" si="443">+IFERROR(F162/E162-1,"nm")</f>
        <v>0.11390284757118918</v>
      </c>
      <c r="G163" s="63">
        <f t="shared" ref="G163" si="444">+IFERROR(G162/F162-1,"nm")</f>
        <v>0.24812030075187974</v>
      </c>
      <c r="H163" s="63">
        <f t="shared" ref="H163" si="445">+IFERROR(H162/G162-1,"nm")</f>
        <v>-6.0240963855421659E-2</v>
      </c>
      <c r="I163" s="63">
        <f t="shared" ref="I163" si="446">+IFERROR(I162/H162-1,"nm")</f>
        <v>1.1538461538461497E-2</v>
      </c>
      <c r="J163" s="59">
        <f>+J164+J165</f>
        <v>7.7352941176470589</v>
      </c>
      <c r="K163" s="59">
        <f t="shared" ref="K163:N163" si="447">+K164+K165</f>
        <v>7.7352941176470589</v>
      </c>
      <c r="L163" s="59">
        <f t="shared" si="447"/>
        <v>7.7352941176470589</v>
      </c>
      <c r="M163" s="59">
        <f t="shared" si="447"/>
        <v>7.7352941176470589</v>
      </c>
      <c r="N163" s="59">
        <f t="shared" si="447"/>
        <v>7.7352941176470589</v>
      </c>
    </row>
    <row r="164" spans="1:15" x14ac:dyDescent="0.3">
      <c r="A164" s="56" t="s">
        <v>136</v>
      </c>
      <c r="B164" s="63" t="str">
        <f>+IFERROR(B162/B145,"nm")</f>
        <v>nm</v>
      </c>
      <c r="C164" s="63">
        <f t="shared" ref="C164:I164" si="448">+IFERROR(C162/C145,"nm")</f>
        <v>7</v>
      </c>
      <c r="D164" s="63">
        <f t="shared" si="448"/>
        <v>7.3013698630136989</v>
      </c>
      <c r="E164" s="63">
        <f t="shared" si="448"/>
        <v>6.7840909090909092</v>
      </c>
      <c r="F164" s="63">
        <f t="shared" si="448"/>
        <v>15.833333333333334</v>
      </c>
      <c r="G164" s="63">
        <f t="shared" si="448"/>
        <v>27.666666666666668</v>
      </c>
      <c r="H164" s="63">
        <f t="shared" si="448"/>
        <v>31.2</v>
      </c>
      <c r="I164" s="63">
        <f t="shared" si="448"/>
        <v>7.7352941176470589</v>
      </c>
      <c r="J164" s="64">
        <f>+I164</f>
        <v>7.7352941176470589</v>
      </c>
      <c r="K164" s="64">
        <f t="shared" ref="K164" si="449">+J164</f>
        <v>7.7352941176470589</v>
      </c>
      <c r="L164" s="64">
        <f t="shared" ref="L164" si="450">+K164</f>
        <v>7.7352941176470589</v>
      </c>
      <c r="M164" s="64">
        <f t="shared" ref="M164" si="451">+L164</f>
        <v>7.7352941176470589</v>
      </c>
      <c r="N164" s="64">
        <f t="shared" ref="N164" si="452">+M164</f>
        <v>7.7352941176470589</v>
      </c>
    </row>
    <row r="165" spans="1:15" x14ac:dyDescent="0.3">
      <c r="A165" s="57" t="str">
        <f>+Historicals!A127</f>
        <v>Converse</v>
      </c>
      <c r="B165" s="57"/>
      <c r="C165" s="57"/>
      <c r="D165" s="57"/>
      <c r="E165" s="57"/>
      <c r="F165" s="57"/>
      <c r="G165" s="57"/>
      <c r="H165" s="57"/>
      <c r="I165" s="57"/>
      <c r="J165" s="53"/>
      <c r="K165" s="53"/>
      <c r="L165" s="53"/>
      <c r="M165" s="53"/>
      <c r="N165" s="53"/>
    </row>
    <row r="166" spans="1:15" x14ac:dyDescent="0.3">
      <c r="A166" s="55" t="s">
        <v>139</v>
      </c>
      <c r="B166" s="55">
        <f>+Historicals!B127</f>
        <v>1982</v>
      </c>
      <c r="C166" s="55">
        <f>+Historicals!C127</f>
        <v>1955</v>
      </c>
      <c r="D166" s="55">
        <f>+Historicals!D127</f>
        <v>2042</v>
      </c>
      <c r="E166" s="55">
        <f>+Historicals!E127</f>
        <v>1886</v>
      </c>
      <c r="F166" s="55">
        <f t="shared" ref="F166:H166" si="453">SUM(F168,F172,F176,F180)</f>
        <v>1906</v>
      </c>
      <c r="G166" s="55">
        <f t="shared" si="453"/>
        <v>1846</v>
      </c>
      <c r="H166" s="55">
        <f t="shared" si="453"/>
        <v>2205</v>
      </c>
      <c r="I166" s="55">
        <f>SUM(I168,I172,I176,I180)</f>
        <v>2346</v>
      </c>
      <c r="J166" s="55">
        <f>+SUM(J168+J172+J176+J180)</f>
        <v>2464.9140000000002</v>
      </c>
      <c r="K166" s="55">
        <f t="shared" ref="K166:N166" si="454">+SUM(K168+K172+K176+K180)</f>
        <v>2591.3916840000006</v>
      </c>
      <c r="L166" s="55">
        <f t="shared" si="454"/>
        <v>2725.8200309040003</v>
      </c>
      <c r="M166" s="55">
        <f t="shared" si="454"/>
        <v>2868.6109222206246</v>
      </c>
      <c r="N166" s="55">
        <f t="shared" si="454"/>
        <v>3020.20242129696</v>
      </c>
    </row>
    <row r="167" spans="1:15" x14ac:dyDescent="0.3">
      <c r="A167" s="58" t="s">
        <v>132</v>
      </c>
      <c r="B167" s="59" t="str">
        <f t="shared" ref="B167:I167" si="455">+IFERROR(B166/A166-1,"nm")</f>
        <v>nm</v>
      </c>
      <c r="C167" s="59">
        <f t="shared" si="455"/>
        <v>-1.3622603430877955E-2</v>
      </c>
      <c r="D167" s="59">
        <f t="shared" si="455"/>
        <v>4.4501278772378416E-2</v>
      </c>
      <c r="E167" s="59">
        <f t="shared" si="455"/>
        <v>-7.6395690499510338E-2</v>
      </c>
      <c r="F167" s="59">
        <f t="shared" si="455"/>
        <v>1.0604453870625585E-2</v>
      </c>
      <c r="G167" s="59">
        <f t="shared" si="455"/>
        <v>-3.147953830010497E-2</v>
      </c>
      <c r="H167" s="59">
        <f t="shared" si="455"/>
        <v>0.19447453954496208</v>
      </c>
      <c r="I167" s="59">
        <f t="shared" si="455"/>
        <v>6.3945578231292544E-2</v>
      </c>
      <c r="J167" s="59">
        <f t="shared" ref="J167" si="456">+IFERROR(J166/I166-1,"nm")</f>
        <v>5.0687979539641992E-2</v>
      </c>
      <c r="K167" s="59">
        <f t="shared" ref="K167" si="457">+IFERROR(K166/J166-1,"nm")</f>
        <v>5.1311195441301471E-2</v>
      </c>
      <c r="L167" s="59">
        <f t="shared" ref="L167" si="458">+IFERROR(L166/K166-1,"nm")</f>
        <v>5.1874962682792791E-2</v>
      </c>
      <c r="M167" s="59">
        <f t="shared" ref="M167" si="459">+IFERROR(M166/L166-1,"nm")</f>
        <v>5.2384563066428358E-2</v>
      </c>
      <c r="N167" s="59">
        <f t="shared" ref="N167" si="460">+IFERROR(N166/M166-1,"nm")</f>
        <v>5.2844914555016276E-2</v>
      </c>
    </row>
    <row r="168" spans="1:15" x14ac:dyDescent="0.3">
      <c r="A168" s="60" t="s">
        <v>113</v>
      </c>
      <c r="B168" s="61">
        <f>+Historicals!B128</f>
        <v>0</v>
      </c>
      <c r="C168" s="61">
        <f>+Historicals!C128</f>
        <v>0</v>
      </c>
      <c r="D168" s="61">
        <f>+Historicals!D128</f>
        <v>0</v>
      </c>
      <c r="E168" s="61">
        <f>+Historicals!E128</f>
        <v>0</v>
      </c>
      <c r="F168" s="61">
        <f>+Historicals!F128</f>
        <v>1658</v>
      </c>
      <c r="G168" s="61">
        <f>+Historicals!G128</f>
        <v>1642</v>
      </c>
      <c r="H168" s="61">
        <f>+Historicals!H128</f>
        <v>1986</v>
      </c>
      <c r="I168" s="61">
        <f>+Historicals!I128</f>
        <v>2094</v>
      </c>
      <c r="J168" s="61">
        <f>+I168*(1+J169)</f>
        <v>2211.2640000000001</v>
      </c>
      <c r="K168" s="61">
        <f t="shared" ref="K168" si="461">+J168*(1+K169)</f>
        <v>2335.0947840000003</v>
      </c>
      <c r="L168" s="61">
        <f t="shared" ref="L168" si="462">+K168*(1+L169)</f>
        <v>2465.8600919040005</v>
      </c>
      <c r="M168" s="61">
        <f t="shared" ref="M168" si="463">+L168*(1+M169)</f>
        <v>2603.9482570506248</v>
      </c>
      <c r="N168" s="61">
        <f t="shared" ref="N168" si="464">+M168*(1+N169)</f>
        <v>2749.7693594454599</v>
      </c>
    </row>
    <row r="169" spans="1:15" x14ac:dyDescent="0.3">
      <c r="A169" s="58" t="s">
        <v>132</v>
      </c>
      <c r="B169" s="59" t="str">
        <f t="shared" ref="B169:I169" si="465">+IFERROR(B168/A168-1,"nm")</f>
        <v>nm</v>
      </c>
      <c r="C169" s="59" t="str">
        <f t="shared" si="465"/>
        <v>nm</v>
      </c>
      <c r="D169" s="59" t="str">
        <f t="shared" si="465"/>
        <v>nm</v>
      </c>
      <c r="E169" s="59" t="str">
        <f t="shared" si="465"/>
        <v>nm</v>
      </c>
      <c r="F169" s="59" t="str">
        <f t="shared" si="465"/>
        <v>nm</v>
      </c>
      <c r="G169" s="59">
        <f t="shared" si="465"/>
        <v>-9.6501809408926498E-3</v>
      </c>
      <c r="H169" s="59">
        <f t="shared" si="465"/>
        <v>0.2095006090133984</v>
      </c>
      <c r="I169" s="59">
        <f t="shared" si="465"/>
        <v>5.4380664652567967E-2</v>
      </c>
      <c r="J169" s="59">
        <f>+J170+J171</f>
        <v>5.6000000000000001E-2</v>
      </c>
      <c r="K169" s="59">
        <f t="shared" ref="K169:N169" si="466">+K170+K171</f>
        <v>5.6000000000000001E-2</v>
      </c>
      <c r="L169" s="59">
        <f t="shared" si="466"/>
        <v>5.6000000000000001E-2</v>
      </c>
      <c r="M169" s="59">
        <f t="shared" si="466"/>
        <v>5.6000000000000001E-2</v>
      </c>
      <c r="N169" s="59">
        <f t="shared" si="466"/>
        <v>5.6000000000000001E-2</v>
      </c>
    </row>
    <row r="170" spans="1:15" x14ac:dyDescent="0.3">
      <c r="A170" s="58" t="s">
        <v>140</v>
      </c>
      <c r="B170" s="59">
        <f>+Historicals!B200</f>
        <v>0</v>
      </c>
      <c r="C170" s="59">
        <f>+Historicals!C200</f>
        <v>0</v>
      </c>
      <c r="D170" s="59">
        <f>+Historicals!D200</f>
        <v>0</v>
      </c>
      <c r="E170" s="59">
        <f>+Historicals!E200</f>
        <v>0</v>
      </c>
      <c r="F170" s="59">
        <f>+Historicals!F200</f>
        <v>0.05</v>
      </c>
      <c r="G170" s="59">
        <f>+Historicals!G200</f>
        <v>0.01</v>
      </c>
      <c r="H170" s="59">
        <f>+Historicals!H200</f>
        <v>0.17</v>
      </c>
      <c r="I170" s="59">
        <f>+Historicals!I200</f>
        <v>0.06</v>
      </c>
      <c r="J170" s="64">
        <v>5.6000000000000001E-2</v>
      </c>
      <c r="K170" s="64">
        <f t="shared" ref="K170:K171" si="467">+J170</f>
        <v>5.6000000000000001E-2</v>
      </c>
      <c r="L170" s="64">
        <f t="shared" ref="L170:L171" si="468">+K170</f>
        <v>5.6000000000000001E-2</v>
      </c>
      <c r="M170" s="64">
        <f t="shared" ref="M170:M171" si="469">+L170</f>
        <v>5.6000000000000001E-2</v>
      </c>
      <c r="N170" s="64">
        <f t="shared" ref="N170:N171" si="470">+M170</f>
        <v>5.6000000000000001E-2</v>
      </c>
      <c r="O170" s="65" t="s">
        <v>197</v>
      </c>
    </row>
    <row r="171" spans="1:15" x14ac:dyDescent="0.3">
      <c r="A171" s="58" t="s">
        <v>141</v>
      </c>
      <c r="B171" s="59" t="str">
        <f t="shared" ref="B171:H171" si="471">+IFERROR(B169-B170,"nm")</f>
        <v>nm</v>
      </c>
      <c r="C171" s="59" t="str">
        <f t="shared" si="471"/>
        <v>nm</v>
      </c>
      <c r="D171" s="59" t="str">
        <f t="shared" si="471"/>
        <v>nm</v>
      </c>
      <c r="E171" s="59" t="str">
        <f t="shared" si="471"/>
        <v>nm</v>
      </c>
      <c r="F171" s="59" t="str">
        <f t="shared" si="471"/>
        <v>nm</v>
      </c>
      <c r="G171" s="59">
        <f t="shared" si="471"/>
        <v>-1.9650180940892652E-2</v>
      </c>
      <c r="H171" s="59">
        <f t="shared" si="471"/>
        <v>3.9500609013398386E-2</v>
      </c>
      <c r="I171" s="59">
        <f>+IFERROR(I169-I170,"nm")</f>
        <v>-5.6193353474320307E-3</v>
      </c>
      <c r="J171" s="64">
        <v>0</v>
      </c>
      <c r="K171" s="64">
        <f t="shared" si="467"/>
        <v>0</v>
      </c>
      <c r="L171" s="64">
        <f t="shared" si="468"/>
        <v>0</v>
      </c>
      <c r="M171" s="64">
        <f t="shared" si="469"/>
        <v>0</v>
      </c>
      <c r="N171" s="64">
        <f t="shared" si="470"/>
        <v>0</v>
      </c>
    </row>
    <row r="172" spans="1:15" x14ac:dyDescent="0.3">
      <c r="A172" s="60" t="s">
        <v>114</v>
      </c>
      <c r="B172" s="61">
        <f>+Historicals!B129</f>
        <v>0</v>
      </c>
      <c r="C172" s="61">
        <f>+Historicals!C129</f>
        <v>0</v>
      </c>
      <c r="D172" s="61">
        <f>+Historicals!D129</f>
        <v>0</v>
      </c>
      <c r="E172" s="61">
        <f>+Historicals!E129</f>
        <v>0</v>
      </c>
      <c r="F172" s="61">
        <f>+Historicals!F129</f>
        <v>118</v>
      </c>
      <c r="G172" s="61">
        <f>+Historicals!G129</f>
        <v>89</v>
      </c>
      <c r="H172" s="61">
        <f>+Historicals!H129</f>
        <v>104</v>
      </c>
      <c r="I172" s="61">
        <f>+Historicals!I129</f>
        <v>103</v>
      </c>
      <c r="J172" s="61">
        <f>+I172*(1+J173)</f>
        <v>96.82</v>
      </c>
      <c r="K172" s="61">
        <f t="shared" ref="K172" si="472">+J172*(1+K173)</f>
        <v>91.010799999999989</v>
      </c>
      <c r="L172" s="61">
        <f t="shared" ref="L172" si="473">+K172*(1+L173)</f>
        <v>85.550151999999983</v>
      </c>
      <c r="M172" s="61">
        <f t="shared" ref="M172" si="474">+L172*(1+M173)</f>
        <v>80.417142879999986</v>
      </c>
      <c r="N172" s="61">
        <f t="shared" ref="N172" si="475">+M172*(1+N173)</f>
        <v>75.592114307199978</v>
      </c>
    </row>
    <row r="173" spans="1:15" x14ac:dyDescent="0.3">
      <c r="A173" s="58" t="s">
        <v>132</v>
      </c>
      <c r="B173" s="59" t="str">
        <f t="shared" ref="B173:I173" si="476">+IFERROR(B172/A172-1,"nm")</f>
        <v>nm</v>
      </c>
      <c r="C173" s="59" t="str">
        <f t="shared" si="476"/>
        <v>nm</v>
      </c>
      <c r="D173" s="59" t="str">
        <f t="shared" si="476"/>
        <v>nm</v>
      </c>
      <c r="E173" s="59" t="str">
        <f t="shared" si="476"/>
        <v>nm</v>
      </c>
      <c r="F173" s="59" t="str">
        <f t="shared" si="476"/>
        <v>nm</v>
      </c>
      <c r="G173" s="59">
        <f t="shared" si="476"/>
        <v>-0.24576271186440679</v>
      </c>
      <c r="H173" s="59">
        <f t="shared" si="476"/>
        <v>0.1685393258426966</v>
      </c>
      <c r="I173" s="59">
        <f t="shared" si="476"/>
        <v>-9.6153846153845812E-3</v>
      </c>
      <c r="J173" s="59">
        <f>+J174+J175</f>
        <v>-0.06</v>
      </c>
      <c r="K173" s="59">
        <f t="shared" ref="K173:N173" si="477">+K174+K175</f>
        <v>-0.06</v>
      </c>
      <c r="L173" s="59">
        <f t="shared" si="477"/>
        <v>-0.06</v>
      </c>
      <c r="M173" s="59">
        <f t="shared" si="477"/>
        <v>-0.06</v>
      </c>
      <c r="N173" s="59">
        <f t="shared" si="477"/>
        <v>-0.06</v>
      </c>
    </row>
    <row r="174" spans="1:15" x14ac:dyDescent="0.3">
      <c r="A174" s="58" t="s">
        <v>140</v>
      </c>
      <c r="B174" s="59">
        <f>+Historicals!B201</f>
        <v>0</v>
      </c>
      <c r="C174" s="59">
        <f>+Historicals!C201</f>
        <v>0</v>
      </c>
      <c r="D174" s="59">
        <f>+Historicals!D201</f>
        <v>0</v>
      </c>
      <c r="E174" s="59">
        <f>+Historicals!E201</f>
        <v>0</v>
      </c>
      <c r="F174" s="59">
        <f>+Historicals!F201</f>
        <v>-0.17</v>
      </c>
      <c r="G174" s="59">
        <f>+Historicals!G201</f>
        <v>-0.22</v>
      </c>
      <c r="H174" s="59">
        <f>+Historicals!H201</f>
        <v>0.13</v>
      </c>
      <c r="I174" s="59">
        <f>+Historicals!I201</f>
        <v>-0.03</v>
      </c>
      <c r="J174" s="64">
        <v>-0.06</v>
      </c>
      <c r="K174" s="64">
        <f t="shared" ref="K174:K175" si="478">+J174</f>
        <v>-0.06</v>
      </c>
      <c r="L174" s="64">
        <f t="shared" ref="L174:L175" si="479">+K174</f>
        <v>-0.06</v>
      </c>
      <c r="M174" s="64">
        <f t="shared" ref="M174:M175" si="480">+L174</f>
        <v>-0.06</v>
      </c>
      <c r="N174" s="64">
        <f t="shared" ref="N174:N175" si="481">+M174</f>
        <v>-0.06</v>
      </c>
      <c r="O174" s="65" t="s">
        <v>197</v>
      </c>
    </row>
    <row r="175" spans="1:15" x14ac:dyDescent="0.3">
      <c r="A175" s="58" t="s">
        <v>141</v>
      </c>
      <c r="B175" s="59" t="str">
        <f t="shared" ref="B175:H175" si="482">+IFERROR(B173-B174,"nm")</f>
        <v>nm</v>
      </c>
      <c r="C175" s="59" t="str">
        <f t="shared" si="482"/>
        <v>nm</v>
      </c>
      <c r="D175" s="59" t="str">
        <f t="shared" si="482"/>
        <v>nm</v>
      </c>
      <c r="E175" s="59" t="str">
        <f t="shared" si="482"/>
        <v>nm</v>
      </c>
      <c r="F175" s="59" t="str">
        <f t="shared" si="482"/>
        <v>nm</v>
      </c>
      <c r="G175" s="59">
        <f t="shared" si="482"/>
        <v>-2.576271186440679E-2</v>
      </c>
      <c r="H175" s="59">
        <f t="shared" si="482"/>
        <v>3.8539325842696592E-2</v>
      </c>
      <c r="I175" s="59">
        <f>+IFERROR(I173-I174,"nm")</f>
        <v>2.0384615384615418E-2</v>
      </c>
      <c r="J175" s="64">
        <v>0</v>
      </c>
      <c r="K175" s="64">
        <f t="shared" si="478"/>
        <v>0</v>
      </c>
      <c r="L175" s="64">
        <f t="shared" si="479"/>
        <v>0</v>
      </c>
      <c r="M175" s="64">
        <f t="shared" si="480"/>
        <v>0</v>
      </c>
      <c r="N175" s="64">
        <f t="shared" si="481"/>
        <v>0</v>
      </c>
    </row>
    <row r="176" spans="1:15" x14ac:dyDescent="0.3">
      <c r="A176" s="60" t="s">
        <v>115</v>
      </c>
      <c r="B176" s="61">
        <f>+Historicals!B130</f>
        <v>0</v>
      </c>
      <c r="C176" s="61">
        <f>+Historicals!C130</f>
        <v>0</v>
      </c>
      <c r="D176" s="61">
        <f>+Historicals!D130</f>
        <v>0</v>
      </c>
      <c r="E176" s="61">
        <f>+Historicals!E130</f>
        <v>0</v>
      </c>
      <c r="F176" s="61">
        <f>+Historicals!F130</f>
        <v>24</v>
      </c>
      <c r="G176" s="61">
        <f>+Historicals!G130</f>
        <v>25</v>
      </c>
      <c r="H176" s="61">
        <f>+Historicals!H130</f>
        <v>29</v>
      </c>
      <c r="I176" s="61">
        <f>+Historicals!I130</f>
        <v>26</v>
      </c>
      <c r="J176" s="61">
        <f>+I176*(1+J177)</f>
        <v>25.22</v>
      </c>
      <c r="K176" s="61">
        <f t="shared" ref="K176" si="483">+J176*(1+K177)</f>
        <v>24.463399999999996</v>
      </c>
      <c r="L176" s="61">
        <f t="shared" ref="L176" si="484">+K176*(1+L177)</f>
        <v>23.729497999999996</v>
      </c>
      <c r="M176" s="61">
        <f t="shared" ref="M176" si="485">+L176*(1+M177)</f>
        <v>23.017613059999995</v>
      </c>
      <c r="N176" s="61">
        <f t="shared" ref="N176" si="486">+M176*(1+N177)</f>
        <v>22.327084668199994</v>
      </c>
    </row>
    <row r="177" spans="1:15" x14ac:dyDescent="0.3">
      <c r="A177" s="58" t="s">
        <v>132</v>
      </c>
      <c r="B177" s="59" t="str">
        <f t="shared" ref="B177:I177" si="487">+IFERROR(B176/A176-1,"nm")</f>
        <v>nm</v>
      </c>
      <c r="C177" s="59" t="str">
        <f t="shared" si="487"/>
        <v>nm</v>
      </c>
      <c r="D177" s="59" t="str">
        <f t="shared" si="487"/>
        <v>nm</v>
      </c>
      <c r="E177" s="59" t="str">
        <f t="shared" si="487"/>
        <v>nm</v>
      </c>
      <c r="F177" s="59" t="str">
        <f t="shared" si="487"/>
        <v>nm</v>
      </c>
      <c r="G177" s="59">
        <f t="shared" si="487"/>
        <v>4.1666666666666741E-2</v>
      </c>
      <c r="H177" s="59">
        <f t="shared" si="487"/>
        <v>0.15999999999999992</v>
      </c>
      <c r="I177" s="59">
        <f t="shared" si="487"/>
        <v>-0.10344827586206895</v>
      </c>
      <c r="J177" s="59">
        <f>+J178+J179</f>
        <v>-0.03</v>
      </c>
      <c r="K177" s="59">
        <f t="shared" ref="K177:N177" si="488">+K178+K179</f>
        <v>-0.03</v>
      </c>
      <c r="L177" s="59">
        <f t="shared" si="488"/>
        <v>-0.03</v>
      </c>
      <c r="M177" s="59">
        <f t="shared" si="488"/>
        <v>-0.03</v>
      </c>
      <c r="N177" s="59">
        <f t="shared" si="488"/>
        <v>-0.03</v>
      </c>
    </row>
    <row r="178" spans="1:15" x14ac:dyDescent="0.3">
      <c r="A178" s="58" t="s">
        <v>140</v>
      </c>
      <c r="B178" s="59">
        <f>+Historicals!B202</f>
        <v>0</v>
      </c>
      <c r="C178" s="59">
        <f>+Historicals!C202</f>
        <v>0</v>
      </c>
      <c r="D178" s="59">
        <f>+Historicals!D202</f>
        <v>0</v>
      </c>
      <c r="E178" s="59">
        <f>+Historicals!E202</f>
        <v>0</v>
      </c>
      <c r="F178" s="59">
        <f>+Historicals!F202</f>
        <v>-0.13</v>
      </c>
      <c r="G178" s="59">
        <f>+Historicals!G202</f>
        <v>0.08</v>
      </c>
      <c r="H178" s="59">
        <f>+Historicals!H202</f>
        <v>0.14000000000000001</v>
      </c>
      <c r="I178" s="59">
        <f>+Historicals!I202</f>
        <v>-0.16</v>
      </c>
      <c r="J178" s="64">
        <v>-0.03</v>
      </c>
      <c r="K178" s="64">
        <f t="shared" ref="K178:K179" si="489">+J178</f>
        <v>-0.03</v>
      </c>
      <c r="L178" s="64">
        <f t="shared" ref="L178:L179" si="490">+K178</f>
        <v>-0.03</v>
      </c>
      <c r="M178" s="64">
        <f t="shared" ref="M178:M179" si="491">+L178</f>
        <v>-0.03</v>
      </c>
      <c r="N178" s="64">
        <f t="shared" ref="N178:N179" si="492">+M178</f>
        <v>-0.03</v>
      </c>
      <c r="O178" s="65" t="s">
        <v>197</v>
      </c>
    </row>
    <row r="179" spans="1:15" x14ac:dyDescent="0.3">
      <c r="A179" s="58" t="s">
        <v>141</v>
      </c>
      <c r="B179" s="59" t="str">
        <f t="shared" ref="B179:H179" si="493">+IFERROR(B177-B178,"nm")</f>
        <v>nm</v>
      </c>
      <c r="C179" s="59" t="str">
        <f t="shared" si="493"/>
        <v>nm</v>
      </c>
      <c r="D179" s="59" t="str">
        <f t="shared" si="493"/>
        <v>nm</v>
      </c>
      <c r="E179" s="59" t="str">
        <f t="shared" si="493"/>
        <v>nm</v>
      </c>
      <c r="F179" s="59" t="str">
        <f t="shared" si="493"/>
        <v>nm</v>
      </c>
      <c r="G179" s="59">
        <f t="shared" si="493"/>
        <v>-3.8333333333333261E-2</v>
      </c>
      <c r="H179" s="59">
        <f t="shared" si="493"/>
        <v>1.9999999999999907E-2</v>
      </c>
      <c r="I179" s="59">
        <f>+IFERROR(I177-I178,"nm")</f>
        <v>5.6551724137931053E-2</v>
      </c>
      <c r="J179" s="64">
        <v>0</v>
      </c>
      <c r="K179" s="64">
        <f t="shared" si="489"/>
        <v>0</v>
      </c>
      <c r="L179" s="64">
        <f t="shared" si="490"/>
        <v>0</v>
      </c>
      <c r="M179" s="64">
        <f t="shared" si="491"/>
        <v>0</v>
      </c>
      <c r="N179" s="64">
        <f t="shared" si="492"/>
        <v>0</v>
      </c>
    </row>
    <row r="180" spans="1:15" x14ac:dyDescent="0.3">
      <c r="A180" s="60" t="s">
        <v>121</v>
      </c>
      <c r="B180" s="61">
        <f>+Historicals!B131</f>
        <v>0</v>
      </c>
      <c r="C180" s="61">
        <f>+Historicals!C131</f>
        <v>0</v>
      </c>
      <c r="D180" s="61">
        <f>+Historicals!D131</f>
        <v>0</v>
      </c>
      <c r="E180" s="61">
        <f>+Historicals!E131</f>
        <v>0</v>
      </c>
      <c r="F180" s="61">
        <f>+Historicals!F131</f>
        <v>106</v>
      </c>
      <c r="G180" s="61">
        <f>+Historicals!G131</f>
        <v>90</v>
      </c>
      <c r="H180" s="61">
        <f>+Historicals!H131</f>
        <v>86</v>
      </c>
      <c r="I180" s="61">
        <f>+Historicals!I131</f>
        <v>123</v>
      </c>
      <c r="J180" s="61">
        <f>+I180*(1+J181)</f>
        <v>131.61000000000001</v>
      </c>
      <c r="K180" s="61">
        <f t="shared" ref="K180" si="494">+J180*(1+K181)</f>
        <v>140.82270000000003</v>
      </c>
      <c r="L180" s="61">
        <f t="shared" ref="L180" si="495">+K180*(1+L181)</f>
        <v>150.68028900000004</v>
      </c>
      <c r="M180" s="61">
        <f t="shared" ref="M180" si="496">+L180*(1+M181)</f>
        <v>161.22790923000005</v>
      </c>
      <c r="N180" s="61">
        <f t="shared" ref="N180" si="497">+M180*(1+N181)</f>
        <v>172.51386287610006</v>
      </c>
    </row>
    <row r="181" spans="1:15" x14ac:dyDescent="0.3">
      <c r="A181" s="58" t="s">
        <v>132</v>
      </c>
      <c r="B181" s="59" t="str">
        <f t="shared" ref="B181:I181" si="498">+IFERROR(B180/A180-1,"nm")</f>
        <v>nm</v>
      </c>
      <c r="C181" s="59" t="str">
        <f t="shared" si="498"/>
        <v>nm</v>
      </c>
      <c r="D181" s="59" t="str">
        <f t="shared" si="498"/>
        <v>nm</v>
      </c>
      <c r="E181" s="59" t="str">
        <f t="shared" si="498"/>
        <v>nm</v>
      </c>
      <c r="F181" s="59" t="str">
        <f t="shared" si="498"/>
        <v>nm</v>
      </c>
      <c r="G181" s="59">
        <f t="shared" si="498"/>
        <v>-0.15094339622641506</v>
      </c>
      <c r="H181" s="59">
        <f t="shared" si="498"/>
        <v>-4.4444444444444398E-2</v>
      </c>
      <c r="I181" s="59">
        <f t="shared" si="498"/>
        <v>0.43023255813953498</v>
      </c>
      <c r="J181" s="59">
        <f>+J182+J183</f>
        <v>7.0000000000000007E-2</v>
      </c>
      <c r="K181" s="59">
        <f t="shared" ref="K181:N181" si="499">+K182+K183</f>
        <v>7.0000000000000007E-2</v>
      </c>
      <c r="L181" s="59">
        <f t="shared" si="499"/>
        <v>7.0000000000000007E-2</v>
      </c>
      <c r="M181" s="59">
        <f t="shared" si="499"/>
        <v>7.0000000000000007E-2</v>
      </c>
      <c r="N181" s="59">
        <f t="shared" si="499"/>
        <v>7.0000000000000007E-2</v>
      </c>
    </row>
    <row r="182" spans="1:15" x14ac:dyDescent="0.3">
      <c r="A182" s="58" t="s">
        <v>140</v>
      </c>
      <c r="B182" s="59">
        <f>+Historicals!B203</f>
        <v>0</v>
      </c>
      <c r="C182" s="59">
        <f>+Historicals!C203</f>
        <v>0</v>
      </c>
      <c r="D182" s="59">
        <f>+Historicals!D203</f>
        <v>0</v>
      </c>
      <c r="E182" s="59">
        <f>+Historicals!E203</f>
        <v>0</v>
      </c>
      <c r="F182" s="59">
        <f>+Historicals!F203</f>
        <v>0.04</v>
      </c>
      <c r="G182" s="59">
        <f>+Historicals!G203</f>
        <v>-0.14000000000000001</v>
      </c>
      <c r="H182" s="59">
        <f>+Historicals!H203</f>
        <v>-0.01</v>
      </c>
      <c r="I182" s="59">
        <f>+Historicals!I203</f>
        <v>0.42</v>
      </c>
      <c r="J182" s="64">
        <v>7.0000000000000007E-2</v>
      </c>
      <c r="K182" s="64">
        <f t="shared" ref="K182:K183" si="500">+J182</f>
        <v>7.0000000000000007E-2</v>
      </c>
      <c r="L182" s="64">
        <f t="shared" ref="L182:L183" si="501">+K182</f>
        <v>7.0000000000000007E-2</v>
      </c>
      <c r="M182" s="64">
        <f t="shared" ref="M182:M183" si="502">+L182</f>
        <v>7.0000000000000007E-2</v>
      </c>
      <c r="N182" s="64">
        <f t="shared" ref="N182:N183" si="503">+M182</f>
        <v>7.0000000000000007E-2</v>
      </c>
      <c r="O182" s="65" t="s">
        <v>197</v>
      </c>
    </row>
    <row r="183" spans="1:15" x14ac:dyDescent="0.3">
      <c r="A183" s="58" t="s">
        <v>141</v>
      </c>
      <c r="B183" s="59" t="str">
        <f t="shared" ref="B183:H183" si="504">+IFERROR(B181-B182,"nm")</f>
        <v>nm</v>
      </c>
      <c r="C183" s="59" t="str">
        <f t="shared" si="504"/>
        <v>nm</v>
      </c>
      <c r="D183" s="59" t="str">
        <f t="shared" si="504"/>
        <v>nm</v>
      </c>
      <c r="E183" s="59" t="str">
        <f t="shared" si="504"/>
        <v>nm</v>
      </c>
      <c r="F183" s="59" t="str">
        <f t="shared" si="504"/>
        <v>nm</v>
      </c>
      <c r="G183" s="59">
        <f t="shared" si="504"/>
        <v>-1.0943396226415048E-2</v>
      </c>
      <c r="H183" s="59">
        <f t="shared" si="504"/>
        <v>-3.4444444444444396E-2</v>
      </c>
      <c r="I183" s="59">
        <f>+IFERROR(I181-I182,"nm")</f>
        <v>1.0232558139534997E-2</v>
      </c>
      <c r="J183" s="64">
        <v>0</v>
      </c>
      <c r="K183" s="64">
        <f t="shared" si="500"/>
        <v>0</v>
      </c>
      <c r="L183" s="64">
        <f t="shared" si="501"/>
        <v>0</v>
      </c>
      <c r="M183" s="64">
        <f t="shared" si="502"/>
        <v>0</v>
      </c>
      <c r="N183" s="64">
        <f t="shared" si="503"/>
        <v>0</v>
      </c>
    </row>
    <row r="184" spans="1:15" x14ac:dyDescent="0.3">
      <c r="A184" s="55" t="s">
        <v>133</v>
      </c>
      <c r="B184" s="62">
        <f t="shared" ref="B184:H184" si="505">+B191+B187</f>
        <v>535</v>
      </c>
      <c r="C184" s="62">
        <f t="shared" si="505"/>
        <v>514</v>
      </c>
      <c r="D184" s="62">
        <f t="shared" si="505"/>
        <v>505</v>
      </c>
      <c r="E184" s="62">
        <f t="shared" si="505"/>
        <v>343</v>
      </c>
      <c r="F184" s="62">
        <f t="shared" si="505"/>
        <v>334</v>
      </c>
      <c r="G184" s="62">
        <f t="shared" si="505"/>
        <v>322</v>
      </c>
      <c r="H184" s="62">
        <f t="shared" si="505"/>
        <v>569</v>
      </c>
      <c r="I184" s="62">
        <f>+I191+I187</f>
        <v>691</v>
      </c>
      <c r="J184" s="62">
        <f>+J166*J186</f>
        <v>726.02539386189267</v>
      </c>
      <c r="K184" s="62">
        <f t="shared" ref="K184:N184" si="506">+K166*K186</f>
        <v>763.27862474168819</v>
      </c>
      <c r="L184" s="62">
        <f t="shared" si="506"/>
        <v>802.8736749167366</v>
      </c>
      <c r="M184" s="62">
        <f t="shared" si="506"/>
        <v>844.9318615747876</v>
      </c>
      <c r="N184" s="62">
        <f t="shared" si="506"/>
        <v>889.58221360451807</v>
      </c>
    </row>
    <row r="185" spans="1:15" x14ac:dyDescent="0.3">
      <c r="A185" s="56" t="s">
        <v>132</v>
      </c>
      <c r="B185" s="59" t="str">
        <f t="shared" ref="B185:I185" si="507">+IFERROR(B184/A184-1,"nm")</f>
        <v>nm</v>
      </c>
      <c r="C185" s="59">
        <f t="shared" si="507"/>
        <v>-3.9252336448598157E-2</v>
      </c>
      <c r="D185" s="59">
        <f t="shared" si="507"/>
        <v>-1.7509727626459193E-2</v>
      </c>
      <c r="E185" s="59">
        <f t="shared" si="507"/>
        <v>-0.32079207920792074</v>
      </c>
      <c r="F185" s="59">
        <f t="shared" si="507"/>
        <v>-2.6239067055393583E-2</v>
      </c>
      <c r="G185" s="59">
        <f t="shared" si="507"/>
        <v>-3.59281437125748E-2</v>
      </c>
      <c r="H185" s="59">
        <f t="shared" si="507"/>
        <v>0.76708074534161486</v>
      </c>
      <c r="I185" s="59">
        <f t="shared" si="507"/>
        <v>0.21441124780316345</v>
      </c>
      <c r="J185" s="59">
        <f t="shared" ref="J185" si="508">+IFERROR(J184/I184-1,"nm")</f>
        <v>5.0687979539641992E-2</v>
      </c>
      <c r="K185" s="59">
        <f t="shared" ref="K185" si="509">+IFERROR(K184/J184-1,"nm")</f>
        <v>5.1311195441301471E-2</v>
      </c>
      <c r="L185" s="59">
        <f t="shared" ref="L185" si="510">+IFERROR(L184/K184-1,"nm")</f>
        <v>5.1874962682792791E-2</v>
      </c>
      <c r="M185" s="59">
        <f t="shared" ref="M185" si="511">+IFERROR(M184/L184-1,"nm")</f>
        <v>5.238456306642858E-2</v>
      </c>
      <c r="N185" s="59">
        <f t="shared" ref="N185" si="512">+IFERROR(N184/M184-1,"nm")</f>
        <v>5.2844914555016276E-2</v>
      </c>
    </row>
    <row r="186" spans="1:15" x14ac:dyDescent="0.3">
      <c r="A186" s="56" t="s">
        <v>134</v>
      </c>
      <c r="B186" s="59">
        <f t="shared" ref="B186:H186" si="513">+IFERROR(B184/B$166,"nm")</f>
        <v>0.26992936427850656</v>
      </c>
      <c r="C186" s="59">
        <f t="shared" si="513"/>
        <v>0.26291560102301792</v>
      </c>
      <c r="D186" s="59">
        <f t="shared" si="513"/>
        <v>0.24730656219392752</v>
      </c>
      <c r="E186" s="59">
        <f t="shared" si="513"/>
        <v>0.18186638388123011</v>
      </c>
      <c r="F186" s="59">
        <f t="shared" si="513"/>
        <v>0.17523609653725078</v>
      </c>
      <c r="G186" s="59">
        <f t="shared" si="513"/>
        <v>0.17443120260021669</v>
      </c>
      <c r="H186" s="59">
        <f t="shared" si="513"/>
        <v>0.25804988662131517</v>
      </c>
      <c r="I186" s="59">
        <f>+IFERROR(I184/I$166,"nm")</f>
        <v>0.29454390451832907</v>
      </c>
      <c r="J186" s="64">
        <f>+I186</f>
        <v>0.29454390451832907</v>
      </c>
      <c r="K186" s="64">
        <f t="shared" ref="K186" si="514">+J186</f>
        <v>0.29454390451832907</v>
      </c>
      <c r="L186" s="64">
        <f t="shared" ref="L186" si="515">+K186</f>
        <v>0.29454390451832907</v>
      </c>
      <c r="M186" s="64">
        <f t="shared" ref="M186" si="516">+L186</f>
        <v>0.29454390451832907</v>
      </c>
      <c r="N186" s="64">
        <f t="shared" ref="N186" si="517">+M186</f>
        <v>0.29454390451832907</v>
      </c>
    </row>
    <row r="187" spans="1:15" x14ac:dyDescent="0.3">
      <c r="A187" s="55" t="s">
        <v>135</v>
      </c>
      <c r="B187" s="55">
        <f>+Historicals!B175</f>
        <v>18</v>
      </c>
      <c r="C187" s="55">
        <f>+Historicals!C175</f>
        <v>27</v>
      </c>
      <c r="D187" s="55">
        <f>+Historicals!D175</f>
        <v>28</v>
      </c>
      <c r="E187" s="55">
        <f>+Historicals!E175</f>
        <v>33</v>
      </c>
      <c r="F187" s="55">
        <f>+Historicals!F175</f>
        <v>31</v>
      </c>
      <c r="G187" s="55">
        <f>+Historicals!G175</f>
        <v>25</v>
      </c>
      <c r="H187" s="55">
        <f>+Historicals!H175</f>
        <v>26</v>
      </c>
      <c r="I187" s="55">
        <f>+Historicals!I175</f>
        <v>22</v>
      </c>
      <c r="J187" s="62">
        <f>+J190*J197</f>
        <v>23.115135549872129</v>
      </c>
      <c r="K187" s="62">
        <f>+K190*K197</f>
        <v>24.30120078772379</v>
      </c>
      <c r="L187" s="62">
        <f>+L190*L197</f>
        <v>25.561824671734019</v>
      </c>
      <c r="M187" s="62">
        <f>+M190*M197</f>
        <v>26.900869688343455</v>
      </c>
      <c r="N187" s="62">
        <f>+N190*N197</f>
        <v>28.322443848479594</v>
      </c>
    </row>
    <row r="188" spans="1:15" x14ac:dyDescent="0.3">
      <c r="A188" s="56" t="s">
        <v>132</v>
      </c>
      <c r="B188" s="59" t="str">
        <f t="shared" ref="B188:I188" si="518">+IFERROR(B187/A187-1,"nm")</f>
        <v>nm</v>
      </c>
      <c r="C188" s="59">
        <f t="shared" si="518"/>
        <v>0.5</v>
      </c>
      <c r="D188" s="59">
        <f t="shared" si="518"/>
        <v>3.7037037037036979E-2</v>
      </c>
      <c r="E188" s="59">
        <f t="shared" si="518"/>
        <v>0.1785714285714286</v>
      </c>
      <c r="F188" s="59">
        <f t="shared" si="518"/>
        <v>-6.0606060606060552E-2</v>
      </c>
      <c r="G188" s="59">
        <f t="shared" si="518"/>
        <v>-0.19354838709677424</v>
      </c>
      <c r="H188" s="59">
        <f t="shared" si="518"/>
        <v>4.0000000000000036E-2</v>
      </c>
      <c r="I188" s="59">
        <f t="shared" si="518"/>
        <v>-0.15384615384615385</v>
      </c>
      <c r="J188" s="59">
        <f t="shared" ref="J188" si="519">+IFERROR(J187/I187-1,"nm")</f>
        <v>5.0687979539642214E-2</v>
      </c>
      <c r="K188" s="59">
        <f t="shared" ref="K188" si="520">+IFERROR(K187/J187-1,"nm")</f>
        <v>5.1311195441301249E-2</v>
      </c>
      <c r="L188" s="59">
        <f t="shared" ref="L188" si="521">+IFERROR(L187/K187-1,"nm")</f>
        <v>5.1874962682793013E-2</v>
      </c>
      <c r="M188" s="59">
        <f t="shared" ref="M188" si="522">+IFERROR(M187/L187-1,"nm")</f>
        <v>5.2384563066428358E-2</v>
      </c>
      <c r="N188" s="59">
        <f t="shared" ref="N188" si="523">+IFERROR(N187/M187-1,"nm")</f>
        <v>5.2844914555016276E-2</v>
      </c>
    </row>
    <row r="189" spans="1:15" x14ac:dyDescent="0.3">
      <c r="A189" s="56" t="s">
        <v>136</v>
      </c>
      <c r="B189" s="59">
        <f t="shared" ref="B189:H189" si="524">+IFERROR(B187/B$166,"nm")</f>
        <v>9.0817356205852677E-3</v>
      </c>
      <c r="C189" s="59">
        <f t="shared" si="524"/>
        <v>1.3810741687979539E-2</v>
      </c>
      <c r="D189" s="59">
        <f t="shared" si="524"/>
        <v>1.3712047012732615E-2</v>
      </c>
      <c r="E189" s="59">
        <f t="shared" si="524"/>
        <v>1.7497348886532343E-2</v>
      </c>
      <c r="F189" s="59">
        <f t="shared" si="524"/>
        <v>1.6264428121720881E-2</v>
      </c>
      <c r="G189" s="59">
        <f t="shared" si="524"/>
        <v>1.3542795232936078E-2</v>
      </c>
      <c r="H189" s="59">
        <f t="shared" si="524"/>
        <v>1.1791383219954649E-2</v>
      </c>
      <c r="I189" s="59">
        <f>+IFERROR(I187/I$166,"nm")</f>
        <v>9.3776641091219103E-3</v>
      </c>
      <c r="J189" s="59">
        <f t="shared" ref="J189:N189" si="525">+IFERROR(J187/J$21,"nm")</f>
        <v>1.1949840406007923E-3</v>
      </c>
      <c r="K189" s="59">
        <f t="shared" si="525"/>
        <v>1.1915548245603059E-3</v>
      </c>
      <c r="L189" s="59">
        <f t="shared" si="525"/>
        <v>1.1883820942387138E-3</v>
      </c>
      <c r="M189" s="59">
        <f t="shared" si="525"/>
        <v>1.1854263279518196E-3</v>
      </c>
      <c r="N189" s="59">
        <f t="shared" si="525"/>
        <v>1.1826523982499829E-3</v>
      </c>
    </row>
    <row r="190" spans="1:15" x14ac:dyDescent="0.3">
      <c r="A190" s="56" t="s">
        <v>144</v>
      </c>
      <c r="B190" s="59">
        <f>+IFERROR(B187/B197,"nm")</f>
        <v>0.14754098360655737</v>
      </c>
      <c r="C190" s="59">
        <f t="shared" ref="C190:I190" si="526">+IFERROR(C187/C197,"nm")</f>
        <v>0.216</v>
      </c>
      <c r="D190" s="59">
        <f t="shared" si="526"/>
        <v>0.224</v>
      </c>
      <c r="E190" s="59">
        <f t="shared" si="526"/>
        <v>0.28695652173913044</v>
      </c>
      <c r="F190" s="59">
        <f t="shared" si="526"/>
        <v>0.31</v>
      </c>
      <c r="G190" s="59">
        <f t="shared" si="526"/>
        <v>0.3125</v>
      </c>
      <c r="H190" s="59">
        <f t="shared" si="526"/>
        <v>0.41269841269841268</v>
      </c>
      <c r="I190" s="59">
        <f t="shared" si="526"/>
        <v>0.44897959183673469</v>
      </c>
      <c r="J190" s="64">
        <f>+I190</f>
        <v>0.44897959183673469</v>
      </c>
      <c r="K190" s="64">
        <f t="shared" ref="K190" si="527">+J190</f>
        <v>0.44897959183673469</v>
      </c>
      <c r="L190" s="64">
        <f t="shared" ref="L190" si="528">+K190</f>
        <v>0.44897959183673469</v>
      </c>
      <c r="M190" s="64">
        <f t="shared" ref="M190" si="529">+L190</f>
        <v>0.44897959183673469</v>
      </c>
      <c r="N190" s="64">
        <f t="shared" ref="N190" si="530">+M190</f>
        <v>0.44897959183673469</v>
      </c>
    </row>
    <row r="191" spans="1:15" x14ac:dyDescent="0.3">
      <c r="A191" s="55" t="s">
        <v>137</v>
      </c>
      <c r="B191" s="55">
        <f>+Historicals!B142</f>
        <v>517</v>
      </c>
      <c r="C191" s="55">
        <f>+Historicals!C142</f>
        <v>487</v>
      </c>
      <c r="D191" s="55">
        <f>+Historicals!D142</f>
        <v>477</v>
      </c>
      <c r="E191" s="55">
        <f>+Historicals!E142</f>
        <v>310</v>
      </c>
      <c r="F191" s="55">
        <f>+Historicals!F142</f>
        <v>303</v>
      </c>
      <c r="G191" s="55">
        <f>+Historicals!G142</f>
        <v>297</v>
      </c>
      <c r="H191" s="55">
        <f>+Historicals!H142</f>
        <v>543</v>
      </c>
      <c r="I191" s="55">
        <f>+Historicals!I142</f>
        <v>669</v>
      </c>
      <c r="J191" s="55">
        <f>+J184-J187</f>
        <v>702.91025831202057</v>
      </c>
      <c r="K191" s="55">
        <f t="shared" ref="K191:N191" si="531">+K184-K187</f>
        <v>738.97742395396438</v>
      </c>
      <c r="L191" s="55">
        <f t="shared" si="531"/>
        <v>777.31185024500257</v>
      </c>
      <c r="M191" s="55">
        <f t="shared" si="531"/>
        <v>818.0309918864441</v>
      </c>
      <c r="N191" s="55">
        <f t="shared" si="531"/>
        <v>861.25976975603851</v>
      </c>
    </row>
    <row r="192" spans="1:15" x14ac:dyDescent="0.3">
      <c r="A192" s="56" t="s">
        <v>132</v>
      </c>
      <c r="B192" s="59" t="str">
        <f t="shared" ref="B192:I192" si="532">+IFERROR(B191/A191-1,"nm")</f>
        <v>nm</v>
      </c>
      <c r="C192" s="59">
        <f t="shared" si="532"/>
        <v>-5.8027079303675011E-2</v>
      </c>
      <c r="D192" s="59">
        <f t="shared" si="532"/>
        <v>-2.0533880903490731E-2</v>
      </c>
      <c r="E192" s="59">
        <f t="shared" si="532"/>
        <v>-0.35010482180293501</v>
      </c>
      <c r="F192" s="59">
        <f t="shared" si="532"/>
        <v>-2.2580645161290325E-2</v>
      </c>
      <c r="G192" s="59">
        <f t="shared" si="532"/>
        <v>-1.980198019801982E-2</v>
      </c>
      <c r="H192" s="59">
        <f t="shared" si="532"/>
        <v>0.82828282828282829</v>
      </c>
      <c r="I192" s="59">
        <f t="shared" si="532"/>
        <v>0.2320441988950277</v>
      </c>
      <c r="J192" s="59">
        <f t="shared" ref="J192" si="533">+IFERROR(J191/I191-1,"nm")</f>
        <v>5.0687979539642214E-2</v>
      </c>
      <c r="K192" s="59">
        <f t="shared" ref="K192" si="534">+IFERROR(K191/J191-1,"nm")</f>
        <v>5.1311195441301471E-2</v>
      </c>
      <c r="L192" s="59">
        <f t="shared" ref="L192" si="535">+IFERROR(L191/K191-1,"nm")</f>
        <v>5.1874962682792791E-2</v>
      </c>
      <c r="M192" s="59">
        <f t="shared" ref="M192" si="536">+IFERROR(M191/L191-1,"nm")</f>
        <v>5.2384563066428358E-2</v>
      </c>
      <c r="N192" s="59">
        <f t="shared" ref="N192" si="537">+IFERROR(N191/M191-1,"nm")</f>
        <v>5.2844914555016276E-2</v>
      </c>
    </row>
    <row r="193" spans="1:15" x14ac:dyDescent="0.3">
      <c r="A193" s="56" t="s">
        <v>134</v>
      </c>
      <c r="B193" s="59">
        <f t="shared" ref="B193:H193" si="538">+IFERROR(B191/B$166,"nm")</f>
        <v>0.26084762865792127</v>
      </c>
      <c r="C193" s="59">
        <f t="shared" si="538"/>
        <v>0.24910485933503837</v>
      </c>
      <c r="D193" s="59">
        <f t="shared" si="538"/>
        <v>0.23359451518119489</v>
      </c>
      <c r="E193" s="59">
        <f t="shared" si="538"/>
        <v>0.16436903499469777</v>
      </c>
      <c r="F193" s="59">
        <f t="shared" si="538"/>
        <v>0.1589716684155299</v>
      </c>
      <c r="G193" s="59">
        <f t="shared" si="538"/>
        <v>0.16088840736728061</v>
      </c>
      <c r="H193" s="59">
        <f t="shared" si="538"/>
        <v>0.24625850340136055</v>
      </c>
      <c r="I193" s="59">
        <f>+IFERROR(I191/I$166,"nm")</f>
        <v>0.28516624040920718</v>
      </c>
      <c r="J193" s="59">
        <f t="shared" ref="J193:N193" si="539">+IFERROR(J191/J$21,"nm")</f>
        <v>3.6338378325542271E-2</v>
      </c>
      <c r="K193" s="59">
        <f t="shared" si="539"/>
        <v>3.6234098983220213E-2</v>
      </c>
      <c r="L193" s="59">
        <f t="shared" si="539"/>
        <v>3.613761913844088E-2</v>
      </c>
      <c r="M193" s="59">
        <f t="shared" si="539"/>
        <v>3.6047736972716696E-2</v>
      </c>
      <c r="N193" s="59">
        <f t="shared" si="539"/>
        <v>3.5963384292238117E-2</v>
      </c>
    </row>
    <row r="194" spans="1:15" x14ac:dyDescent="0.3">
      <c r="A194" s="55" t="s">
        <v>138</v>
      </c>
      <c r="B194" s="55">
        <f>+Historicals!B164</f>
        <v>69</v>
      </c>
      <c r="C194" s="55">
        <f>+Historicals!C164</f>
        <v>39</v>
      </c>
      <c r="D194" s="55">
        <f>+Historicals!D164</f>
        <v>30</v>
      </c>
      <c r="E194" s="55">
        <f>+Historicals!E164</f>
        <v>22</v>
      </c>
      <c r="F194" s="55">
        <f>+Historicals!F164</f>
        <v>18</v>
      </c>
      <c r="G194" s="55">
        <f>+Historicals!G164</f>
        <v>12</v>
      </c>
      <c r="H194" s="55">
        <f>+Historicals!H164</f>
        <v>7</v>
      </c>
      <c r="I194" s="55">
        <f>+Historicals!I164</f>
        <v>9</v>
      </c>
      <c r="J194" s="62">
        <f>+J166*J196</f>
        <v>9.4561918158567781</v>
      </c>
      <c r="K194" s="62">
        <f t="shared" ref="K194:N194" si="540">+K166*K196</f>
        <v>9.941400322250642</v>
      </c>
      <c r="L194" s="62">
        <f t="shared" si="540"/>
        <v>10.457110092982099</v>
      </c>
      <c r="M194" s="62">
        <f t="shared" si="540"/>
        <v>11.004901236140505</v>
      </c>
      <c r="N194" s="62">
        <f t="shared" si="540"/>
        <v>11.586454301650742</v>
      </c>
    </row>
    <row r="195" spans="1:15" x14ac:dyDescent="0.3">
      <c r="A195" s="56" t="s">
        <v>132</v>
      </c>
      <c r="B195" s="59" t="str">
        <f t="shared" ref="B195:I195" si="541">+IFERROR(B194/A194-1,"nm")</f>
        <v>nm</v>
      </c>
      <c r="C195" s="59">
        <f t="shared" si="541"/>
        <v>-0.43478260869565222</v>
      </c>
      <c r="D195" s="59">
        <f t="shared" si="541"/>
        <v>-0.23076923076923073</v>
      </c>
      <c r="E195" s="59">
        <f t="shared" si="541"/>
        <v>-0.26666666666666672</v>
      </c>
      <c r="F195" s="59">
        <f t="shared" si="541"/>
        <v>-0.18181818181818177</v>
      </c>
      <c r="G195" s="59">
        <f t="shared" si="541"/>
        <v>-0.33333333333333337</v>
      </c>
      <c r="H195" s="59">
        <f t="shared" si="541"/>
        <v>-0.41666666666666663</v>
      </c>
      <c r="I195" s="59">
        <f t="shared" si="541"/>
        <v>0.28571428571428581</v>
      </c>
      <c r="J195" s="59">
        <f t="shared" ref="J195" si="542">+IFERROR(J194/I194-1,"nm")</f>
        <v>5.0687979539641992E-2</v>
      </c>
      <c r="K195" s="59">
        <f t="shared" ref="K195" si="543">+IFERROR(K194/J194-1,"nm")</f>
        <v>5.1311195441301694E-2</v>
      </c>
      <c r="L195" s="59">
        <f t="shared" ref="L195" si="544">+IFERROR(L194/K194-1,"nm")</f>
        <v>5.1874962682792791E-2</v>
      </c>
      <c r="M195" s="59">
        <f t="shared" ref="M195" si="545">+IFERROR(M194/L194-1,"nm")</f>
        <v>5.2384563066428358E-2</v>
      </c>
      <c r="N195" s="59">
        <f t="shared" ref="N195" si="546">+IFERROR(N194/M194-1,"nm")</f>
        <v>5.2844914555016276E-2</v>
      </c>
    </row>
    <row r="196" spans="1:15" x14ac:dyDescent="0.3">
      <c r="A196" s="56" t="s">
        <v>136</v>
      </c>
      <c r="B196" s="59">
        <f t="shared" ref="B196:H196" si="547">+IFERROR(B194/B$166,"nm")</f>
        <v>3.481331987891019E-2</v>
      </c>
      <c r="C196" s="59">
        <f t="shared" si="547"/>
        <v>1.9948849104859334E-2</v>
      </c>
      <c r="D196" s="59">
        <f t="shared" si="547"/>
        <v>1.4691478942213516E-2</v>
      </c>
      <c r="E196" s="59">
        <f t="shared" si="547"/>
        <v>1.166489925768823E-2</v>
      </c>
      <c r="F196" s="59">
        <f t="shared" si="547"/>
        <v>9.4438614900314802E-3</v>
      </c>
      <c r="G196" s="59">
        <f t="shared" si="547"/>
        <v>6.5005417118093175E-3</v>
      </c>
      <c r="H196" s="59">
        <f t="shared" si="547"/>
        <v>3.1746031746031746E-3</v>
      </c>
      <c r="I196" s="59">
        <f>+IFERROR(I194/I$166,"nm")</f>
        <v>3.8363171355498722E-3</v>
      </c>
      <c r="J196" s="64">
        <f>+I196</f>
        <v>3.8363171355498722E-3</v>
      </c>
      <c r="K196" s="64">
        <f t="shared" ref="K196" si="548">+J196</f>
        <v>3.8363171355498722E-3</v>
      </c>
      <c r="L196" s="64">
        <f t="shared" ref="L196" si="549">+K196</f>
        <v>3.8363171355498722E-3</v>
      </c>
      <c r="M196" s="64">
        <f t="shared" ref="M196" si="550">+L196</f>
        <v>3.8363171355498722E-3</v>
      </c>
      <c r="N196" s="64">
        <f t="shared" ref="N196" si="551">+M196</f>
        <v>3.8363171355498722E-3</v>
      </c>
    </row>
    <row r="197" spans="1:15" x14ac:dyDescent="0.3">
      <c r="A197" s="55" t="s">
        <v>143</v>
      </c>
      <c r="B197" s="62">
        <f>+Historicals!B153</f>
        <v>122</v>
      </c>
      <c r="C197" s="62">
        <f>+Historicals!C153</f>
        <v>125</v>
      </c>
      <c r="D197" s="62">
        <f>+Historicals!D153</f>
        <v>125</v>
      </c>
      <c r="E197" s="62">
        <f>+Historicals!E153</f>
        <v>115</v>
      </c>
      <c r="F197" s="62">
        <f>+Historicals!F153</f>
        <v>100</v>
      </c>
      <c r="G197" s="62">
        <f>+Historicals!G153</f>
        <v>80</v>
      </c>
      <c r="H197" s="62">
        <f>+Historicals!H153</f>
        <v>63</v>
      </c>
      <c r="I197" s="62">
        <f>+Historicals!I153</f>
        <v>49</v>
      </c>
      <c r="J197" s="62">
        <f>+J166*J199</f>
        <v>51.483710997442465</v>
      </c>
      <c r="K197" s="62">
        <f t="shared" ref="K197:N197" si="552">+K166*K199</f>
        <v>54.125401754475718</v>
      </c>
      <c r="L197" s="62">
        <f t="shared" si="552"/>
        <v>56.933154950680319</v>
      </c>
      <c r="M197" s="62">
        <f t="shared" si="552"/>
        <v>59.91557339676497</v>
      </c>
      <c r="N197" s="62">
        <f t="shared" si="552"/>
        <v>63.08180675343182</v>
      </c>
    </row>
    <row r="198" spans="1:15" x14ac:dyDescent="0.3">
      <c r="A198" s="56" t="s">
        <v>132</v>
      </c>
      <c r="B198" s="63" t="str">
        <f t="shared" ref="B198" si="553">+IFERROR(B197/A197-1,"nm")</f>
        <v>nm</v>
      </c>
      <c r="C198" s="63">
        <f t="shared" ref="C198" si="554">+IFERROR(C197/B197-1,"nm")</f>
        <v>2.4590163934426146E-2</v>
      </c>
      <c r="D198" s="63">
        <f t="shared" ref="D198" si="555">+IFERROR(D197/C197-1,"nm")</f>
        <v>0</v>
      </c>
      <c r="E198" s="63">
        <f t="shared" ref="E198" si="556">+IFERROR(E197/D197-1,"nm")</f>
        <v>-7.999999999999996E-2</v>
      </c>
      <c r="F198" s="63">
        <f t="shared" ref="F198" si="557">+IFERROR(F197/E197-1,"nm")</f>
        <v>-0.13043478260869568</v>
      </c>
      <c r="G198" s="63">
        <f t="shared" ref="G198" si="558">+IFERROR(G197/F197-1,"nm")</f>
        <v>-0.19999999999999996</v>
      </c>
      <c r="H198" s="63">
        <f t="shared" ref="H198" si="559">+IFERROR(H197/G197-1,"nm")</f>
        <v>-0.21250000000000002</v>
      </c>
      <c r="I198" s="63">
        <f t="shared" ref="I198" si="560">+IFERROR(I197/H197-1,"nm")</f>
        <v>-0.22222222222222221</v>
      </c>
      <c r="J198" s="59">
        <f>+J199+J200</f>
        <v>2.0886615515771527E-2</v>
      </c>
      <c r="K198" s="59">
        <f t="shared" ref="K198:N198" si="561">+K199+K200</f>
        <v>2.0886615515771527E-2</v>
      </c>
      <c r="L198" s="59">
        <f t="shared" si="561"/>
        <v>2.0886615515771527E-2</v>
      </c>
      <c r="M198" s="59">
        <f t="shared" si="561"/>
        <v>2.0886615515771527E-2</v>
      </c>
      <c r="N198" s="59">
        <f t="shared" si="561"/>
        <v>2.0886615515771527E-2</v>
      </c>
    </row>
    <row r="199" spans="1:15" x14ac:dyDescent="0.3">
      <c r="A199" s="56" t="s">
        <v>136</v>
      </c>
      <c r="B199" s="63">
        <f>+IFERROR(B197/B166,"nm")</f>
        <v>6.1553985872855703E-2</v>
      </c>
      <c r="C199" s="63">
        <f t="shared" ref="C199:I199" si="562">+IFERROR(C197/C166,"nm")</f>
        <v>6.3938618925831206E-2</v>
      </c>
      <c r="D199" s="63">
        <f t="shared" si="562"/>
        <v>6.1214495592556317E-2</v>
      </c>
      <c r="E199" s="63">
        <f t="shared" si="562"/>
        <v>6.097560975609756E-2</v>
      </c>
      <c r="F199" s="63">
        <f t="shared" si="562"/>
        <v>5.2465897166841552E-2</v>
      </c>
      <c r="G199" s="63">
        <f t="shared" si="562"/>
        <v>4.3336944745395449E-2</v>
      </c>
      <c r="H199" s="63">
        <f t="shared" si="562"/>
        <v>2.8571428571428571E-2</v>
      </c>
      <c r="I199" s="63">
        <f t="shared" si="562"/>
        <v>2.0886615515771527E-2</v>
      </c>
      <c r="J199" s="64">
        <f>+I199</f>
        <v>2.0886615515771527E-2</v>
      </c>
      <c r="K199" s="64">
        <f t="shared" ref="K199" si="563">+J199</f>
        <v>2.0886615515771527E-2</v>
      </c>
      <c r="L199" s="64">
        <f t="shared" ref="L199" si="564">+K199</f>
        <v>2.0886615515771527E-2</v>
      </c>
      <c r="M199" s="64">
        <f t="shared" ref="M199" si="565">+L199</f>
        <v>2.0886615515771527E-2</v>
      </c>
      <c r="N199" s="64">
        <f t="shared" ref="N199" si="566">+M199</f>
        <v>2.0886615515771527E-2</v>
      </c>
    </row>
    <row r="200" spans="1:15" x14ac:dyDescent="0.3">
      <c r="A200" s="57" t="str">
        <f>+Historicals!A132</f>
        <v>Corporate</v>
      </c>
      <c r="B200" s="57"/>
      <c r="C200" s="57"/>
      <c r="D200" s="57"/>
      <c r="E200" s="57"/>
      <c r="F200" s="57"/>
      <c r="G200" s="57"/>
      <c r="H200" s="57"/>
      <c r="I200" s="57"/>
      <c r="J200" s="53"/>
      <c r="K200" s="53"/>
      <c r="L200" s="53"/>
      <c r="M200" s="53"/>
      <c r="N200" s="53"/>
    </row>
    <row r="201" spans="1:15" x14ac:dyDescent="0.3">
      <c r="A201" s="55" t="s">
        <v>139</v>
      </c>
      <c r="B201" s="55">
        <f>+Historicals!B132</f>
        <v>-82</v>
      </c>
      <c r="C201" s="55">
        <f>+Historicals!C132</f>
        <v>-86</v>
      </c>
      <c r="D201" s="55">
        <f>+Historicals!D132</f>
        <v>75</v>
      </c>
      <c r="E201" s="55">
        <f>+Historicals!E132</f>
        <v>26</v>
      </c>
      <c r="F201" s="55">
        <f>+Historicals!F132</f>
        <v>-7</v>
      </c>
      <c r="G201" s="55">
        <f>+Historicals!G132</f>
        <v>-11</v>
      </c>
      <c r="H201" s="55">
        <f>+Historicals!H132</f>
        <v>40</v>
      </c>
      <c r="I201" s="55">
        <f>+Historicals!I132</f>
        <v>-72</v>
      </c>
      <c r="J201" s="70">
        <f>+I201*(1+J202)</f>
        <v>-72</v>
      </c>
      <c r="K201" s="70">
        <f t="shared" ref="K201" si="567">+J201*(1+K202)</f>
        <v>-72</v>
      </c>
      <c r="L201" s="70">
        <f t="shared" ref="L201" si="568">+K201*(1+L202)</f>
        <v>-72</v>
      </c>
      <c r="M201" s="70">
        <f t="shared" ref="M201" si="569">+L201*(1+M202)</f>
        <v>-72</v>
      </c>
      <c r="N201" s="70">
        <f t="shared" ref="N201" si="570">+M201*(1+N202)</f>
        <v>-72</v>
      </c>
    </row>
    <row r="202" spans="1:15" x14ac:dyDescent="0.3">
      <c r="A202" s="58" t="s">
        <v>132</v>
      </c>
      <c r="B202" s="59" t="str">
        <f t="shared" ref="B202:I202" si="571">+IFERROR(B201/A201-1,"nm")</f>
        <v>nm</v>
      </c>
      <c r="C202" s="59">
        <f t="shared" si="571"/>
        <v>4.8780487804878092E-2</v>
      </c>
      <c r="D202" s="59">
        <f t="shared" si="571"/>
        <v>-1.8720930232558139</v>
      </c>
      <c r="E202" s="59">
        <f t="shared" si="571"/>
        <v>-0.65333333333333332</v>
      </c>
      <c r="F202" s="59">
        <f t="shared" si="571"/>
        <v>-1.2692307692307692</v>
      </c>
      <c r="G202" s="59">
        <f t="shared" si="571"/>
        <v>0.5714285714285714</v>
      </c>
      <c r="H202" s="59">
        <f t="shared" si="571"/>
        <v>-4.6363636363636367</v>
      </c>
      <c r="I202" s="59">
        <f t="shared" si="571"/>
        <v>-2.8</v>
      </c>
      <c r="J202" s="59">
        <f>+J203+J204</f>
        <v>0</v>
      </c>
      <c r="K202" s="59">
        <f t="shared" ref="K202" si="572">+K203+K204</f>
        <v>0</v>
      </c>
      <c r="L202" s="59">
        <f t="shared" ref="L202" si="573">+L203+L204</f>
        <v>0</v>
      </c>
      <c r="M202" s="59">
        <f t="shared" ref="M202" si="574">+M203+M204</f>
        <v>0</v>
      </c>
      <c r="N202" s="59">
        <f t="shared" ref="N202" si="575">+N203+N204</f>
        <v>0</v>
      </c>
    </row>
    <row r="203" spans="1:15" x14ac:dyDescent="0.3">
      <c r="A203" s="58" t="s">
        <v>140</v>
      </c>
      <c r="B203" s="59">
        <f>+Historicals!B204</f>
        <v>0.06</v>
      </c>
      <c r="C203" s="59">
        <f>+Historicals!C204</f>
        <v>7.0000000000000007E-2</v>
      </c>
      <c r="D203" s="59">
        <f>+Historicals!D204</f>
        <v>-0.38</v>
      </c>
      <c r="E203" s="59">
        <f>+Historicals!E204</f>
        <v>0</v>
      </c>
      <c r="F203" s="59">
        <f>+Historicals!F204</f>
        <v>-0.24</v>
      </c>
      <c r="G203" s="59">
        <f>+Historicals!G204</f>
        <v>0</v>
      </c>
      <c r="H203" s="59">
        <f>+Historicals!H204</f>
        <v>0</v>
      </c>
      <c r="I203" s="59">
        <f>+Historicals!I204</f>
        <v>0</v>
      </c>
      <c r="J203" s="64">
        <v>0</v>
      </c>
      <c r="K203" s="64">
        <f t="shared" ref="K203:K204" si="576">+J203</f>
        <v>0</v>
      </c>
      <c r="L203" s="64">
        <f t="shared" ref="L203:L204" si="577">+K203</f>
        <v>0</v>
      </c>
      <c r="M203" s="64">
        <f t="shared" ref="M203:M204" si="578">+L203</f>
        <v>0</v>
      </c>
      <c r="N203" s="64">
        <f t="shared" ref="N203:N204" si="579">+M203</f>
        <v>0</v>
      </c>
      <c r="O203" s="1" t="s">
        <v>193</v>
      </c>
    </row>
    <row r="204" spans="1:15" x14ac:dyDescent="0.3">
      <c r="A204" s="58" t="s">
        <v>141</v>
      </c>
      <c r="B204" s="59" t="str">
        <f t="shared" ref="B204:H204" si="580">+IFERROR(B202-B203,"nm")</f>
        <v>nm</v>
      </c>
      <c r="C204" s="59">
        <f t="shared" si="580"/>
        <v>-2.1219512195121915E-2</v>
      </c>
      <c r="D204" s="59">
        <f t="shared" si="580"/>
        <v>-1.4920930232558138</v>
      </c>
      <c r="E204" s="59">
        <f t="shared" si="580"/>
        <v>-0.65333333333333332</v>
      </c>
      <c r="F204" s="59">
        <f t="shared" si="580"/>
        <v>-1.0292307692307692</v>
      </c>
      <c r="G204" s="59">
        <f t="shared" si="580"/>
        <v>0.5714285714285714</v>
      </c>
      <c r="H204" s="59">
        <f t="shared" si="580"/>
        <v>-4.6363636363636367</v>
      </c>
      <c r="I204" s="59">
        <f>+IFERROR(I202-I203,"nm")</f>
        <v>-2.8</v>
      </c>
      <c r="J204" s="64">
        <v>0</v>
      </c>
      <c r="K204" s="64">
        <f t="shared" si="576"/>
        <v>0</v>
      </c>
      <c r="L204" s="64">
        <f t="shared" si="577"/>
        <v>0</v>
      </c>
      <c r="M204" s="64">
        <f t="shared" si="578"/>
        <v>0</v>
      </c>
      <c r="N204" s="64">
        <f t="shared" si="579"/>
        <v>0</v>
      </c>
    </row>
    <row r="205" spans="1:15" x14ac:dyDescent="0.3">
      <c r="A205" s="55" t="s">
        <v>133</v>
      </c>
      <c r="B205" s="62">
        <f t="shared" ref="B205:H205" si="581">+B212+B208</f>
        <v>-1022</v>
      </c>
      <c r="C205" s="62">
        <f t="shared" si="581"/>
        <v>-1089</v>
      </c>
      <c r="D205" s="62">
        <f t="shared" si="581"/>
        <v>-633</v>
      </c>
      <c r="E205" s="62">
        <f t="shared" si="581"/>
        <v>-1346</v>
      </c>
      <c r="F205" s="62">
        <f t="shared" si="581"/>
        <v>-1694</v>
      </c>
      <c r="G205" s="62">
        <f t="shared" si="581"/>
        <v>-1855</v>
      </c>
      <c r="H205" s="62">
        <f t="shared" si="581"/>
        <v>-2120</v>
      </c>
      <c r="I205" s="62">
        <f>+I212+I208</f>
        <v>-2085</v>
      </c>
      <c r="J205" s="62">
        <f>+J201*J207</f>
        <v>-2085</v>
      </c>
      <c r="K205" s="62">
        <f t="shared" ref="K205:N205" si="582">+K201*K207</f>
        <v>-2085</v>
      </c>
      <c r="L205" s="62">
        <f t="shared" si="582"/>
        <v>-2085</v>
      </c>
      <c r="M205" s="62">
        <f t="shared" si="582"/>
        <v>-2085</v>
      </c>
      <c r="N205" s="62">
        <f t="shared" si="582"/>
        <v>-2085</v>
      </c>
    </row>
    <row r="206" spans="1:15" x14ac:dyDescent="0.3">
      <c r="A206" s="56" t="s">
        <v>132</v>
      </c>
      <c r="B206" s="59" t="str">
        <f t="shared" ref="B206:I206" si="583">+IFERROR(B205/A205-1,"nm")</f>
        <v>nm</v>
      </c>
      <c r="C206" s="59">
        <f t="shared" si="583"/>
        <v>6.5557729941291498E-2</v>
      </c>
      <c r="D206" s="59">
        <f t="shared" si="583"/>
        <v>-0.41873278236914602</v>
      </c>
      <c r="E206" s="59">
        <f t="shared" si="583"/>
        <v>1.126382306477093</v>
      </c>
      <c r="F206" s="59">
        <f t="shared" si="583"/>
        <v>0.25854383358098065</v>
      </c>
      <c r="G206" s="59">
        <f t="shared" si="583"/>
        <v>9.5041322314049603E-2</v>
      </c>
      <c r="H206" s="59">
        <f t="shared" si="583"/>
        <v>0.14285714285714279</v>
      </c>
      <c r="I206" s="59">
        <f t="shared" si="583"/>
        <v>-1.650943396226412E-2</v>
      </c>
      <c r="J206" s="59">
        <f t="shared" ref="J206" si="584">+IFERROR(J205/I205-1,"nm")</f>
        <v>0</v>
      </c>
      <c r="K206" s="59">
        <f t="shared" ref="K206" si="585">+IFERROR(K205/J205-1,"nm")</f>
        <v>0</v>
      </c>
      <c r="L206" s="59">
        <f t="shared" ref="L206" si="586">+IFERROR(L205/K205-1,"nm")</f>
        <v>0</v>
      </c>
      <c r="M206" s="59">
        <f t="shared" ref="M206" si="587">+IFERROR(M205/L205-1,"nm")</f>
        <v>0</v>
      </c>
      <c r="N206" s="59">
        <f t="shared" ref="N206" si="588">+IFERROR(N205/M205-1,"nm")</f>
        <v>0</v>
      </c>
    </row>
    <row r="207" spans="1:15" x14ac:dyDescent="0.3">
      <c r="A207" s="56" t="s">
        <v>134</v>
      </c>
      <c r="B207" s="59">
        <f t="shared" ref="B207:H207" si="589">+IFERROR(B205/B$201,"nm")</f>
        <v>12.463414634146341</v>
      </c>
      <c r="C207" s="59">
        <f t="shared" si="589"/>
        <v>12.662790697674419</v>
      </c>
      <c r="D207" s="59">
        <f t="shared" si="589"/>
        <v>-8.44</v>
      </c>
      <c r="E207" s="59">
        <f t="shared" si="589"/>
        <v>-51.769230769230766</v>
      </c>
      <c r="F207" s="59">
        <f t="shared" si="589"/>
        <v>242</v>
      </c>
      <c r="G207" s="59">
        <f t="shared" si="589"/>
        <v>168.63636363636363</v>
      </c>
      <c r="H207" s="59">
        <f t="shared" si="589"/>
        <v>-53</v>
      </c>
      <c r="I207" s="59">
        <f>+IFERROR(I205/I$201,"nm")</f>
        <v>28.958333333333332</v>
      </c>
      <c r="J207" s="64">
        <f>+I207</f>
        <v>28.958333333333332</v>
      </c>
      <c r="K207" s="64">
        <f t="shared" ref="K207" si="590">+J207</f>
        <v>28.958333333333332</v>
      </c>
      <c r="L207" s="64">
        <f t="shared" ref="L207" si="591">+K207</f>
        <v>28.958333333333332</v>
      </c>
      <c r="M207" s="64">
        <f t="shared" ref="M207" si="592">+L207</f>
        <v>28.958333333333332</v>
      </c>
      <c r="N207" s="64">
        <f t="shared" ref="N207" si="593">+M207</f>
        <v>28.958333333333332</v>
      </c>
    </row>
    <row r="208" spans="1:15" x14ac:dyDescent="0.3">
      <c r="A208" s="55" t="s">
        <v>135</v>
      </c>
      <c r="B208" s="55">
        <f>+Historicals!B176</f>
        <v>75</v>
      </c>
      <c r="C208" s="55">
        <f>+Historicals!C176</f>
        <v>84</v>
      </c>
      <c r="D208" s="55">
        <f>+Historicals!D176</f>
        <v>91</v>
      </c>
      <c r="E208" s="55">
        <f>+Historicals!E176</f>
        <v>110</v>
      </c>
      <c r="F208" s="55">
        <f>+Historicals!F176</f>
        <v>116</v>
      </c>
      <c r="G208" s="55">
        <f>+Historicals!G176</f>
        <v>112</v>
      </c>
      <c r="H208" s="55">
        <f>+Historicals!H176</f>
        <v>141</v>
      </c>
      <c r="I208" s="55">
        <f>+Historicals!I176</f>
        <v>134</v>
      </c>
      <c r="J208" s="62">
        <f>+J211*J218</f>
        <v>134</v>
      </c>
      <c r="K208" s="62">
        <f>+K211*K218</f>
        <v>134</v>
      </c>
      <c r="L208" s="62">
        <f>+L211*L218</f>
        <v>134</v>
      </c>
      <c r="M208" s="62">
        <f>+M211*M218</f>
        <v>134</v>
      </c>
      <c r="N208" s="62">
        <f>+N211*N218</f>
        <v>134</v>
      </c>
    </row>
    <row r="209" spans="1:14" x14ac:dyDescent="0.3">
      <c r="A209" s="56" t="s">
        <v>132</v>
      </c>
      <c r="B209" s="59" t="str">
        <f t="shared" ref="B209:I209" si="594">+IFERROR(B208/A208-1,"nm")</f>
        <v>nm</v>
      </c>
      <c r="C209" s="59">
        <f t="shared" si="594"/>
        <v>0.12000000000000011</v>
      </c>
      <c r="D209" s="59">
        <f t="shared" si="594"/>
        <v>8.3333333333333259E-2</v>
      </c>
      <c r="E209" s="59">
        <f t="shared" si="594"/>
        <v>0.20879120879120872</v>
      </c>
      <c r="F209" s="59">
        <f t="shared" si="594"/>
        <v>5.4545454545454453E-2</v>
      </c>
      <c r="G209" s="59">
        <f t="shared" si="594"/>
        <v>-3.4482758620689613E-2</v>
      </c>
      <c r="H209" s="59">
        <f t="shared" si="594"/>
        <v>0.2589285714285714</v>
      </c>
      <c r="I209" s="59">
        <f t="shared" si="594"/>
        <v>-4.9645390070921946E-2</v>
      </c>
      <c r="J209" s="59">
        <f t="shared" ref="J209" si="595">+IFERROR(J208/I208-1,"nm")</f>
        <v>0</v>
      </c>
      <c r="K209" s="59">
        <f t="shared" ref="K209" si="596">+IFERROR(K208/J208-1,"nm")</f>
        <v>0</v>
      </c>
      <c r="L209" s="59">
        <f t="shared" ref="L209" si="597">+IFERROR(L208/K208-1,"nm")</f>
        <v>0</v>
      </c>
      <c r="M209" s="59">
        <f t="shared" ref="M209" si="598">+IFERROR(M208/L208-1,"nm")</f>
        <v>0</v>
      </c>
      <c r="N209" s="59">
        <f t="shared" ref="N209" si="599">+IFERROR(N208/M208-1,"nm")</f>
        <v>0</v>
      </c>
    </row>
    <row r="210" spans="1:14" x14ac:dyDescent="0.3">
      <c r="A210" s="56" t="s">
        <v>136</v>
      </c>
      <c r="B210" s="59">
        <f t="shared" ref="B210:H210" si="600">+IFERROR(B208/B$201,"nm")</f>
        <v>-0.91463414634146345</v>
      </c>
      <c r="C210" s="59">
        <f t="shared" si="600"/>
        <v>-0.97674418604651159</v>
      </c>
      <c r="D210" s="59">
        <f t="shared" si="600"/>
        <v>1.2133333333333334</v>
      </c>
      <c r="E210" s="59">
        <f t="shared" si="600"/>
        <v>4.2307692307692308</v>
      </c>
      <c r="F210" s="59">
        <f t="shared" si="600"/>
        <v>-16.571428571428573</v>
      </c>
      <c r="G210" s="59">
        <f t="shared" si="600"/>
        <v>-10.181818181818182</v>
      </c>
      <c r="H210" s="59">
        <f t="shared" si="600"/>
        <v>3.5249999999999999</v>
      </c>
      <c r="I210" s="59">
        <f>+IFERROR(I208/I$201,"nm")</f>
        <v>-1.8611111111111112</v>
      </c>
      <c r="J210" s="59">
        <f t="shared" ref="J210:N210" si="601">+IFERROR(J208/J$21,"nm")</f>
        <v>6.9274030902834998E-3</v>
      </c>
      <c r="K210" s="59">
        <f t="shared" si="601"/>
        <v>6.5703891707170484E-3</v>
      </c>
      <c r="L210" s="59">
        <f t="shared" si="601"/>
        <v>6.2297274421131994E-3</v>
      </c>
      <c r="M210" s="59">
        <f t="shared" si="601"/>
        <v>5.9049067850164951E-3</v>
      </c>
      <c r="N210" s="59">
        <f t="shared" si="601"/>
        <v>5.5954006728132317E-3</v>
      </c>
    </row>
    <row r="211" spans="1:14" x14ac:dyDescent="0.3">
      <c r="A211" s="56" t="s">
        <v>144</v>
      </c>
      <c r="B211" s="59">
        <f>+IFERROR(B208/B218,"nm")</f>
        <v>0.10518934081346423</v>
      </c>
      <c r="C211" s="59">
        <f t="shared" ref="C211:I211" si="602">+IFERROR(C208/C218,"nm")</f>
        <v>8.9647812166488788E-2</v>
      </c>
      <c r="D211" s="59">
        <f t="shared" si="602"/>
        <v>7.3505654281098551E-2</v>
      </c>
      <c r="E211" s="59">
        <f t="shared" si="602"/>
        <v>7.586206896551724E-2</v>
      </c>
      <c r="F211" s="59">
        <f t="shared" si="602"/>
        <v>6.9336521219366412E-2</v>
      </c>
      <c r="G211" s="59">
        <f t="shared" si="602"/>
        <v>5.845511482254697E-2</v>
      </c>
      <c r="H211" s="59">
        <f t="shared" si="602"/>
        <v>7.5401069518716571E-2</v>
      </c>
      <c r="I211" s="59">
        <f t="shared" si="602"/>
        <v>7.374793615850303E-2</v>
      </c>
      <c r="J211" s="64">
        <f>+I211</f>
        <v>7.374793615850303E-2</v>
      </c>
      <c r="K211" s="64">
        <f t="shared" ref="K211" si="603">+J211</f>
        <v>7.374793615850303E-2</v>
      </c>
      <c r="L211" s="64">
        <f t="shared" ref="L211" si="604">+K211</f>
        <v>7.374793615850303E-2</v>
      </c>
      <c r="M211" s="64">
        <f t="shared" ref="M211" si="605">+L211</f>
        <v>7.374793615850303E-2</v>
      </c>
      <c r="N211" s="64">
        <f t="shared" ref="N211" si="606">+M211</f>
        <v>7.374793615850303E-2</v>
      </c>
    </row>
    <row r="212" spans="1:14" x14ac:dyDescent="0.3">
      <c r="A212" s="55" t="s">
        <v>137</v>
      </c>
      <c r="B212" s="55">
        <f>+Historicals!B143</f>
        <v>-1097</v>
      </c>
      <c r="C212" s="55">
        <f>+Historicals!C143</f>
        <v>-1173</v>
      </c>
      <c r="D212" s="55">
        <f>+Historicals!D143</f>
        <v>-724</v>
      </c>
      <c r="E212" s="55">
        <f>+Historicals!E143</f>
        <v>-1456</v>
      </c>
      <c r="F212" s="55">
        <f>+Historicals!F143</f>
        <v>-1810</v>
      </c>
      <c r="G212" s="55">
        <f>+Historicals!G143</f>
        <v>-1967</v>
      </c>
      <c r="H212" s="55">
        <f>+Historicals!H143</f>
        <v>-2261</v>
      </c>
      <c r="I212" s="55">
        <f>+Historicals!I143</f>
        <v>-2219</v>
      </c>
      <c r="J212" s="55">
        <f>+J205-J208</f>
        <v>-2219</v>
      </c>
      <c r="K212" s="55">
        <f t="shared" ref="K212:N212" si="607">+K205-K208</f>
        <v>-2219</v>
      </c>
      <c r="L212" s="55">
        <f t="shared" si="607"/>
        <v>-2219</v>
      </c>
      <c r="M212" s="55">
        <f t="shared" si="607"/>
        <v>-2219</v>
      </c>
      <c r="N212" s="55">
        <f t="shared" si="607"/>
        <v>-2219</v>
      </c>
    </row>
    <row r="213" spans="1:14" x14ac:dyDescent="0.3">
      <c r="A213" s="56" t="s">
        <v>132</v>
      </c>
      <c r="B213" s="59" t="str">
        <f t="shared" ref="B213:I213" si="608">+IFERROR(B212/A212-1,"nm")</f>
        <v>nm</v>
      </c>
      <c r="C213" s="59">
        <f t="shared" si="608"/>
        <v>6.9279854147675568E-2</v>
      </c>
      <c r="D213" s="59">
        <f t="shared" si="608"/>
        <v>-0.38277919863597609</v>
      </c>
      <c r="E213" s="59">
        <f t="shared" si="608"/>
        <v>1.0110497237569063</v>
      </c>
      <c r="F213" s="59">
        <f t="shared" si="608"/>
        <v>0.24313186813186816</v>
      </c>
      <c r="G213" s="59">
        <f t="shared" si="608"/>
        <v>8.6740331491712785E-2</v>
      </c>
      <c r="H213" s="59">
        <f t="shared" si="608"/>
        <v>0.14946619217081847</v>
      </c>
      <c r="I213" s="59">
        <f t="shared" si="608"/>
        <v>-1.8575851393188847E-2</v>
      </c>
      <c r="J213" s="59">
        <f t="shared" ref="J213" si="609">+IFERROR(J212/I212-1,"nm")</f>
        <v>0</v>
      </c>
      <c r="K213" s="59">
        <f t="shared" ref="K213" si="610">+IFERROR(K212/J212-1,"nm")</f>
        <v>0</v>
      </c>
      <c r="L213" s="59">
        <f t="shared" ref="L213" si="611">+IFERROR(L212/K212-1,"nm")</f>
        <v>0</v>
      </c>
      <c r="M213" s="59">
        <f t="shared" ref="M213" si="612">+IFERROR(M212/L212-1,"nm")</f>
        <v>0</v>
      </c>
      <c r="N213" s="59">
        <f t="shared" ref="N213" si="613">+IFERROR(N212/M212-1,"nm")</f>
        <v>0</v>
      </c>
    </row>
    <row r="214" spans="1:14" x14ac:dyDescent="0.3">
      <c r="A214" s="56" t="s">
        <v>134</v>
      </c>
      <c r="B214" s="59">
        <f t="shared" ref="B214:H214" si="614">+IFERROR(B212/B$201,"nm")</f>
        <v>13.378048780487806</v>
      </c>
      <c r="C214" s="59">
        <f t="shared" si="614"/>
        <v>13.63953488372093</v>
      </c>
      <c r="D214" s="59">
        <f t="shared" si="614"/>
        <v>-9.6533333333333342</v>
      </c>
      <c r="E214" s="59">
        <f t="shared" si="614"/>
        <v>-56</v>
      </c>
      <c r="F214" s="59">
        <f t="shared" si="614"/>
        <v>258.57142857142856</v>
      </c>
      <c r="G214" s="59">
        <f t="shared" si="614"/>
        <v>178.81818181818181</v>
      </c>
      <c r="H214" s="59">
        <f t="shared" si="614"/>
        <v>-56.524999999999999</v>
      </c>
      <c r="I214" s="59">
        <f>+IFERROR(I212/I$201,"nm")</f>
        <v>30.819444444444443</v>
      </c>
      <c r="J214" s="59">
        <f t="shared" ref="J214:N214" si="615">+IFERROR(J212/J$21,"nm")</f>
        <v>-0.11471572729357528</v>
      </c>
      <c r="K214" s="59">
        <f t="shared" si="615"/>
        <v>-0.1088036833568741</v>
      </c>
      <c r="L214" s="59">
        <f t="shared" si="615"/>
        <v>-0.1031624268212626</v>
      </c>
      <c r="M214" s="59">
        <f t="shared" si="615"/>
        <v>-9.778349370113136E-2</v>
      </c>
      <c r="N214" s="59">
        <f t="shared" si="615"/>
        <v>-9.2658164872929563E-2</v>
      </c>
    </row>
    <row r="215" spans="1:14" x14ac:dyDescent="0.3">
      <c r="A215" s="55" t="s">
        <v>138</v>
      </c>
      <c r="B215" s="55">
        <f>+Historicals!B165</f>
        <v>104</v>
      </c>
      <c r="C215" s="55">
        <f>+Historicals!C165</f>
        <v>264</v>
      </c>
      <c r="D215" s="55">
        <f>+Historicals!D165</f>
        <v>291</v>
      </c>
      <c r="E215" s="55">
        <f>+Historicals!E165</f>
        <v>159</v>
      </c>
      <c r="F215" s="55">
        <f>+Historicals!F165</f>
        <v>377</v>
      </c>
      <c r="G215" s="55">
        <f>+Historicals!G165</f>
        <v>318</v>
      </c>
      <c r="H215" s="55">
        <f>+Historicals!H165</f>
        <v>11</v>
      </c>
      <c r="I215" s="55">
        <f>+Historicals!I165</f>
        <v>50</v>
      </c>
      <c r="J215" s="62">
        <v>50</v>
      </c>
      <c r="K215" s="62">
        <v>50</v>
      </c>
      <c r="L215" s="62">
        <v>50</v>
      </c>
      <c r="M215" s="62">
        <v>50</v>
      </c>
      <c r="N215" s="62">
        <v>50</v>
      </c>
    </row>
    <row r="216" spans="1:14" x14ac:dyDescent="0.3">
      <c r="A216" s="56" t="s">
        <v>132</v>
      </c>
      <c r="B216" s="59" t="str">
        <f t="shared" ref="B216:I216" si="616">+IFERROR(B215/A215-1,"nm")</f>
        <v>nm</v>
      </c>
      <c r="C216" s="59">
        <f t="shared" si="616"/>
        <v>1.5384615384615383</v>
      </c>
      <c r="D216" s="59">
        <f t="shared" si="616"/>
        <v>0.10227272727272729</v>
      </c>
      <c r="E216" s="59">
        <f t="shared" si="616"/>
        <v>-0.45360824742268047</v>
      </c>
      <c r="F216" s="59">
        <f t="shared" si="616"/>
        <v>1.3710691823899372</v>
      </c>
      <c r="G216" s="59">
        <f t="shared" si="616"/>
        <v>-0.156498673740053</v>
      </c>
      <c r="H216" s="59">
        <f t="shared" si="616"/>
        <v>-0.96540880503144655</v>
      </c>
      <c r="I216" s="59">
        <f t="shared" si="616"/>
        <v>3.5454545454545459</v>
      </c>
      <c r="J216" s="59">
        <v>0</v>
      </c>
      <c r="K216" s="59">
        <v>0</v>
      </c>
      <c r="L216" s="59">
        <v>0</v>
      </c>
      <c r="M216" s="59">
        <v>0</v>
      </c>
      <c r="N216" s="59">
        <v>0</v>
      </c>
    </row>
    <row r="217" spans="1:14" x14ac:dyDescent="0.3">
      <c r="A217" s="56" t="s">
        <v>136</v>
      </c>
      <c r="B217" s="59">
        <f t="shared" ref="B217:H217" si="617">+IFERROR(B215/B$201,"nm")</f>
        <v>-1.2682926829268293</v>
      </c>
      <c r="C217" s="59">
        <f t="shared" si="617"/>
        <v>-3.0697674418604652</v>
      </c>
      <c r="D217" s="59">
        <f t="shared" si="617"/>
        <v>3.88</v>
      </c>
      <c r="E217" s="59">
        <f t="shared" si="617"/>
        <v>6.115384615384615</v>
      </c>
      <c r="F217" s="59">
        <f t="shared" si="617"/>
        <v>-53.857142857142854</v>
      </c>
      <c r="G217" s="59">
        <f t="shared" si="617"/>
        <v>-28.90909090909091</v>
      </c>
      <c r="H217" s="59">
        <f t="shared" si="617"/>
        <v>0.27500000000000002</v>
      </c>
      <c r="I217" s="59">
        <f t="shared" ref="I217" si="618">+IFERROR(I215/I$201,"nm")</f>
        <v>-0.69444444444444442</v>
      </c>
      <c r="J217" s="59">
        <v>-0.69444444444444442</v>
      </c>
      <c r="K217" s="59">
        <v>-0.69444444444444442</v>
      </c>
      <c r="L217" s="59">
        <v>-0.69444444444444442</v>
      </c>
      <c r="M217" s="59">
        <v>-0.69444444444444442</v>
      </c>
      <c r="N217" s="59">
        <v>-0.69444444444444442</v>
      </c>
    </row>
    <row r="218" spans="1:14" x14ac:dyDescent="0.3">
      <c r="A218" s="55" t="s">
        <v>143</v>
      </c>
      <c r="B218" s="62">
        <f>+Historicals!B154</f>
        <v>713</v>
      </c>
      <c r="C218" s="62">
        <f>+Historicals!C154</f>
        <v>937</v>
      </c>
      <c r="D218" s="62">
        <f>+Historicals!D154</f>
        <v>1238</v>
      </c>
      <c r="E218" s="62">
        <f>+Historicals!E154</f>
        <v>1450</v>
      </c>
      <c r="F218" s="62">
        <f>+Historicals!F154</f>
        <v>1673</v>
      </c>
      <c r="G218" s="62">
        <f>+Historicals!G154</f>
        <v>1916</v>
      </c>
      <c r="H218" s="62">
        <f>+Historicals!H154</f>
        <v>1870</v>
      </c>
      <c r="I218" s="62">
        <f>+Historicals!I154</f>
        <v>1817</v>
      </c>
      <c r="J218" s="62">
        <f>+J201*J220</f>
        <v>1817</v>
      </c>
      <c r="K218" s="62">
        <f t="shared" ref="K218:N218" si="619">+K201*K220</f>
        <v>1817</v>
      </c>
      <c r="L218" s="62">
        <f t="shared" si="619"/>
        <v>1817</v>
      </c>
      <c r="M218" s="62">
        <f t="shared" si="619"/>
        <v>1817</v>
      </c>
      <c r="N218" s="62">
        <f t="shared" si="619"/>
        <v>1817</v>
      </c>
    </row>
    <row r="219" spans="1:14" x14ac:dyDescent="0.3">
      <c r="A219" s="56" t="s">
        <v>132</v>
      </c>
      <c r="B219" s="63" t="str">
        <f>+IFERROR(B218/A218-1,"nm")</f>
        <v>nm</v>
      </c>
      <c r="C219" s="63">
        <f t="shared" ref="C219:I219" si="620">+IFERROR(C218/B218-1,"nm")</f>
        <v>0.31416549789621318</v>
      </c>
      <c r="D219" s="63">
        <f t="shared" si="620"/>
        <v>0.32123799359658478</v>
      </c>
      <c r="E219" s="63">
        <f t="shared" si="620"/>
        <v>0.17124394184168024</v>
      </c>
      <c r="F219" s="63">
        <f t="shared" si="620"/>
        <v>0.15379310344827579</v>
      </c>
      <c r="G219" s="63">
        <f t="shared" si="620"/>
        <v>0.14524805738194857</v>
      </c>
      <c r="H219" s="63">
        <f t="shared" si="620"/>
        <v>-2.4008350730688965E-2</v>
      </c>
      <c r="I219" s="63">
        <f t="shared" si="620"/>
        <v>-2.8342245989304793E-2</v>
      </c>
      <c r="J219" s="59">
        <f>+J220+J221</f>
        <v>-25.236111111111111</v>
      </c>
      <c r="K219" s="59">
        <f t="shared" ref="K219:N219" si="621">+K220+K221</f>
        <v>-25.236111111111111</v>
      </c>
      <c r="L219" s="59">
        <f t="shared" si="621"/>
        <v>-25.236111111111111</v>
      </c>
      <c r="M219" s="59">
        <f t="shared" si="621"/>
        <v>-25.236111111111111</v>
      </c>
      <c r="N219" s="59">
        <f t="shared" si="621"/>
        <v>-25.236111111111111</v>
      </c>
    </row>
    <row r="220" spans="1:14" x14ac:dyDescent="0.3">
      <c r="A220" s="56" t="s">
        <v>136</v>
      </c>
      <c r="B220" s="63">
        <f>+IFERROR(B218/B201,"nm")</f>
        <v>-8.6951219512195124</v>
      </c>
      <c r="C220" s="63">
        <f t="shared" ref="C220:I220" si="622">+IFERROR(C218/C201,"nm")</f>
        <v>-10.895348837209303</v>
      </c>
      <c r="D220" s="63">
        <f t="shared" si="622"/>
        <v>16.506666666666668</v>
      </c>
      <c r="E220" s="63">
        <f t="shared" si="622"/>
        <v>55.769230769230766</v>
      </c>
      <c r="F220" s="63">
        <f t="shared" si="622"/>
        <v>-239</v>
      </c>
      <c r="G220" s="63">
        <f t="shared" si="622"/>
        <v>-174.18181818181819</v>
      </c>
      <c r="H220" s="63">
        <f t="shared" si="622"/>
        <v>46.75</v>
      </c>
      <c r="I220" s="63">
        <f t="shared" si="622"/>
        <v>-25.236111111111111</v>
      </c>
      <c r="J220" s="64">
        <f>+I220</f>
        <v>-25.236111111111111</v>
      </c>
      <c r="K220" s="64">
        <f t="shared" ref="K220" si="623">+J220</f>
        <v>-25.236111111111111</v>
      </c>
      <c r="L220" s="64">
        <f t="shared" ref="L220" si="624">+K220</f>
        <v>-25.236111111111111</v>
      </c>
      <c r="M220" s="64">
        <f t="shared" ref="M220" si="625">+L220</f>
        <v>-25.236111111111111</v>
      </c>
      <c r="N220" s="64">
        <f t="shared" ref="N220" si="626">+M220</f>
        <v>-25.236111111111111</v>
      </c>
    </row>
    <row r="223" spans="1:14" x14ac:dyDescent="0.3">
      <c r="J223" s="81"/>
      <c r="K223" s="81"/>
      <c r="L223" s="81"/>
      <c r="M223" s="81"/>
      <c r="N223" s="81"/>
    </row>
  </sheetData>
  <pageMargins left="0.7" right="0.7" top="0.75" bottom="0.75" header="0.3" footer="0.3"/>
  <ignoredErrors>
    <ignoredError sqref="B23:I23 B54:I54 B85:I85 B116:I116 B168:I168 B5 C5:I5 J146 J5:N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816A5-177A-40A5-A79B-8FD1B1B1C6E0}">
  <dimension ref="A1:O73"/>
  <sheetViews>
    <sheetView workbookViewId="0">
      <selection activeCell="J53" sqref="J53"/>
    </sheetView>
  </sheetViews>
  <sheetFormatPr defaultRowHeight="14.4" x14ac:dyDescent="0.3"/>
  <cols>
    <col min="1" max="1" width="48.77734375" customWidth="1"/>
    <col min="2" max="14" width="11.77734375" customWidth="1"/>
    <col min="15" max="15" width="50.88671875" customWidth="1"/>
  </cols>
  <sheetData>
    <row r="1" spans="1:15" ht="40.200000000000003" x14ac:dyDescent="0.4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71">
        <f>+I1+1</f>
        <v>2023</v>
      </c>
      <c r="K1" s="71">
        <f t="shared" ref="K1:N1" si="1">+J1+1</f>
        <v>2024</v>
      </c>
      <c r="L1" s="71">
        <f t="shared" si="1"/>
        <v>2025</v>
      </c>
      <c r="M1" s="71">
        <f t="shared" si="1"/>
        <v>2026</v>
      </c>
      <c r="N1" s="71">
        <f t="shared" si="1"/>
        <v>2027</v>
      </c>
      <c r="O1" s="88" t="s">
        <v>201</v>
      </c>
    </row>
    <row r="2" spans="1:15" ht="21" x14ac:dyDescent="0.4">
      <c r="A2" s="72" t="s">
        <v>145</v>
      </c>
      <c r="B2" s="72"/>
      <c r="C2" s="72"/>
      <c r="D2" s="72"/>
      <c r="E2" s="72"/>
      <c r="F2" s="72"/>
      <c r="G2" s="72"/>
      <c r="H2" s="72"/>
      <c r="I2" s="72"/>
      <c r="J2" s="71"/>
      <c r="K2" s="71"/>
      <c r="L2" s="71"/>
      <c r="M2" s="71"/>
      <c r="N2" s="71"/>
      <c r="O2" s="88"/>
    </row>
    <row r="3" spans="1:15" x14ac:dyDescent="0.3">
      <c r="A3" s="1" t="s">
        <v>139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50646.407999999989</v>
      </c>
      <c r="K3" s="9">
        <f>'Segmental Forecast'!K3</f>
        <v>54974.891376</v>
      </c>
      <c r="L3" s="9">
        <f>'Segmental Forecast'!L3</f>
        <v>59738.255685149998</v>
      </c>
      <c r="M3" s="9">
        <f>'Segmental Forecast'!M3</f>
        <v>64984.394401809353</v>
      </c>
      <c r="N3" s="9">
        <f>'Segmental Forecast'!N3</f>
        <v>70766.92681197518</v>
      </c>
    </row>
    <row r="4" spans="1:15" x14ac:dyDescent="0.3">
      <c r="A4" s="73" t="s">
        <v>132</v>
      </c>
      <c r="B4" s="74" t="str">
        <f>'Segmental Forecast'!B4</f>
        <v>nm</v>
      </c>
      <c r="C4" s="74">
        <f>'Segmental Forecast'!C4</f>
        <v>5.8004640371229765E-2</v>
      </c>
      <c r="D4" s="74">
        <f>'Segmental Forecast'!D4</f>
        <v>6.0971089696071123E-2</v>
      </c>
      <c r="E4" s="74">
        <f>'Segmental Forecast'!E4</f>
        <v>5.95924308588065E-2</v>
      </c>
      <c r="F4" s="74">
        <f>'Segmental Forecast'!F4</f>
        <v>7.4731433909388079E-2</v>
      </c>
      <c r="G4" s="74">
        <f>'Segmental Forecast'!G4</f>
        <v>-4.3817266150267153E-2</v>
      </c>
      <c r="H4" s="74">
        <f>'Segmental Forecast'!H4</f>
        <v>0.19076009945726269</v>
      </c>
      <c r="I4" s="74">
        <f>'Segmental Forecast'!I4</f>
        <v>4.8767344739323759E-2</v>
      </c>
      <c r="J4" s="74">
        <f>'Segmental Forecast'!J4</f>
        <v>8.4273346178548314E-2</v>
      </c>
      <c r="K4" s="74">
        <f>'Segmental Forecast'!K4</f>
        <v>8.5464765359075656E-2</v>
      </c>
      <c r="L4" s="74">
        <f>'Segmental Forecast'!L4</f>
        <v>8.6646179554426661E-2</v>
      </c>
      <c r="M4" s="74">
        <f>'Segmental Forecast'!M4</f>
        <v>8.7818746237069423E-2</v>
      </c>
      <c r="N4" s="74">
        <f>'Segmental Forecast'!N4</f>
        <v>8.8983400759441666E-2</v>
      </c>
    </row>
    <row r="5" spans="1:15" x14ac:dyDescent="0.3">
      <c r="A5" s="1" t="s">
        <v>133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8736.0194719616466</v>
      </c>
      <c r="K5" s="9">
        <f>'Segmental Forecast'!K5</f>
        <v>10015.235411737289</v>
      </c>
      <c r="L5" s="9">
        <f>'Segmental Forecast'!L5</f>
        <v>11423.333392228713</v>
      </c>
      <c r="M5" s="9">
        <f>'Segmental Forecast'!M5</f>
        <v>12974.501967675322</v>
      </c>
      <c r="N5" s="9">
        <f>'Segmental Forecast'!N5</f>
        <v>14684.620132486976</v>
      </c>
    </row>
    <row r="6" spans="1:15" x14ac:dyDescent="0.3">
      <c r="A6" s="75" t="s">
        <v>135</v>
      </c>
      <c r="B6" s="41">
        <f>'Segmental Forecast'!B8</f>
        <v>606</v>
      </c>
      <c r="C6" s="41">
        <f>'Segmental Forecast'!C8</f>
        <v>649</v>
      </c>
      <c r="D6" s="41">
        <f>'Segmental Forecast'!D8</f>
        <v>706</v>
      </c>
      <c r="E6" s="41">
        <f>'Segmental Forecast'!E8</f>
        <v>747</v>
      </c>
      <c r="F6" s="41">
        <f>'Segmental Forecast'!F8</f>
        <v>705</v>
      </c>
      <c r="G6" s="41">
        <f>'Segmental Forecast'!G8</f>
        <v>721</v>
      </c>
      <c r="H6" s="41">
        <f>'Segmental Forecast'!H8</f>
        <v>744</v>
      </c>
      <c r="I6" s="41">
        <f>'Segmental Forecast'!I8</f>
        <v>717</v>
      </c>
      <c r="J6" s="41">
        <f>'Segmental Forecast'!J8</f>
        <v>748.40929601934783</v>
      </c>
      <c r="K6" s="41">
        <f>'Segmental Forecast'!K8</f>
        <v>783.01342155629209</v>
      </c>
      <c r="L6" s="41">
        <f>'Segmental Forecast'!L8</f>
        <v>821.16867356106525</v>
      </c>
      <c r="M6" s="41">
        <f>'Segmental Forecast'!M8</f>
        <v>863.27461072832307</v>
      </c>
      <c r="N6" s="41">
        <f>'Segmental Forecast'!N8</f>
        <v>909.7795980992878</v>
      </c>
    </row>
    <row r="7" spans="1:15" x14ac:dyDescent="0.3">
      <c r="A7" s="4" t="s">
        <v>137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7987.6101759422963</v>
      </c>
      <c r="K7" s="5">
        <f>'Segmental Forecast'!K11</f>
        <v>9232.2219901809967</v>
      </c>
      <c r="L7" s="5">
        <f>'Segmental Forecast'!L11</f>
        <v>10602.164718667647</v>
      </c>
      <c r="M7" s="5">
        <f>'Segmental Forecast'!M11</f>
        <v>12111.227356946998</v>
      </c>
      <c r="N7" s="5">
        <f>'Segmental Forecast'!N11</f>
        <v>13774.840534387688</v>
      </c>
    </row>
    <row r="8" spans="1:15" x14ac:dyDescent="0.3">
      <c r="A8" s="73" t="s">
        <v>132</v>
      </c>
      <c r="B8" s="74" t="str">
        <f t="shared" ref="B8" si="2">+IFERROR(B7/A7-1,"nm")</f>
        <v>nm</v>
      </c>
      <c r="C8" s="74">
        <f t="shared" ref="C8" si="3">+IFERROR(C7/B7-1,"nm")</f>
        <v>9.6621781242617555E-2</v>
      </c>
      <c r="D8" s="74">
        <f t="shared" ref="D8" si="4">+IFERROR(D7/C7-1,"nm")</f>
        <v>6.5273588970271357E-2</v>
      </c>
      <c r="E8" s="74">
        <f t="shared" ref="E8" si="5">+IFERROR(E7/D7-1,"nm")</f>
        <v>-0.11445904954499497</v>
      </c>
      <c r="F8" s="74">
        <f t="shared" ref="F8" si="6">+IFERROR(F7/E7-1,"nm")</f>
        <v>0.10755880337976698</v>
      </c>
      <c r="G8" s="74">
        <f t="shared" ref="G8" si="7">+IFERROR(G7/F7-1,"nm")</f>
        <v>-0.38639175257731961</v>
      </c>
      <c r="H8" s="74">
        <f t="shared" ref="H8" si="8">+IFERROR(H7/G7-1,"nm")</f>
        <v>1.32627688172043</v>
      </c>
      <c r="I8" s="74">
        <f t="shared" ref="I8" si="9">+IFERROR(I7/H7-1,"nm")</f>
        <v>-9.67788530983682E-3</v>
      </c>
      <c r="J8" s="74">
        <f t="shared" ref="J8" si="10">+IFERROR(J7/I7-1,"nm")</f>
        <v>0.16505399299041668</v>
      </c>
      <c r="K8" s="74">
        <f t="shared" ref="K8" si="11">+IFERROR(K7/J7-1,"nm")</f>
        <v>0.1558177961647802</v>
      </c>
      <c r="L8" s="74">
        <f t="shared" ref="L8" si="12">+IFERROR(L7/K7-1,"nm")</f>
        <v>0.1483871087527644</v>
      </c>
      <c r="M8" s="74">
        <f t="shared" ref="M8" si="13">+IFERROR(M7/L7-1,"nm")</f>
        <v>0.14233533229513817</v>
      </c>
      <c r="N8" s="74">
        <f t="shared" ref="N8" si="14">+IFERROR(N7/M7-1,"nm")</f>
        <v>0.13736123750384732</v>
      </c>
    </row>
    <row r="9" spans="1:15" x14ac:dyDescent="0.3">
      <c r="A9" s="73" t="s">
        <v>134</v>
      </c>
      <c r="B9" s="74">
        <f t="shared" ref="B9:N9" si="15">+IFERROR(B7/B$3,"nm")</f>
        <v>0.13832881278389594</v>
      </c>
      <c r="C9" s="74">
        <f t="shared" si="15"/>
        <v>0.14337781072399308</v>
      </c>
      <c r="D9" s="74">
        <f t="shared" si="15"/>
        <v>0.14395924308588065</v>
      </c>
      <c r="E9" s="74">
        <f t="shared" si="15"/>
        <v>0.12031211363573921</v>
      </c>
      <c r="F9" s="74">
        <f t="shared" si="15"/>
        <v>0.12398701331901731</v>
      </c>
      <c r="G9" s="74">
        <f t="shared" si="15"/>
        <v>7.9565810229126011E-2</v>
      </c>
      <c r="H9" s="74">
        <f t="shared" si="15"/>
        <v>0.1554402981723472</v>
      </c>
      <c r="I9" s="74">
        <f t="shared" si="15"/>
        <v>0.14677799186469706</v>
      </c>
      <c r="J9" s="74">
        <f t="shared" si="15"/>
        <v>0.15771326124336987</v>
      </c>
      <c r="K9" s="74">
        <f t="shared" si="15"/>
        <v>0.16793524751212957</v>
      </c>
      <c r="L9" s="74">
        <f t="shared" si="15"/>
        <v>0.17747697178414903</v>
      </c>
      <c r="M9" s="74">
        <f t="shared" si="15"/>
        <v>0.18637131989045336</v>
      </c>
      <c r="N9" s="74">
        <f t="shared" si="15"/>
        <v>0.194650822848177</v>
      </c>
    </row>
    <row r="10" spans="1:15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J50</f>
        <v>285.36</v>
      </c>
      <c r="K10" s="3">
        <f t="shared" ref="K10:N10" si="16">K50</f>
        <v>424.35398082220678</v>
      </c>
      <c r="L10" s="3">
        <f t="shared" si="16"/>
        <v>535.93401411160642</v>
      </c>
      <c r="M10" s="3">
        <f t="shared" si="16"/>
        <v>689.21127393190898</v>
      </c>
      <c r="N10" s="3">
        <f t="shared" si="16"/>
        <v>887.49433471723341</v>
      </c>
    </row>
    <row r="11" spans="1:15" x14ac:dyDescent="0.3">
      <c r="A11" s="4" t="s">
        <v>146</v>
      </c>
      <c r="B11" s="5">
        <f>B7-B10</f>
        <v>4205</v>
      </c>
      <c r="C11" s="5">
        <f t="shared" ref="C11:N11" si="17">C7-C10</f>
        <v>4623</v>
      </c>
      <c r="D11" s="5">
        <f t="shared" si="17"/>
        <v>4886</v>
      </c>
      <c r="E11" s="5">
        <f t="shared" si="17"/>
        <v>4325</v>
      </c>
      <c r="F11" s="5">
        <f t="shared" si="17"/>
        <v>4801</v>
      </c>
      <c r="G11" s="5">
        <f t="shared" si="17"/>
        <v>2887</v>
      </c>
      <c r="H11" s="5">
        <f t="shared" si="17"/>
        <v>6661</v>
      </c>
      <c r="I11" s="5">
        <f t="shared" si="17"/>
        <v>6651</v>
      </c>
      <c r="J11" s="5">
        <f t="shared" si="17"/>
        <v>7702.2501759422967</v>
      </c>
      <c r="K11" s="5">
        <f t="shared" si="17"/>
        <v>8807.86800935879</v>
      </c>
      <c r="L11" s="5">
        <f t="shared" si="17"/>
        <v>10066.230704556041</v>
      </c>
      <c r="M11" s="5">
        <f t="shared" si="17"/>
        <v>11422.016083015089</v>
      </c>
      <c r="N11" s="5">
        <f t="shared" si="17"/>
        <v>12887.346199670454</v>
      </c>
    </row>
    <row r="12" spans="1:15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1001.2925228724986</v>
      </c>
      <c r="K12" s="3">
        <f t="shared" ref="K12:N12" si="18">K11*K13</f>
        <v>1145.0228412166427</v>
      </c>
      <c r="L12" s="3">
        <f t="shared" si="18"/>
        <v>1308.6099915922853</v>
      </c>
      <c r="M12" s="3">
        <f t="shared" si="18"/>
        <v>1484.8620907919617</v>
      </c>
      <c r="N12" s="3">
        <f t="shared" si="18"/>
        <v>1675.3550059571589</v>
      </c>
    </row>
    <row r="13" spans="1:15" x14ac:dyDescent="0.3">
      <c r="A13" s="76" t="s">
        <v>147</v>
      </c>
      <c r="B13" s="77">
        <f>IFERROR(B12/B11, "nm")</f>
        <v>0.22164090368608799</v>
      </c>
      <c r="C13" s="77">
        <f t="shared" ref="C13:I13" si="19">IFERROR(C12/C11, "nm")</f>
        <v>0.18667531905688947</v>
      </c>
      <c r="D13" s="77">
        <f t="shared" si="19"/>
        <v>0.13221449038067951</v>
      </c>
      <c r="E13" s="77">
        <f t="shared" si="19"/>
        <v>0.55306358381502885</v>
      </c>
      <c r="F13" s="77">
        <f t="shared" si="19"/>
        <v>0.16079983336804832</v>
      </c>
      <c r="G13" s="77">
        <f t="shared" si="19"/>
        <v>0.12054035330793211</v>
      </c>
      <c r="H13" s="77">
        <f t="shared" si="19"/>
        <v>0.14021918630836211</v>
      </c>
      <c r="I13" s="77">
        <f t="shared" si="19"/>
        <v>9.0963764847391368E-2</v>
      </c>
      <c r="J13" s="82">
        <v>0.13</v>
      </c>
      <c r="K13" s="82">
        <v>0.13</v>
      </c>
      <c r="L13" s="82">
        <v>0.13</v>
      </c>
      <c r="M13" s="82">
        <v>0.13</v>
      </c>
      <c r="N13" s="82">
        <v>0.13</v>
      </c>
      <c r="O13" t="s">
        <v>202</v>
      </c>
    </row>
    <row r="14" spans="1:15" ht="15" thickBot="1" x14ac:dyDescent="0.35">
      <c r="A14" s="6" t="s">
        <v>148</v>
      </c>
      <c r="B14" s="7">
        <f>B11-B12</f>
        <v>3273</v>
      </c>
      <c r="C14" s="7">
        <f t="shared" ref="C14:N14" si="20">C11-C12</f>
        <v>3760</v>
      </c>
      <c r="D14" s="7">
        <f t="shared" si="20"/>
        <v>4240</v>
      </c>
      <c r="E14" s="7">
        <f t="shared" si="20"/>
        <v>1933</v>
      </c>
      <c r="F14" s="7">
        <f t="shared" si="20"/>
        <v>4029</v>
      </c>
      <c r="G14" s="7">
        <f t="shared" si="20"/>
        <v>2539</v>
      </c>
      <c r="H14" s="7">
        <f t="shared" si="20"/>
        <v>5727</v>
      </c>
      <c r="I14" s="7">
        <f t="shared" si="20"/>
        <v>6046</v>
      </c>
      <c r="J14" s="7">
        <f t="shared" si="20"/>
        <v>6700.9576530697977</v>
      </c>
      <c r="K14" s="7">
        <f t="shared" si="20"/>
        <v>7662.8451681421475</v>
      </c>
      <c r="L14" s="7">
        <f t="shared" si="20"/>
        <v>8757.6207129637551</v>
      </c>
      <c r="M14" s="7">
        <f t="shared" si="20"/>
        <v>9937.1539922231277</v>
      </c>
      <c r="N14" s="7">
        <f t="shared" si="20"/>
        <v>11211.991193713295</v>
      </c>
    </row>
    <row r="15" spans="1:15" ht="15" thickTop="1" x14ac:dyDescent="0.3">
      <c r="A15" t="s">
        <v>149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I15-(I59/B73)</f>
        <v>1636.2052300228086</v>
      </c>
      <c r="K15" s="3">
        <f>J15-(J59/B73)</f>
        <v>1662.8807215467575</v>
      </c>
      <c r="L15" s="3">
        <f>K15-(K59/B73)</f>
        <v>1690.889987646904</v>
      </c>
      <c r="M15" s="3">
        <f>L15-(L59/B73)</f>
        <v>1720.2997170520578</v>
      </c>
      <c r="N15" s="3">
        <f>M15-(M59/B73)</f>
        <v>1751.1799329274693</v>
      </c>
    </row>
    <row r="16" spans="1:15" x14ac:dyDescent="0.3">
      <c r="A16" t="s">
        <v>150</v>
      </c>
      <c r="B16" s="78">
        <f>IFERROR(B14/B15,"nm")</f>
        <v>1.8504070556309362</v>
      </c>
      <c r="C16" s="78">
        <f t="shared" ref="C16:N16" si="21">IFERROR(C14/C15,"nm")</f>
        <v>2.1578192252510759</v>
      </c>
      <c r="D16" s="78">
        <f t="shared" si="21"/>
        <v>2.5059101654846336</v>
      </c>
      <c r="E16" s="78">
        <f t="shared" si="21"/>
        <v>1.1650895063588693</v>
      </c>
      <c r="F16" s="78">
        <f t="shared" si="21"/>
        <v>2.4894957983193278</v>
      </c>
      <c r="G16" s="78">
        <f t="shared" si="21"/>
        <v>1.5952500628298569</v>
      </c>
      <c r="H16" s="78">
        <f t="shared" si="21"/>
        <v>3.5584689946563937</v>
      </c>
      <c r="I16" s="78">
        <f t="shared" si="21"/>
        <v>3.7534144524459898</v>
      </c>
      <c r="J16" s="78">
        <f t="shared" si="21"/>
        <v>4.0954261299949435</v>
      </c>
      <c r="K16" s="78">
        <f t="shared" si="21"/>
        <v>4.608174879202652</v>
      </c>
      <c r="L16" s="78">
        <f t="shared" si="21"/>
        <v>5.1792965698206874</v>
      </c>
      <c r="M16" s="78">
        <f t="shared" si="21"/>
        <v>5.77640854888452</v>
      </c>
      <c r="N16" s="78">
        <f t="shared" si="21"/>
        <v>6.402535218051562</v>
      </c>
    </row>
    <row r="17" spans="1:15" x14ac:dyDescent="0.3">
      <c r="A17" t="s">
        <v>151</v>
      </c>
      <c r="B17" s="78">
        <f>IFERROR(-Historicals!B92/B15, "nm")</f>
        <v>0.508254183627318</v>
      </c>
      <c r="C17" s="78">
        <f>IFERROR(-Historicals!C92/C15, "nm")</f>
        <v>0.58651362984218081</v>
      </c>
      <c r="D17" s="78">
        <f>IFERROR(-Historicals!D92/D15, "nm")</f>
        <v>0.66962174940898345</v>
      </c>
      <c r="E17" s="78">
        <f>IFERROR(-Historicals!E92/E15, "nm")</f>
        <v>0.74920137423904531</v>
      </c>
      <c r="F17" s="78">
        <f>IFERROR(-Historicals!F92/F15, "nm")</f>
        <v>0.82303509639149774</v>
      </c>
      <c r="G17" s="78">
        <f>IFERROR(-Historicals!G92/G15, "nm")</f>
        <v>0.91228951997989449</v>
      </c>
      <c r="H17" s="78">
        <f>IFERROR(-Historicals!H92/H15, "nm")</f>
        <v>1.0177705977382876</v>
      </c>
      <c r="I17" s="78">
        <f>IFERROR(-Historicals!I92/I15, "nm")</f>
        <v>1.1404271169605165</v>
      </c>
      <c r="J17" s="78">
        <f>J16*J19</f>
        <v>1.1835781515685386</v>
      </c>
      <c r="K17" s="78">
        <f t="shared" ref="K17:N17" si="22">K16*K19</f>
        <v>1.3317625400895663</v>
      </c>
      <c r="L17" s="78">
        <f t="shared" si="22"/>
        <v>1.4968167086781785</v>
      </c>
      <c r="M17" s="78">
        <f t="shared" si="22"/>
        <v>1.6693820706276261</v>
      </c>
      <c r="N17" s="78">
        <f t="shared" si="22"/>
        <v>1.8503326780169014</v>
      </c>
    </row>
    <row r="18" spans="1:15" x14ac:dyDescent="0.3">
      <c r="A18" s="76" t="s">
        <v>132</v>
      </c>
      <c r="B18" s="77" t="str">
        <f>+IFERROR(B17/A17-1,"nm")</f>
        <v>nm</v>
      </c>
      <c r="C18" s="77">
        <f t="shared" ref="C18:I18" si="23">+IFERROR(C17/B17-1,"nm")</f>
        <v>0.15397698383186809</v>
      </c>
      <c r="D18" s="77">
        <f t="shared" si="23"/>
        <v>0.14169853067040461</v>
      </c>
      <c r="E18" s="77">
        <f t="shared" si="23"/>
        <v>0.11884265243818604</v>
      </c>
      <c r="F18" s="77">
        <f t="shared" si="23"/>
        <v>9.8549902190775418E-2</v>
      </c>
      <c r="G18" s="77">
        <f t="shared" si="23"/>
        <v>0.10844546481641237</v>
      </c>
      <c r="H18" s="77">
        <f t="shared" si="23"/>
        <v>0.11562237146023313</v>
      </c>
      <c r="I18" s="77">
        <f t="shared" si="23"/>
        <v>0.12051489745803123</v>
      </c>
      <c r="J18" s="77">
        <f t="shared" ref="J18" si="24">+IFERROR(J17/I17-1,"nm")</f>
        <v>3.7837608354165608E-2</v>
      </c>
      <c r="K18" s="77">
        <f t="shared" ref="K18" si="25">+IFERROR(K17/J17-1,"nm")</f>
        <v>0.12520034129106405</v>
      </c>
      <c r="L18" s="77">
        <f t="shared" ref="L18" si="26">+IFERROR(L17/K17-1,"nm")</f>
        <v>0.1239366355638083</v>
      </c>
      <c r="M18" s="77">
        <f t="shared" ref="M18" si="27">+IFERROR(M17/L17-1,"nm")</f>
        <v>0.11528823866606763</v>
      </c>
      <c r="N18" s="77">
        <f t="shared" ref="N18" si="28">+IFERROR(N17/M17-1,"nm")</f>
        <v>0.10839376471872875</v>
      </c>
    </row>
    <row r="19" spans="1:15" x14ac:dyDescent="0.3">
      <c r="A19" s="76" t="s">
        <v>152</v>
      </c>
      <c r="B19" s="77">
        <f>IFERROR(B17/B16, "nm")</f>
        <v>0.27467155514818214</v>
      </c>
      <c r="C19" s="77">
        <f t="shared" ref="C19:I19" si="29">IFERROR(C17/C16, "nm")</f>
        <v>0.27180851063829792</v>
      </c>
      <c r="D19" s="77">
        <f t="shared" si="29"/>
        <v>0.26721698113207548</v>
      </c>
      <c r="E19" s="77">
        <f t="shared" si="29"/>
        <v>0.64304190377651316</v>
      </c>
      <c r="F19" s="77">
        <f t="shared" si="29"/>
        <v>0.33060312732688008</v>
      </c>
      <c r="G19" s="77">
        <f t="shared" si="29"/>
        <v>0.57187869239858213</v>
      </c>
      <c r="H19" s="77">
        <f t="shared" si="29"/>
        <v>0.286013619696176</v>
      </c>
      <c r="I19" s="77">
        <f t="shared" si="29"/>
        <v>0.30383724776711873</v>
      </c>
      <c r="J19" s="77">
        <v>0.28899999999999998</v>
      </c>
      <c r="K19" s="77">
        <v>0.28899999999999998</v>
      </c>
      <c r="L19" s="77">
        <v>0.28899999999999998</v>
      </c>
      <c r="M19" s="77">
        <v>0.28899999999999998</v>
      </c>
      <c r="N19" s="77">
        <v>0.28899999999999998</v>
      </c>
      <c r="O19" t="s">
        <v>207</v>
      </c>
    </row>
    <row r="20" spans="1:15" x14ac:dyDescent="0.3">
      <c r="A20" s="79" t="s">
        <v>153</v>
      </c>
      <c r="B20" s="72"/>
      <c r="C20" s="72"/>
      <c r="D20" s="72"/>
      <c r="E20" s="72"/>
      <c r="F20" s="72"/>
      <c r="G20" s="72"/>
      <c r="H20" s="72"/>
      <c r="I20" s="72"/>
      <c r="J20" s="71"/>
      <c r="K20" s="71"/>
      <c r="L20" s="71"/>
      <c r="M20" s="71"/>
      <c r="N20" s="71"/>
    </row>
    <row r="21" spans="1:15" x14ac:dyDescent="0.3">
      <c r="A21" t="s">
        <v>154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9301.4247602775849</v>
      </c>
      <c r="K21" s="3">
        <f t="shared" ref="K21:N21" si="30">K68</f>
        <v>11696.17517639508</v>
      </c>
      <c r="L21" s="3">
        <f t="shared" si="30"/>
        <v>11612.140924148862</v>
      </c>
      <c r="M21" s="3">
        <f t="shared" si="30"/>
        <v>16090.679183965418</v>
      </c>
      <c r="N21" s="3">
        <f t="shared" si="30"/>
        <v>15178.930495926379</v>
      </c>
    </row>
    <row r="22" spans="1:15" x14ac:dyDescent="0.3">
      <c r="A22" t="s">
        <v>155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>
        <f>I22</f>
        <v>4423</v>
      </c>
      <c r="K22" s="3">
        <f t="shared" ref="K22:N22" si="31">J22</f>
        <v>4423</v>
      </c>
      <c r="L22" s="3">
        <f t="shared" si="31"/>
        <v>4423</v>
      </c>
      <c r="M22" s="3">
        <f t="shared" si="31"/>
        <v>4423</v>
      </c>
      <c r="N22" s="3">
        <f t="shared" si="31"/>
        <v>4423</v>
      </c>
    </row>
    <row r="23" spans="1:15" x14ac:dyDescent="0.3">
      <c r="A23" t="s">
        <v>156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>
        <f>J24*J3</f>
        <v>9695.8293217755017</v>
      </c>
      <c r="K23" s="3">
        <f t="shared" ref="K23:N23" si="32">K24*K3</f>
        <v>10524.48109972269</v>
      </c>
      <c r="L23" s="3">
        <f t="shared" si="32"/>
        <v>11436.387178806433</v>
      </c>
      <c r="M23" s="3">
        <f t="shared" si="32"/>
        <v>12440.71636233091</v>
      </c>
      <c r="N23" s="3">
        <f t="shared" si="32"/>
        <v>13547.733612134745</v>
      </c>
    </row>
    <row r="24" spans="1:15" x14ac:dyDescent="0.3">
      <c r="A24" s="76" t="s">
        <v>157</v>
      </c>
      <c r="B24" s="59">
        <f>+IFERROR(B23/B$3,"nm")</f>
        <v>0.18182412339466031</v>
      </c>
      <c r="C24" s="59">
        <f t="shared" ref="C24:I24" si="33">+IFERROR(C23/C$3,"nm")</f>
        <v>0.1818631084754139</v>
      </c>
      <c r="D24" s="59">
        <f t="shared" si="33"/>
        <v>0.19458515283842795</v>
      </c>
      <c r="E24" s="59">
        <f t="shared" si="33"/>
        <v>0.17803665137236585</v>
      </c>
      <c r="F24" s="59">
        <f t="shared" si="33"/>
        <v>0.18615947030702765</v>
      </c>
      <c r="G24" s="59">
        <f t="shared" si="33"/>
        <v>0.21035745795791783</v>
      </c>
      <c r="H24" s="59">
        <f t="shared" si="33"/>
        <v>0.19042166240064665</v>
      </c>
      <c r="I24" s="59">
        <f t="shared" si="33"/>
        <v>0.20828516377649325</v>
      </c>
      <c r="J24" s="59">
        <f>AVERAGE(B24:I24)</f>
        <v>0.19144159881536918</v>
      </c>
      <c r="K24" s="59">
        <f>J24</f>
        <v>0.19144159881536918</v>
      </c>
      <c r="L24" s="59">
        <f t="shared" ref="L24:N24" si="34">K24</f>
        <v>0.19144159881536918</v>
      </c>
      <c r="M24" s="59">
        <f t="shared" si="34"/>
        <v>0.19144159881536918</v>
      </c>
      <c r="N24" s="59">
        <f t="shared" si="34"/>
        <v>0.19144159881536918</v>
      </c>
      <c r="O24" t="s">
        <v>203</v>
      </c>
    </row>
    <row r="25" spans="1:15" x14ac:dyDescent="0.3">
      <c r="A25" t="s">
        <v>158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35">J25</f>
        <v>2129</v>
      </c>
      <c r="L25" s="3">
        <f t="shared" si="35"/>
        <v>2129</v>
      </c>
      <c r="M25" s="3">
        <f t="shared" si="35"/>
        <v>2129</v>
      </c>
      <c r="N25" s="3">
        <f t="shared" si="35"/>
        <v>2129</v>
      </c>
    </row>
    <row r="26" spans="1:15" x14ac:dyDescent="0.3">
      <c r="A26" t="s">
        <v>159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I26+-J52-J47</f>
        <v>4844.9768092795393</v>
      </c>
      <c r="K26" s="3">
        <f t="shared" ref="K26:N26" si="36">J26+-K52-K47</f>
        <v>4913.4000297639232</v>
      </c>
      <c r="L26" s="3">
        <f t="shared" si="36"/>
        <v>4997.9161548436286</v>
      </c>
      <c r="M26" s="3">
        <f t="shared" si="36"/>
        <v>5100.3708062232417</v>
      </c>
      <c r="N26" s="3">
        <f t="shared" si="36"/>
        <v>5222.833869751099</v>
      </c>
    </row>
    <row r="27" spans="1:15" x14ac:dyDescent="0.3">
      <c r="A27" t="s">
        <v>160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37">J27</f>
        <v>286</v>
      </c>
      <c r="L27" s="3">
        <f t="shared" si="37"/>
        <v>286</v>
      </c>
      <c r="M27" s="3">
        <f t="shared" si="37"/>
        <v>286</v>
      </c>
      <c r="N27" s="3">
        <f t="shared" si="37"/>
        <v>286</v>
      </c>
    </row>
    <row r="28" spans="1:15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38">J28</f>
        <v>284</v>
      </c>
      <c r="L28" s="3">
        <f t="shared" si="38"/>
        <v>284</v>
      </c>
      <c r="M28" s="3">
        <f t="shared" si="38"/>
        <v>284</v>
      </c>
      <c r="N28" s="3">
        <f t="shared" si="38"/>
        <v>284</v>
      </c>
    </row>
    <row r="29" spans="1:15" x14ac:dyDescent="0.3">
      <c r="A29" s="80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29" si="39">J29</f>
        <v>2926</v>
      </c>
      <c r="L29" s="3">
        <f t="shared" si="39"/>
        <v>2926</v>
      </c>
      <c r="M29" s="3">
        <f t="shared" si="39"/>
        <v>2926</v>
      </c>
      <c r="N29" s="3">
        <f t="shared" si="39"/>
        <v>2926</v>
      </c>
    </row>
    <row r="30" spans="1:15" x14ac:dyDescent="0.3">
      <c r="A30" t="s">
        <v>161</v>
      </c>
      <c r="B30" s="3">
        <f>Historicals!B35</f>
        <v>2587</v>
      </c>
      <c r="C30" s="3">
        <f>Historicals!C35</f>
        <v>2422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ref="K30:N30" si="40">J30</f>
        <v>3821</v>
      </c>
      <c r="L30" s="3">
        <f t="shared" si="40"/>
        <v>3821</v>
      </c>
      <c r="M30" s="3">
        <f t="shared" si="40"/>
        <v>3821</v>
      </c>
      <c r="N30" s="3">
        <f t="shared" si="40"/>
        <v>3821</v>
      </c>
    </row>
    <row r="31" spans="1:15" ht="15" thickBot="1" x14ac:dyDescent="0.35">
      <c r="A31" s="6" t="s">
        <v>162</v>
      </c>
      <c r="B31" s="7">
        <f>SUM(B21:B23,B25:B30)</f>
        <v>19466</v>
      </c>
      <c r="C31" s="7">
        <f t="shared" ref="C31:N31" si="41">SUM(C21:C23,C25:C30)</f>
        <v>19188</v>
      </c>
      <c r="D31" s="7">
        <f t="shared" si="41"/>
        <v>21211</v>
      </c>
      <c r="E31" s="7">
        <f t="shared" si="41"/>
        <v>20257</v>
      </c>
      <c r="F31" s="7">
        <f t="shared" si="41"/>
        <v>21105</v>
      </c>
      <c r="G31" s="7">
        <f t="shared" si="41"/>
        <v>29094</v>
      </c>
      <c r="H31" s="7">
        <f t="shared" si="41"/>
        <v>34904</v>
      </c>
      <c r="I31" s="7">
        <f t="shared" si="41"/>
        <v>36963</v>
      </c>
      <c r="J31" s="7">
        <f t="shared" si="41"/>
        <v>37711.230891332627</v>
      </c>
      <c r="K31" s="7">
        <f t="shared" si="41"/>
        <v>41003.056305881692</v>
      </c>
      <c r="L31" s="7">
        <f t="shared" si="41"/>
        <v>41915.444257798925</v>
      </c>
      <c r="M31" s="7">
        <f t="shared" si="41"/>
        <v>47500.766352519568</v>
      </c>
      <c r="N31" s="7">
        <f t="shared" si="41"/>
        <v>47818.497977812222</v>
      </c>
    </row>
    <row r="32" spans="1:15" ht="15" thickTop="1" x14ac:dyDescent="0.3">
      <c r="A32" t="s">
        <v>163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t="s">
        <v>204</v>
      </c>
    </row>
    <row r="33" spans="1:15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v>0</v>
      </c>
      <c r="K33" s="3">
        <v>1000</v>
      </c>
      <c r="L33" s="3">
        <v>0</v>
      </c>
      <c r="M33" s="3">
        <v>2000</v>
      </c>
      <c r="N33" s="3">
        <v>0</v>
      </c>
      <c r="O33" t="s">
        <v>205</v>
      </c>
    </row>
    <row r="34" spans="1:15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t="s">
        <v>206</v>
      </c>
    </row>
    <row r="35" spans="1:15" x14ac:dyDescent="0.3">
      <c r="A35" t="s">
        <v>164</v>
      </c>
      <c r="B35" s="3">
        <f>SUM(Historicals!B42,Historicals!B43,Historicals!B44)</f>
        <v>4020</v>
      </c>
      <c r="C35" s="3">
        <f>SUM(Historicals!C42,Historicals!C43,Historicals!C44)</f>
        <v>3122</v>
      </c>
      <c r="D35" s="3">
        <f>SUM(Historicals!D42,Historicals!D43,Historicals!D44)</f>
        <v>3095</v>
      </c>
      <c r="E35" s="3">
        <f>SUM(Historicals!E42,Historicals!E43,Historicals!E44)</f>
        <v>3419</v>
      </c>
      <c r="F35" s="3">
        <f>SUM(Historicals!F42,Historicals!F43,Historicals!F44)</f>
        <v>5239</v>
      </c>
      <c r="G35" s="3">
        <f>SUM(Historicals!G42,Historicals!G43,Historicals!G44)</f>
        <v>5785</v>
      </c>
      <c r="H35" s="3">
        <f>SUM(Historicals!H42,Historicals!H43,Historicals!H44)</f>
        <v>6836</v>
      </c>
      <c r="I35" s="3">
        <f>SUM(Historicals!I42,Historicals!I43,Historicals!I44)</f>
        <v>6862</v>
      </c>
      <c r="J35" s="3">
        <f>I35-J33</f>
        <v>6862</v>
      </c>
      <c r="K35" s="3">
        <f t="shared" ref="K35:N35" si="42">J35</f>
        <v>6862</v>
      </c>
      <c r="L35" s="3">
        <f t="shared" si="42"/>
        <v>6862</v>
      </c>
      <c r="M35" s="3">
        <f t="shared" si="42"/>
        <v>6862</v>
      </c>
      <c r="N35" s="3">
        <f t="shared" si="42"/>
        <v>6862</v>
      </c>
    </row>
    <row r="36" spans="1:15" x14ac:dyDescent="0.3">
      <c r="A36" t="s">
        <v>49</v>
      </c>
      <c r="B36" s="3">
        <f>Historicals!B46</f>
        <v>1079</v>
      </c>
      <c r="C36" s="3">
        <f>Historicals!C46</f>
        <v>1993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>I36-I33</f>
        <v>8420</v>
      </c>
      <c r="K36" s="3">
        <f t="shared" ref="K36:N36" si="43">J36-J33</f>
        <v>8420</v>
      </c>
      <c r="L36" s="3">
        <f t="shared" si="43"/>
        <v>7420</v>
      </c>
      <c r="M36" s="3">
        <f t="shared" si="43"/>
        <v>7420</v>
      </c>
      <c r="N36" s="3">
        <f t="shared" si="43"/>
        <v>5420</v>
      </c>
      <c r="O36" t="s">
        <v>205</v>
      </c>
    </row>
    <row r="37" spans="1:15" x14ac:dyDescent="0.3">
      <c r="A37" s="80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>I37</f>
        <v>2777</v>
      </c>
      <c r="K37" s="3">
        <f t="shared" ref="K37:N37" si="44">J37</f>
        <v>2777</v>
      </c>
      <c r="L37" s="3">
        <f t="shared" si="44"/>
        <v>2777</v>
      </c>
      <c r="M37" s="3">
        <f t="shared" si="44"/>
        <v>2777</v>
      </c>
      <c r="N37" s="3">
        <f t="shared" si="44"/>
        <v>2777</v>
      </c>
    </row>
    <row r="38" spans="1:15" x14ac:dyDescent="0.3">
      <c r="A38" t="s">
        <v>165</v>
      </c>
      <c r="B38" s="3">
        <f>SUM(Historicals!B48)</f>
        <v>1479</v>
      </c>
      <c r="C38" s="3">
        <f>SUM(Historicals!C48)</f>
        <v>1770</v>
      </c>
      <c r="D38" s="3">
        <f>SUM(Historicals!D48)</f>
        <v>1907</v>
      </c>
      <c r="E38" s="3">
        <f>SUM(Historicals!E48)</f>
        <v>3216</v>
      </c>
      <c r="F38" s="3">
        <f>SUM(Historicals!F48)</f>
        <v>3347</v>
      </c>
      <c r="G38" s="3">
        <f>SUM(Historicals!G48)</f>
        <v>2684</v>
      </c>
      <c r="H38" s="3">
        <f>SUM(Historicals!H48)</f>
        <v>2955</v>
      </c>
      <c r="I38" s="3">
        <f>SUM(Historicals!I48)</f>
        <v>2613</v>
      </c>
      <c r="J38" s="3">
        <f>I38</f>
        <v>2613</v>
      </c>
      <c r="K38" s="3">
        <f t="shared" ref="K38:N38" si="45">J38</f>
        <v>2613</v>
      </c>
      <c r="L38" s="3">
        <f t="shared" si="45"/>
        <v>2613</v>
      </c>
      <c r="M38" s="3">
        <f t="shared" si="45"/>
        <v>2613</v>
      </c>
      <c r="N38" s="3">
        <f t="shared" si="45"/>
        <v>2613</v>
      </c>
    </row>
    <row r="39" spans="1:15" x14ac:dyDescent="0.3">
      <c r="A39" t="s">
        <v>166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5" x14ac:dyDescent="0.3">
      <c r="A40" s="2" t="s">
        <v>167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>I40</f>
        <v>3</v>
      </c>
      <c r="K40" s="3">
        <f t="shared" ref="K40:N40" si="46">J40</f>
        <v>3</v>
      </c>
      <c r="L40" s="3">
        <f t="shared" si="46"/>
        <v>3</v>
      </c>
      <c r="M40" s="3">
        <f t="shared" si="46"/>
        <v>3</v>
      </c>
      <c r="N40" s="3">
        <f t="shared" si="46"/>
        <v>3</v>
      </c>
    </row>
    <row r="41" spans="1:15" x14ac:dyDescent="0.3">
      <c r="A41" s="2" t="s">
        <v>168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I41+J14+J59+J61</f>
        <v>5234.2308913326269</v>
      </c>
      <c r="K41" s="3">
        <f t="shared" ref="K41:N41" si="47">J41+K14+K59+K61</f>
        <v>7526.0563058816924</v>
      </c>
      <c r="L41" s="3">
        <f t="shared" si="47"/>
        <v>10438.444257798921</v>
      </c>
      <c r="M41" s="3">
        <f t="shared" si="47"/>
        <v>14023.766352519566</v>
      </c>
      <c r="N41" s="3">
        <f t="shared" si="47"/>
        <v>18341.497977812218</v>
      </c>
    </row>
    <row r="42" spans="1:15" x14ac:dyDescent="0.3">
      <c r="A42" s="2" t="s">
        <v>169</v>
      </c>
      <c r="B42" s="3">
        <f>SUM(Historicals!B55,Historicals!B56)</f>
        <v>8019</v>
      </c>
      <c r="C42" s="3">
        <f>SUM(Historicals!C55,Historicals!C56)</f>
        <v>8104</v>
      </c>
      <c r="D42" s="3">
        <f>SUM(Historicals!D55,Historicals!D56)</f>
        <v>5497</v>
      </c>
      <c r="E42" s="3">
        <f>SUM(Historicals!E55,Historicals!E56)</f>
        <v>6292</v>
      </c>
      <c r="F42" s="3">
        <f>SUM(Historicals!F55,Historicals!F56)</f>
        <v>7394</v>
      </c>
      <c r="G42" s="3">
        <f>SUM(Historicals!G55,Historicals!G56)</f>
        <v>8243</v>
      </c>
      <c r="H42" s="3">
        <f>SUM(Historicals!H55,Historicals!H56)</f>
        <v>9585</v>
      </c>
      <c r="I42" s="3">
        <f>SUM(Historicals!I55,Historicals!I56)</f>
        <v>11802</v>
      </c>
      <c r="J42" s="3">
        <f>I42</f>
        <v>11802</v>
      </c>
      <c r="K42" s="3">
        <f t="shared" ref="K42:N42" si="48">J42</f>
        <v>11802</v>
      </c>
      <c r="L42" s="3">
        <f t="shared" si="48"/>
        <v>11802</v>
      </c>
      <c r="M42" s="3">
        <f t="shared" si="48"/>
        <v>11802</v>
      </c>
      <c r="N42" s="3">
        <f t="shared" si="48"/>
        <v>11802</v>
      </c>
    </row>
    <row r="43" spans="1:15" ht="15" thickBot="1" x14ac:dyDescent="0.35">
      <c r="A43" s="6" t="s">
        <v>170</v>
      </c>
      <c r="B43" s="7">
        <f>SUM(B33:B42)</f>
        <v>19466</v>
      </c>
      <c r="C43" s="7">
        <f t="shared" ref="C43:I43" si="49">SUM(C33:C42)</f>
        <v>19188</v>
      </c>
      <c r="D43" s="7">
        <f t="shared" si="49"/>
        <v>21211</v>
      </c>
      <c r="E43" s="7">
        <f t="shared" si="49"/>
        <v>20257</v>
      </c>
      <c r="F43" s="7">
        <f t="shared" si="49"/>
        <v>21105</v>
      </c>
      <c r="G43" s="7">
        <f t="shared" si="49"/>
        <v>29094</v>
      </c>
      <c r="H43" s="7">
        <f t="shared" si="49"/>
        <v>34904</v>
      </c>
      <c r="I43" s="7">
        <f t="shared" si="49"/>
        <v>36963</v>
      </c>
      <c r="J43" s="7">
        <f t="shared" ref="J43:N43" si="50">SUM(J33,J34,J35,J36,J37,J38,J40,J41,J42)</f>
        <v>37711.230891332627</v>
      </c>
      <c r="K43" s="7">
        <f t="shared" si="50"/>
        <v>41003.056305881692</v>
      </c>
      <c r="L43" s="7">
        <f t="shared" si="50"/>
        <v>41915.444257798925</v>
      </c>
      <c r="M43" s="7">
        <f t="shared" si="50"/>
        <v>47500.766352519568</v>
      </c>
      <c r="N43" s="7">
        <f t="shared" si="50"/>
        <v>47818.497977812222</v>
      </c>
    </row>
    <row r="44" spans="1:15" ht="15" thickTop="1" x14ac:dyDescent="0.3">
      <c r="A44" s="83" t="s">
        <v>171</v>
      </c>
      <c r="B44" s="83">
        <f>B31-B43</f>
        <v>0</v>
      </c>
      <c r="C44" s="83">
        <f t="shared" ref="C44:N44" si="51">C31-C43</f>
        <v>0</v>
      </c>
      <c r="D44" s="83">
        <f t="shared" si="51"/>
        <v>0</v>
      </c>
      <c r="E44" s="83">
        <f t="shared" si="51"/>
        <v>0</v>
      </c>
      <c r="F44" s="83">
        <f t="shared" si="51"/>
        <v>0</v>
      </c>
      <c r="G44" s="83">
        <f t="shared" si="51"/>
        <v>0</v>
      </c>
      <c r="H44" s="83">
        <f t="shared" si="51"/>
        <v>0</v>
      </c>
      <c r="I44" s="83">
        <f t="shared" si="51"/>
        <v>0</v>
      </c>
      <c r="J44" s="83">
        <f t="shared" si="51"/>
        <v>0</v>
      </c>
      <c r="K44" s="83">
        <f t="shared" si="51"/>
        <v>0</v>
      </c>
      <c r="L44" s="83">
        <f t="shared" si="51"/>
        <v>0</v>
      </c>
      <c r="M44" s="83">
        <f t="shared" si="51"/>
        <v>0</v>
      </c>
      <c r="N44" s="83">
        <f t="shared" si="51"/>
        <v>0</v>
      </c>
    </row>
    <row r="45" spans="1:15" x14ac:dyDescent="0.3">
      <c r="A45" s="79" t="s">
        <v>172</v>
      </c>
      <c r="B45" s="72"/>
      <c r="C45" s="72"/>
      <c r="D45" s="72"/>
      <c r="E45" s="72"/>
      <c r="F45" s="72"/>
      <c r="G45" s="72"/>
      <c r="H45" s="72"/>
      <c r="I45" s="72"/>
      <c r="J45" s="71"/>
      <c r="K45" s="71"/>
      <c r="L45" s="71"/>
      <c r="M45" s="71"/>
      <c r="N45" s="71"/>
    </row>
    <row r="46" spans="1:15" x14ac:dyDescent="0.3">
      <c r="A46" s="1" t="s">
        <v>137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'Segmental Forecast'!J11</f>
        <v>7987.6101759422963</v>
      </c>
      <c r="K46" s="9">
        <f>'Segmental Forecast'!K11</f>
        <v>9232.2219901809967</v>
      </c>
      <c r="L46" s="9">
        <f>'Segmental Forecast'!L11</f>
        <v>10602.164718667647</v>
      </c>
      <c r="M46" s="9">
        <f>'Segmental Forecast'!M11</f>
        <v>12111.227356946998</v>
      </c>
      <c r="N46" s="9">
        <f>'Segmental Forecast'!N11</f>
        <v>13774.840534387688</v>
      </c>
    </row>
    <row r="47" spans="1:15" x14ac:dyDescent="0.3">
      <c r="A47" t="s">
        <v>135</v>
      </c>
      <c r="B47" s="81">
        <f>'Segmental Forecast'!B8</f>
        <v>606</v>
      </c>
      <c r="C47" s="81">
        <f>'Segmental Forecast'!C8</f>
        <v>649</v>
      </c>
      <c r="D47" s="81">
        <f>'Segmental Forecast'!D8</f>
        <v>706</v>
      </c>
      <c r="E47" s="81">
        <f>'Segmental Forecast'!E8</f>
        <v>747</v>
      </c>
      <c r="F47" s="81">
        <f>'Segmental Forecast'!F8</f>
        <v>705</v>
      </c>
      <c r="G47" s="81">
        <f>'Segmental Forecast'!G8</f>
        <v>721</v>
      </c>
      <c r="H47" s="81">
        <f>'Segmental Forecast'!H8</f>
        <v>744</v>
      </c>
      <c r="I47" s="81">
        <f>'Segmental Forecast'!I8</f>
        <v>717</v>
      </c>
      <c r="J47" s="81">
        <f>'Segmental Forecast'!J8</f>
        <v>748.40929601934783</v>
      </c>
      <c r="K47" s="81">
        <f>'Segmental Forecast'!K8</f>
        <v>783.01342155629209</v>
      </c>
      <c r="L47" s="81">
        <f>'Segmental Forecast'!L8</f>
        <v>821.16867356106525</v>
      </c>
      <c r="M47" s="81">
        <f>'Segmental Forecast'!M8</f>
        <v>863.27461072832307</v>
      </c>
      <c r="N47" s="81">
        <f>'Segmental Forecast'!N8</f>
        <v>909.7795980992878</v>
      </c>
    </row>
    <row r="48" spans="1:15" x14ac:dyDescent="0.3">
      <c r="A48" t="s">
        <v>173</v>
      </c>
      <c r="B48" s="3">
        <f>Historicals!B103</f>
        <v>856</v>
      </c>
      <c r="C48" s="3">
        <f>Historicals!C103</f>
        <v>748</v>
      </c>
      <c r="D48" s="3">
        <f>Historicals!D103</f>
        <v>703</v>
      </c>
      <c r="E48" s="3">
        <f>Historicals!E103</f>
        <v>529</v>
      </c>
      <c r="F48" s="3">
        <f>Historicals!F103</f>
        <v>757</v>
      </c>
      <c r="G48" s="3">
        <f>Historicals!G103</f>
        <v>1028</v>
      </c>
      <c r="H48" s="3">
        <f>Historicals!H103</f>
        <v>1177</v>
      </c>
      <c r="I48" s="3">
        <f>Historicals!I103</f>
        <v>1231</v>
      </c>
      <c r="J48" s="3">
        <f>J12</f>
        <v>1001.2925228724986</v>
      </c>
      <c r="K48" s="3">
        <f t="shared" ref="K48:N48" si="52">K12</f>
        <v>1145.0228412166427</v>
      </c>
      <c r="L48" s="3">
        <f t="shared" si="52"/>
        <v>1308.6099915922853</v>
      </c>
      <c r="M48" s="3">
        <f t="shared" si="52"/>
        <v>1484.8620907919617</v>
      </c>
      <c r="N48" s="3">
        <f t="shared" si="52"/>
        <v>1675.3550059571589</v>
      </c>
    </row>
    <row r="49" spans="1:15" x14ac:dyDescent="0.3">
      <c r="A49" s="1" t="s">
        <v>174</v>
      </c>
      <c r="B49" s="9">
        <f>B46-B48</f>
        <v>3377</v>
      </c>
      <c r="C49" s="9">
        <f t="shared" ref="C49:N49" si="53">C46-C48</f>
        <v>3894</v>
      </c>
      <c r="D49" s="9">
        <f t="shared" si="53"/>
        <v>4242</v>
      </c>
      <c r="E49" s="9">
        <f t="shared" si="53"/>
        <v>3850</v>
      </c>
      <c r="F49" s="9">
        <f t="shared" si="53"/>
        <v>4093</v>
      </c>
      <c r="G49" s="9">
        <f t="shared" si="53"/>
        <v>1948</v>
      </c>
      <c r="H49" s="9">
        <f t="shared" si="53"/>
        <v>5746</v>
      </c>
      <c r="I49" s="9">
        <f t="shared" si="53"/>
        <v>5625</v>
      </c>
      <c r="J49" s="9">
        <f t="shared" si="53"/>
        <v>6986.3176530697974</v>
      </c>
      <c r="K49" s="9">
        <f t="shared" si="53"/>
        <v>8087.1991489643542</v>
      </c>
      <c r="L49" s="9">
        <f t="shared" si="53"/>
        <v>9293.5547270753614</v>
      </c>
      <c r="M49" s="9">
        <f t="shared" si="53"/>
        <v>10626.365266155037</v>
      </c>
      <c r="N49" s="9">
        <f t="shared" si="53"/>
        <v>12099.485528430529</v>
      </c>
    </row>
    <row r="50" spans="1:15" x14ac:dyDescent="0.3">
      <c r="A50" t="s">
        <v>175</v>
      </c>
      <c r="B50" s="3">
        <f>Historicals!B102</f>
        <v>53</v>
      </c>
      <c r="C50" s="3">
        <f>Historicals!C102</f>
        <v>70</v>
      </c>
      <c r="D50" s="3">
        <f>Historicals!D102</f>
        <v>98</v>
      </c>
      <c r="E50" s="3">
        <f>Historicals!E102</f>
        <v>125</v>
      </c>
      <c r="F50" s="3">
        <f>Historicals!F102</f>
        <v>153</v>
      </c>
      <c r="G50" s="3">
        <f>Historicals!G102</f>
        <v>140</v>
      </c>
      <c r="H50" s="3">
        <f>Historicals!H102</f>
        <v>293</v>
      </c>
      <c r="I50" s="3">
        <f>Historicals!I102</f>
        <v>290</v>
      </c>
      <c r="J50" s="3">
        <f>-I70*8/100</f>
        <v>285.36</v>
      </c>
      <c r="K50" s="3">
        <f t="shared" ref="K50:N50" si="54">-J70*8/100</f>
        <v>424.35398082220678</v>
      </c>
      <c r="L50" s="3">
        <f t="shared" si="54"/>
        <v>535.93401411160642</v>
      </c>
      <c r="M50" s="3">
        <f t="shared" si="54"/>
        <v>689.21127393190898</v>
      </c>
      <c r="N50" s="3">
        <f t="shared" si="54"/>
        <v>887.49433471723341</v>
      </c>
      <c r="O50" t="s">
        <v>210</v>
      </c>
    </row>
    <row r="51" spans="1:15" x14ac:dyDescent="0.3">
      <c r="A51" t="s">
        <v>176</v>
      </c>
      <c r="B51" s="3">
        <v>-113</v>
      </c>
      <c r="C51" s="3">
        <f t="shared" ref="C51:H51" si="55">B23-C23</f>
        <v>-324</v>
      </c>
      <c r="D51" s="3">
        <f t="shared" si="55"/>
        <v>-796</v>
      </c>
      <c r="E51" s="3">
        <f t="shared" si="55"/>
        <v>204</v>
      </c>
      <c r="F51" s="3">
        <f t="shared" si="55"/>
        <v>-802</v>
      </c>
      <c r="G51" s="3">
        <f t="shared" si="55"/>
        <v>-586</v>
      </c>
      <c r="H51" s="3">
        <f t="shared" si="55"/>
        <v>-613</v>
      </c>
      <c r="I51" s="3">
        <f>H23-I23</f>
        <v>-1248</v>
      </c>
      <c r="J51" s="3">
        <f t="shared" ref="J51:N51" si="56">I23-J23</f>
        <v>33.170678224498261</v>
      </c>
      <c r="K51" s="3">
        <f t="shared" si="56"/>
        <v>-828.65177794718875</v>
      </c>
      <c r="L51" s="3">
        <f t="shared" si="56"/>
        <v>-911.90607908374295</v>
      </c>
      <c r="M51" s="3">
        <f t="shared" si="56"/>
        <v>-1004.3291835244763</v>
      </c>
      <c r="N51" s="3">
        <f t="shared" si="56"/>
        <v>-1107.0172498038355</v>
      </c>
    </row>
    <row r="52" spans="1:15" x14ac:dyDescent="0.3">
      <c r="A52" t="s">
        <v>138</v>
      </c>
      <c r="B52" s="3">
        <f>-'Segmental Forecast'!B14</f>
        <v>-963</v>
      </c>
      <c r="C52" s="3">
        <f>-'Segmental Forecast'!C14</f>
        <v>-1143</v>
      </c>
      <c r="D52" s="3">
        <f>-'Segmental Forecast'!D14</f>
        <v>-1105</v>
      </c>
      <c r="E52" s="3">
        <f>-'Segmental Forecast'!E14</f>
        <v>-1028</v>
      </c>
      <c r="F52" s="3">
        <f>-'Segmental Forecast'!F14</f>
        <v>-1119</v>
      </c>
      <c r="G52" s="3">
        <f>-'Segmental Forecast'!G14</f>
        <v>-1086</v>
      </c>
      <c r="H52" s="3">
        <f>-'Segmental Forecast'!H14</f>
        <v>-695</v>
      </c>
      <c r="I52" s="3">
        <f>-'Segmental Forecast'!I14</f>
        <v>-758</v>
      </c>
      <c r="J52" s="3">
        <f>-'Segmental Forecast'!J14</f>
        <v>-802.38610529888672</v>
      </c>
      <c r="K52" s="3">
        <f>-'Segmental Forecast'!K14</f>
        <v>-851.43664204067557</v>
      </c>
      <c r="L52" s="3">
        <f>-'Segmental Forecast'!L14</f>
        <v>-905.68479864077074</v>
      </c>
      <c r="M52" s="3">
        <f>-'Segmental Forecast'!M14</f>
        <v>-965.72926210793628</v>
      </c>
      <c r="N52" s="3">
        <f>-'Segmental Forecast'!N14</f>
        <v>-1032.242661627145</v>
      </c>
    </row>
    <row r="53" spans="1:15" x14ac:dyDescent="0.3">
      <c r="A53" s="1" t="s">
        <v>177</v>
      </c>
      <c r="B53" s="9">
        <f>B49+B47+B51+B52</f>
        <v>2907</v>
      </c>
      <c r="C53" s="9">
        <f t="shared" ref="C53:I53" si="57">C49+C47+C51+C52</f>
        <v>3076</v>
      </c>
      <c r="D53" s="9">
        <f t="shared" si="57"/>
        <v>3047</v>
      </c>
      <c r="E53" s="9">
        <f t="shared" si="57"/>
        <v>3773</v>
      </c>
      <c r="F53" s="9">
        <f t="shared" si="57"/>
        <v>2877</v>
      </c>
      <c r="G53" s="9">
        <f t="shared" si="57"/>
        <v>997</v>
      </c>
      <c r="H53" s="9">
        <f t="shared" si="57"/>
        <v>5182</v>
      </c>
      <c r="I53" s="9">
        <f t="shared" si="57"/>
        <v>4336</v>
      </c>
      <c r="J53" s="9">
        <f t="shared" ref="J53" si="58">J49+J47+J51+J52</f>
        <v>6965.5115220147563</v>
      </c>
      <c r="K53" s="9">
        <f t="shared" ref="K53" si="59">K49+K47+K51+K52</f>
        <v>7190.1241505327807</v>
      </c>
      <c r="L53" s="9">
        <f t="shared" ref="L53" si="60">L49+L47+L51+L52</f>
        <v>8297.1325229119138</v>
      </c>
      <c r="M53" s="9">
        <f t="shared" ref="M53" si="61">M49+M47+M51+M52</f>
        <v>9519.5814312509483</v>
      </c>
      <c r="N53" s="9">
        <f t="shared" ref="N53" si="62">N49+N47+N51+N52</f>
        <v>10870.005215098834</v>
      </c>
    </row>
    <row r="54" spans="1:15" x14ac:dyDescent="0.3">
      <c r="A54" t="s">
        <v>178</v>
      </c>
      <c r="B54" s="3">
        <f>Historicals!B76-(B49+B51+B47)</f>
        <v>810</v>
      </c>
      <c r="C54" s="3">
        <f>Historicals!C76-(C49+C51+C47)</f>
        <v>-820</v>
      </c>
      <c r="D54" s="3">
        <f>Historicals!D76-(D49+D51+D47)</f>
        <v>-306</v>
      </c>
      <c r="E54" s="3">
        <f>Historicals!E76-(E49+E51+E47)</f>
        <v>154</v>
      </c>
      <c r="F54" s="3">
        <f>Historicals!F76-(F49+F51+F47)</f>
        <v>1907</v>
      </c>
      <c r="G54" s="3">
        <f>Historicals!G76-(G49+G51+G47)</f>
        <v>402</v>
      </c>
      <c r="H54" s="3">
        <f>Historicals!H76-(H49+H51+H47)</f>
        <v>780</v>
      </c>
      <c r="I54" s="3">
        <f>Historicals!I76-(I49+I51+I47)</f>
        <v>94</v>
      </c>
      <c r="J54" s="85">
        <v>0</v>
      </c>
      <c r="K54" s="85">
        <v>0</v>
      </c>
      <c r="L54" s="85">
        <v>0</v>
      </c>
      <c r="M54" s="85">
        <v>0</v>
      </c>
      <c r="N54" s="85">
        <v>0</v>
      </c>
    </row>
    <row r="55" spans="1:15" x14ac:dyDescent="0.3">
      <c r="A55" s="26" t="s">
        <v>179</v>
      </c>
      <c r="B55" s="25">
        <f>SUM(B49,B51,B47,B54)</f>
        <v>4680</v>
      </c>
      <c r="C55" s="25">
        <f t="shared" ref="C55:N55" si="63">SUM(C49,C51,C47,C54)</f>
        <v>3399</v>
      </c>
      <c r="D55" s="25">
        <f t="shared" si="63"/>
        <v>3846</v>
      </c>
      <c r="E55" s="25">
        <f t="shared" si="63"/>
        <v>4955</v>
      </c>
      <c r="F55" s="25">
        <f t="shared" si="63"/>
        <v>5903</v>
      </c>
      <c r="G55" s="25">
        <f t="shared" si="63"/>
        <v>2485</v>
      </c>
      <c r="H55" s="25">
        <f t="shared" si="63"/>
        <v>6657</v>
      </c>
      <c r="I55" s="25">
        <f t="shared" si="63"/>
        <v>5188</v>
      </c>
      <c r="J55" s="25">
        <f t="shared" si="63"/>
        <v>7767.8976273136432</v>
      </c>
      <c r="K55" s="25">
        <f t="shared" si="63"/>
        <v>8041.5607925734575</v>
      </c>
      <c r="L55" s="25">
        <f t="shared" si="63"/>
        <v>9202.817321552684</v>
      </c>
      <c r="M55" s="25">
        <f t="shared" si="63"/>
        <v>10485.310693358884</v>
      </c>
      <c r="N55" s="25">
        <f t="shared" si="63"/>
        <v>11902.247876725982</v>
      </c>
    </row>
    <row r="56" spans="1:15" x14ac:dyDescent="0.3">
      <c r="A56" t="s">
        <v>180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5" x14ac:dyDescent="0.3">
      <c r="A57" t="s">
        <v>181</v>
      </c>
      <c r="B57" s="3">
        <f>SUM(Historicals!B78,Historicals!B79,Historicals!B80,Historicals!B81,Historicals!B83,Historicals!B84)</f>
        <v>788</v>
      </c>
      <c r="C57" s="3">
        <f>SUM(Historicals!C78,Historicals!C79,Historicals!C80,Historicals!C81,Historicals!C83,Historicals!C84)</f>
        <v>109</v>
      </c>
      <c r="D57" s="3">
        <f>SUM(Historicals!D78,Historicals!D79,Historicals!D80,Historicals!D81,Historicals!D83,Historicals!D84)</f>
        <v>97</v>
      </c>
      <c r="E57" s="3">
        <f>SUM(Historicals!E78,Historicals!E79,Historicals!E80,Historicals!E81,Historicals!E83,Historicals!E84)</f>
        <v>1304</v>
      </c>
      <c r="F57" s="3">
        <f>SUM(Historicals!F78,Historicals!F79,Historicals!F80,Historicals!F81,Historicals!F83,Historicals!F84)</f>
        <v>855</v>
      </c>
      <c r="G57" s="3">
        <f>SUM(Historicals!G78,Historicals!G79,Historicals!G80,Historicals!G81,Historicals!G83,Historicals!G84)</f>
        <v>58</v>
      </c>
      <c r="H57" s="3">
        <f>SUM(Historicals!H78,Historicals!H79,Historicals!H80,Historicals!H81,Historicals!H83,Historicals!H84)</f>
        <v>-3105</v>
      </c>
      <c r="I57" s="3">
        <f>SUM(Historicals!I78,Historicals!I79,Historicals!I80,Historicals!I81,Historicals!I83,Historicals!I84)</f>
        <v>-766</v>
      </c>
      <c r="J57" s="3">
        <f>-J50</f>
        <v>-285.36</v>
      </c>
      <c r="K57" s="3">
        <f t="shared" ref="K57:N57" si="64">-K50</f>
        <v>-424.35398082220678</v>
      </c>
      <c r="L57" s="3">
        <f t="shared" si="64"/>
        <v>-535.93401411160642</v>
      </c>
      <c r="M57" s="3">
        <f t="shared" si="64"/>
        <v>-689.21127393190898</v>
      </c>
      <c r="N57" s="3">
        <f t="shared" si="64"/>
        <v>-887.49433471723341</v>
      </c>
    </row>
    <row r="58" spans="1:15" x14ac:dyDescent="0.3">
      <c r="A58" s="26" t="s">
        <v>182</v>
      </c>
      <c r="B58" s="25">
        <f>SUM(B52,B56,B57)</f>
        <v>-175</v>
      </c>
      <c r="C58" s="25">
        <f t="shared" ref="C58:N58" si="65">SUM(C52,C56,C57)</f>
        <v>-1034</v>
      </c>
      <c r="D58" s="25">
        <f t="shared" si="65"/>
        <v>-1008</v>
      </c>
      <c r="E58" s="25">
        <f t="shared" si="65"/>
        <v>276</v>
      </c>
      <c r="F58" s="25">
        <f t="shared" si="65"/>
        <v>-264</v>
      </c>
      <c r="G58" s="25">
        <f t="shared" si="65"/>
        <v>-1028</v>
      </c>
      <c r="H58" s="25">
        <f t="shared" si="65"/>
        <v>-3800</v>
      </c>
      <c r="I58" s="25">
        <f t="shared" si="65"/>
        <v>-1524</v>
      </c>
      <c r="J58" s="25">
        <f t="shared" si="65"/>
        <v>-1087.7461052988867</v>
      </c>
      <c r="K58" s="25">
        <f t="shared" si="65"/>
        <v>-1275.7906228628824</v>
      </c>
      <c r="L58" s="25">
        <f t="shared" si="65"/>
        <v>-1441.6188127523772</v>
      </c>
      <c r="M58" s="25">
        <f t="shared" si="65"/>
        <v>-1654.9405360398453</v>
      </c>
      <c r="N58" s="25">
        <f t="shared" si="65"/>
        <v>-1919.7369963443784</v>
      </c>
    </row>
    <row r="59" spans="1:15" x14ac:dyDescent="0.3">
      <c r="A59" t="s">
        <v>183</v>
      </c>
      <c r="B59" s="3">
        <f>SUM(Historicals!B90,Historicals!B91)</f>
        <v>-2020</v>
      </c>
      <c r="C59" s="3">
        <f>SUM(Historicals!C90,Historicals!C91)</f>
        <v>-2731</v>
      </c>
      <c r="D59" s="3">
        <f>SUM(Historicals!D90,Historicals!D91)</f>
        <v>-2734</v>
      </c>
      <c r="E59" s="3">
        <f>SUM(Historicals!E90,Historicals!E91)</f>
        <v>-3521</v>
      </c>
      <c r="F59" s="3">
        <f>SUM(Historicals!F90,Historicals!F91)</f>
        <v>-3586</v>
      </c>
      <c r="G59" s="3">
        <f>SUM(Historicals!G90,Historicals!G91)</f>
        <v>-2182</v>
      </c>
      <c r="H59" s="3">
        <f>SUM(Historicals!H90,Historicals!H91)</f>
        <v>564</v>
      </c>
      <c r="I59" s="3">
        <f>SUM(Historicals!I90,Historicals!I91)</f>
        <v>-2863</v>
      </c>
      <c r="J59" s="3">
        <f>I59+I59*J60</f>
        <v>-3006.15</v>
      </c>
      <c r="K59" s="3">
        <f t="shared" ref="K59:N59" si="66">J59+J59*K60</f>
        <v>-3156.4575</v>
      </c>
      <c r="L59" s="3">
        <f t="shared" si="66"/>
        <v>-3314.2803749999998</v>
      </c>
      <c r="M59" s="3">
        <f t="shared" si="66"/>
        <v>-3479.9943937499997</v>
      </c>
      <c r="N59" s="3">
        <f t="shared" si="66"/>
        <v>-3653.9941134374999</v>
      </c>
      <c r="O59" t="s">
        <v>209</v>
      </c>
    </row>
    <row r="60" spans="1:15" x14ac:dyDescent="0.3">
      <c r="A60" s="76" t="s">
        <v>132</v>
      </c>
      <c r="B60" s="77"/>
      <c r="C60" s="77">
        <f>C59/B59-1</f>
        <v>0.35198019801980207</v>
      </c>
      <c r="D60" s="77">
        <f t="shared" ref="D60:I60" si="67">D59/C59-1</f>
        <v>1.0984987184181616E-3</v>
      </c>
      <c r="E60" s="77">
        <f t="shared" si="67"/>
        <v>0.28785662033650339</v>
      </c>
      <c r="F60" s="77">
        <f t="shared" si="67"/>
        <v>1.8460664583924924E-2</v>
      </c>
      <c r="G60" s="77">
        <f t="shared" si="67"/>
        <v>-0.39152258784160621</v>
      </c>
      <c r="H60" s="77">
        <f t="shared" si="67"/>
        <v>-1.2584784601283228</v>
      </c>
      <c r="I60" s="77">
        <f t="shared" si="67"/>
        <v>-6.0762411347517729</v>
      </c>
      <c r="J60" s="87">
        <v>0.05</v>
      </c>
      <c r="K60" s="87">
        <v>0.05</v>
      </c>
      <c r="L60" s="87">
        <v>0.05</v>
      </c>
      <c r="M60" s="87">
        <v>0.05</v>
      </c>
      <c r="N60" s="87">
        <v>0.05</v>
      </c>
    </row>
    <row r="61" spans="1:15" x14ac:dyDescent="0.3">
      <c r="A61" t="s">
        <v>184</v>
      </c>
      <c r="B61" s="3">
        <f>Historicals!B92</f>
        <v>-899</v>
      </c>
      <c r="C61" s="3">
        <f>Historicals!C92</f>
        <v>-1022</v>
      </c>
      <c r="D61" s="3">
        <f>Historicals!D92</f>
        <v>-1133</v>
      </c>
      <c r="E61" s="3">
        <f>Historicals!E92</f>
        <v>-1243</v>
      </c>
      <c r="F61" s="3">
        <f>Historicals!F92</f>
        <v>-1332</v>
      </c>
      <c r="G61" s="3">
        <f>Historicals!G92</f>
        <v>-1452</v>
      </c>
      <c r="H61" s="3">
        <f>Historicals!H92</f>
        <v>-1638</v>
      </c>
      <c r="I61" s="3">
        <f>Historicals!I92</f>
        <v>-1837</v>
      </c>
      <c r="J61" s="3">
        <f>-J17*J15</f>
        <v>-1936.5767617371714</v>
      </c>
      <c r="K61" s="3">
        <f t="shared" ref="K61:N61" si="68">-K17*K15</f>
        <v>-2214.5622535930806</v>
      </c>
      <c r="L61" s="3">
        <f t="shared" si="68"/>
        <v>-2530.9523860465247</v>
      </c>
      <c r="M61" s="3">
        <f t="shared" si="68"/>
        <v>-2871.8375037524834</v>
      </c>
      <c r="N61" s="3">
        <f t="shared" si="68"/>
        <v>-3240.2654549831418</v>
      </c>
    </row>
    <row r="62" spans="1:15" x14ac:dyDescent="0.3">
      <c r="A62" t="s">
        <v>185</v>
      </c>
      <c r="B62" s="3">
        <f>Historicals!B87+Historicals!B88+Historicals!B89</f>
        <v>-63</v>
      </c>
      <c r="C62" s="3">
        <f>Historicals!C87+Historicals!C88+Historicals!C89</f>
        <v>914</v>
      </c>
      <c r="D62" s="3">
        <f>Historicals!D87+Historicals!D88+Historicals!D89</f>
        <v>1809</v>
      </c>
      <c r="E62" s="3">
        <f>Historicals!E87+Historicals!E88+Historicals!E89</f>
        <v>13</v>
      </c>
      <c r="F62" s="3">
        <f>Historicals!F87+Historicals!F88+Historicals!F89</f>
        <v>-325</v>
      </c>
      <c r="G62" s="3">
        <f>Historicals!G87+Historicals!G88+Historicals!G89</f>
        <v>6183</v>
      </c>
      <c r="H62" s="3">
        <f>Historicals!H87+Historicals!H88+Historicals!H89</f>
        <v>-249</v>
      </c>
      <c r="I62" s="3">
        <f>Historicals!I87+Historicals!I88+Historicals!I89</f>
        <v>15</v>
      </c>
      <c r="J62" s="3">
        <f>(J36+J34+J33)-(I36+I34+I33)</f>
        <v>-1010</v>
      </c>
      <c r="K62" s="3">
        <f t="shared" ref="K62:N62" si="69">(K36+K34+K33)-(J36+J34+J33)</f>
        <v>1000</v>
      </c>
      <c r="L62" s="3">
        <f t="shared" si="69"/>
        <v>-2000</v>
      </c>
      <c r="M62" s="3">
        <f t="shared" si="69"/>
        <v>2000</v>
      </c>
      <c r="N62" s="3">
        <f t="shared" si="69"/>
        <v>-4000</v>
      </c>
    </row>
    <row r="63" spans="1:15" x14ac:dyDescent="0.3">
      <c r="A63" t="s">
        <v>186</v>
      </c>
      <c r="B63" s="3">
        <f>Historicals!B93</f>
        <v>192</v>
      </c>
      <c r="C63" s="3">
        <f>Historicals!C93</f>
        <v>-135</v>
      </c>
      <c r="D63" s="3">
        <f>Historicals!D93</f>
        <v>-90</v>
      </c>
      <c r="E63" s="3">
        <f>Historicals!E93</f>
        <v>-84</v>
      </c>
      <c r="F63" s="3">
        <f>Historicals!F93</f>
        <v>-50</v>
      </c>
      <c r="G63" s="3">
        <f>Historicals!G93</f>
        <v>-58</v>
      </c>
      <c r="H63" s="3">
        <f>Historicals!H93</f>
        <v>-136</v>
      </c>
      <c r="I63" s="3">
        <f>Historicals!I93</f>
        <v>-151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</row>
    <row r="64" spans="1:15" x14ac:dyDescent="0.3">
      <c r="A64" s="26" t="s">
        <v>187</v>
      </c>
      <c r="B64" s="25">
        <f>SUM(B59,B61,B62,B63)</f>
        <v>-2790</v>
      </c>
      <c r="C64" s="25">
        <f t="shared" ref="C64:N64" si="70">SUM(C59,C61,C62,C63)</f>
        <v>-2974</v>
      </c>
      <c r="D64" s="25">
        <f t="shared" si="70"/>
        <v>-2148</v>
      </c>
      <c r="E64" s="25">
        <f t="shared" si="70"/>
        <v>-4835</v>
      </c>
      <c r="F64" s="25">
        <f t="shared" si="70"/>
        <v>-5293</v>
      </c>
      <c r="G64" s="25">
        <f t="shared" si="70"/>
        <v>2491</v>
      </c>
      <c r="H64" s="25">
        <f t="shared" si="70"/>
        <v>-1459</v>
      </c>
      <c r="I64" s="25">
        <f t="shared" si="70"/>
        <v>-4836</v>
      </c>
      <c r="J64" s="25">
        <f t="shared" si="70"/>
        <v>-5952.7267617371717</v>
      </c>
      <c r="K64" s="25">
        <f t="shared" si="70"/>
        <v>-4371.0197535930802</v>
      </c>
      <c r="L64" s="25">
        <f t="shared" si="70"/>
        <v>-7845.2327610465245</v>
      </c>
      <c r="M64" s="25">
        <f t="shared" si="70"/>
        <v>-4351.8318975024831</v>
      </c>
      <c r="N64" s="25">
        <f t="shared" si="70"/>
        <v>-10894.259568420643</v>
      </c>
    </row>
    <row r="65" spans="1:14" x14ac:dyDescent="0.3">
      <c r="A65" t="s">
        <v>188</v>
      </c>
      <c r="B65" s="3">
        <f>Historicals!B95</f>
        <v>-83</v>
      </c>
      <c r="C65" s="3">
        <f>Historicals!C95</f>
        <v>-105</v>
      </c>
      <c r="D65" s="3">
        <f>Historicals!D95</f>
        <v>-20</v>
      </c>
      <c r="E65" s="3">
        <f>Historicals!E95</f>
        <v>45</v>
      </c>
      <c r="F65" s="3">
        <f>Historicals!F95</f>
        <v>-129</v>
      </c>
      <c r="G65" s="3">
        <f>Historicals!G95</f>
        <v>-66</v>
      </c>
      <c r="H65" s="3">
        <f>Historicals!H95</f>
        <v>143</v>
      </c>
      <c r="I65" s="3">
        <f>Historicals!I95</f>
        <v>-143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</row>
    <row r="66" spans="1:14" x14ac:dyDescent="0.3">
      <c r="A66" s="26" t="s">
        <v>189</v>
      </c>
      <c r="B66" s="25">
        <f>SUM(B55,B58,B64,B65)</f>
        <v>1632</v>
      </c>
      <c r="C66" s="25">
        <f t="shared" ref="C66:N66" si="71">SUM(C55,C58,C64,C65)</f>
        <v>-714</v>
      </c>
      <c r="D66" s="25">
        <f t="shared" si="71"/>
        <v>670</v>
      </c>
      <c r="E66" s="25">
        <f t="shared" si="71"/>
        <v>441</v>
      </c>
      <c r="F66" s="25">
        <f t="shared" si="71"/>
        <v>217</v>
      </c>
      <c r="G66" s="25">
        <f t="shared" si="71"/>
        <v>3882</v>
      </c>
      <c r="H66" s="25">
        <f t="shared" si="71"/>
        <v>1541</v>
      </c>
      <c r="I66" s="25">
        <f t="shared" si="71"/>
        <v>-1315</v>
      </c>
      <c r="J66" s="25">
        <f t="shared" si="71"/>
        <v>727.42476027758494</v>
      </c>
      <c r="K66" s="25">
        <f t="shared" si="71"/>
        <v>2394.7504161174948</v>
      </c>
      <c r="L66" s="25">
        <f t="shared" si="71"/>
        <v>-84.034252246217875</v>
      </c>
      <c r="M66" s="25">
        <f t="shared" si="71"/>
        <v>4478.5382598165561</v>
      </c>
      <c r="N66" s="25">
        <f t="shared" si="71"/>
        <v>-911.74868803903883</v>
      </c>
    </row>
    <row r="67" spans="1:14" x14ac:dyDescent="0.3">
      <c r="A67" t="s">
        <v>190</v>
      </c>
      <c r="B67" s="3">
        <v>2220</v>
      </c>
      <c r="C67" s="3">
        <f>B68</f>
        <v>3852</v>
      </c>
      <c r="D67" s="3">
        <f t="shared" ref="D67:N67" si="72">C68</f>
        <v>3138</v>
      </c>
      <c r="E67" s="3">
        <f t="shared" si="72"/>
        <v>3808</v>
      </c>
      <c r="F67" s="3">
        <f t="shared" si="72"/>
        <v>4249</v>
      </c>
      <c r="G67" s="3">
        <f t="shared" si="72"/>
        <v>4466</v>
      </c>
      <c r="H67" s="3">
        <f t="shared" si="72"/>
        <v>8348</v>
      </c>
      <c r="I67" s="3">
        <f t="shared" si="72"/>
        <v>9889</v>
      </c>
      <c r="J67" s="3">
        <f t="shared" si="72"/>
        <v>8574</v>
      </c>
      <c r="K67" s="3">
        <f t="shared" si="72"/>
        <v>9301.4247602775849</v>
      </c>
      <c r="L67" s="3">
        <f t="shared" si="72"/>
        <v>11696.17517639508</v>
      </c>
      <c r="M67" s="3">
        <f t="shared" si="72"/>
        <v>11612.140924148862</v>
      </c>
      <c r="N67" s="3">
        <f t="shared" si="72"/>
        <v>16090.679183965418</v>
      </c>
    </row>
    <row r="68" spans="1:14" ht="15" thickBot="1" x14ac:dyDescent="0.35">
      <c r="A68" s="6" t="s">
        <v>191</v>
      </c>
      <c r="B68" s="7">
        <f>SUM(B66:B67)</f>
        <v>3852</v>
      </c>
      <c r="C68" s="7">
        <f t="shared" ref="C68:N68" si="73">SUM(C66:C67)</f>
        <v>3138</v>
      </c>
      <c r="D68" s="7">
        <f t="shared" si="73"/>
        <v>3808</v>
      </c>
      <c r="E68" s="7">
        <f t="shared" si="73"/>
        <v>4249</v>
      </c>
      <c r="F68" s="7">
        <f t="shared" si="73"/>
        <v>4466</v>
      </c>
      <c r="G68" s="7">
        <f t="shared" si="73"/>
        <v>8348</v>
      </c>
      <c r="H68" s="7">
        <f t="shared" si="73"/>
        <v>9889</v>
      </c>
      <c r="I68" s="7">
        <f t="shared" si="73"/>
        <v>8574</v>
      </c>
      <c r="J68" s="7">
        <f t="shared" si="73"/>
        <v>9301.4247602775849</v>
      </c>
      <c r="K68" s="7">
        <f t="shared" si="73"/>
        <v>11696.17517639508</v>
      </c>
      <c r="L68" s="7">
        <f t="shared" si="73"/>
        <v>11612.140924148862</v>
      </c>
      <c r="M68" s="7">
        <f t="shared" si="73"/>
        <v>16090.679183965418</v>
      </c>
      <c r="N68" s="7">
        <f t="shared" si="73"/>
        <v>15178.930495926379</v>
      </c>
    </row>
    <row r="69" spans="1:14" ht="15" thickTop="1" x14ac:dyDescent="0.3">
      <c r="A69" s="83" t="s">
        <v>171</v>
      </c>
      <c r="B69" s="13">
        <f>B68-B21</f>
        <v>0</v>
      </c>
      <c r="C69" s="13">
        <f t="shared" ref="C69:N69" si="74">C68-C21</f>
        <v>0</v>
      </c>
      <c r="D69" s="13">
        <f t="shared" si="74"/>
        <v>0</v>
      </c>
      <c r="E69" s="13">
        <f t="shared" si="74"/>
        <v>0</v>
      </c>
      <c r="F69" s="13">
        <f t="shared" si="74"/>
        <v>0</v>
      </c>
      <c r="G69" s="13">
        <f t="shared" si="74"/>
        <v>0</v>
      </c>
      <c r="H69" s="13">
        <f t="shared" si="74"/>
        <v>0</v>
      </c>
      <c r="I69" s="13">
        <f t="shared" si="74"/>
        <v>0</v>
      </c>
      <c r="J69" s="13">
        <f t="shared" si="74"/>
        <v>0</v>
      </c>
      <c r="K69" s="13">
        <f t="shared" si="74"/>
        <v>0</v>
      </c>
      <c r="L69" s="13">
        <f t="shared" si="74"/>
        <v>0</v>
      </c>
      <c r="M69" s="13">
        <f t="shared" si="74"/>
        <v>0</v>
      </c>
      <c r="N69" s="13">
        <f t="shared" si="74"/>
        <v>0</v>
      </c>
    </row>
    <row r="70" spans="1:14" x14ac:dyDescent="0.3">
      <c r="A70" s="1" t="s">
        <v>192</v>
      </c>
      <c r="B70" s="81">
        <f>B33+B34+B36-(B21+B22)</f>
        <v>-4664</v>
      </c>
      <c r="C70" s="81">
        <f t="shared" ref="C70:N70" si="75">C33+C34+C36-(C21+C22)</f>
        <v>-3419</v>
      </c>
      <c r="D70" s="81">
        <f t="shared" si="75"/>
        <v>-2377</v>
      </c>
      <c r="E70" s="81">
        <f t="shared" si="75"/>
        <v>-1435</v>
      </c>
      <c r="F70" s="81">
        <f t="shared" si="75"/>
        <v>-1184</v>
      </c>
      <c r="G70" s="81">
        <f t="shared" si="75"/>
        <v>870</v>
      </c>
      <c r="H70" s="81">
        <f t="shared" si="75"/>
        <v>-4061</v>
      </c>
      <c r="I70" s="81">
        <f t="shared" si="75"/>
        <v>-3567</v>
      </c>
      <c r="J70" s="81">
        <f t="shared" si="75"/>
        <v>-5304.4247602775849</v>
      </c>
      <c r="K70" s="81">
        <f t="shared" si="75"/>
        <v>-6699.1751763950797</v>
      </c>
      <c r="L70" s="81">
        <f t="shared" si="75"/>
        <v>-8615.1409241488618</v>
      </c>
      <c r="M70" s="81">
        <f t="shared" si="75"/>
        <v>-11093.679183965418</v>
      </c>
      <c r="N70" s="81">
        <f t="shared" si="75"/>
        <v>-14181.930495926379</v>
      </c>
    </row>
    <row r="73" spans="1:14" x14ac:dyDescent="0.3">
      <c r="A73" t="s">
        <v>208</v>
      </c>
      <c r="B73" s="86">
        <v>112.69333115384613</v>
      </c>
    </row>
  </sheetData>
  <pageMargins left="0.7" right="0.7" top="0.75" bottom="0.75" header="0.3" footer="0.3"/>
  <ignoredErrors>
    <ignoredError sqref="K23:N23 J26:N26 K36:N36 J41:N4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2C656-1093-4D9B-A838-EABEE8F07833}">
  <dimension ref="A1:U31"/>
  <sheetViews>
    <sheetView tabSelected="1" workbookViewId="0">
      <pane ySplit="1" topLeftCell="A5" activePane="bottomLeft" state="frozen"/>
      <selection pane="bottomLeft"/>
    </sheetView>
  </sheetViews>
  <sheetFormatPr defaultRowHeight="14.4" x14ac:dyDescent="0.3"/>
  <cols>
    <col min="1" max="1" width="42.6640625" customWidth="1"/>
    <col min="2" max="8" width="10.5546875" customWidth="1"/>
    <col min="9" max="9" width="12.109375" customWidth="1"/>
    <col min="10" max="10" width="11.5546875" bestFit="1" customWidth="1"/>
    <col min="11" max="14" width="10.5546875" bestFit="1" customWidth="1"/>
    <col min="15" max="15" width="10.44140625" bestFit="1" customWidth="1"/>
    <col min="16" max="16" width="8.88671875" customWidth="1"/>
    <col min="17" max="20" width="10.33203125" bestFit="1" customWidth="1"/>
    <col min="21" max="21" width="42.6640625" customWidth="1"/>
  </cols>
  <sheetData>
    <row r="1" spans="1:21" ht="60" customHeight="1" x14ac:dyDescent="0.3">
      <c r="A1" s="105" t="s">
        <v>246</v>
      </c>
      <c r="B1" s="16">
        <v>2015</v>
      </c>
      <c r="C1" s="16">
        <f>+B1+1</f>
        <v>2016</v>
      </c>
      <c r="D1" s="16">
        <f>+C1+1</f>
        <v>2017</v>
      </c>
      <c r="E1" s="16">
        <f>+D1+1</f>
        <v>2018</v>
      </c>
      <c r="F1" s="16">
        <f>+E1+1</f>
        <v>2019</v>
      </c>
      <c r="G1" s="16">
        <f>+F1+1</f>
        <v>2020</v>
      </c>
      <c r="H1" s="16">
        <f>+G1+1</f>
        <v>2021</v>
      </c>
      <c r="I1" s="16">
        <f>+H1+1</f>
        <v>2022</v>
      </c>
      <c r="J1" s="103">
        <f>+I1+1</f>
        <v>2023</v>
      </c>
      <c r="K1" s="103">
        <f>+J1+1</f>
        <v>2024</v>
      </c>
      <c r="L1" s="103">
        <f>+K1+1</f>
        <v>2025</v>
      </c>
      <c r="M1" s="103">
        <f>+L1+1</f>
        <v>2026</v>
      </c>
      <c r="N1" s="103">
        <f>+M1+1</f>
        <v>2027</v>
      </c>
      <c r="O1" s="103">
        <f>+N1+1</f>
        <v>2028</v>
      </c>
      <c r="P1" s="103">
        <f>+O1+1</f>
        <v>2029</v>
      </c>
      <c r="Q1" s="103">
        <f>+P1+1</f>
        <v>2030</v>
      </c>
      <c r="R1" s="103">
        <f>+Q1+1</f>
        <v>2031</v>
      </c>
      <c r="S1" s="103">
        <f>+R1+1</f>
        <v>2032</v>
      </c>
      <c r="T1" s="102" t="s">
        <v>244</v>
      </c>
      <c r="U1" s="104" t="s">
        <v>245</v>
      </c>
    </row>
    <row r="2" spans="1:21" x14ac:dyDescent="0.3">
      <c r="A2" s="14" t="s">
        <v>243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01"/>
      <c r="P2" s="101"/>
      <c r="Q2" s="101"/>
      <c r="R2" s="101"/>
      <c r="S2" s="101"/>
      <c r="T2" s="101"/>
      <c r="U2" s="14"/>
    </row>
    <row r="3" spans="1:21" x14ac:dyDescent="0.3">
      <c r="A3" t="s">
        <v>242</v>
      </c>
      <c r="B3" s="106">
        <v>45.877083499999998</v>
      </c>
      <c r="C3" s="106">
        <v>60.197083083333332</v>
      </c>
      <c r="D3" s="106">
        <v>53.855000666666662</v>
      </c>
      <c r="E3" s="106">
        <v>61.879166750000003</v>
      </c>
      <c r="F3" s="106">
        <v>80.383333750000006</v>
      </c>
      <c r="G3" s="106">
        <v>90.577499416666669</v>
      </c>
      <c r="H3" s="106">
        <v>124.97333333333334</v>
      </c>
      <c r="I3" s="106">
        <v>149.82499999999999</v>
      </c>
      <c r="J3" s="100">
        <f>_xlfn.FORECAST.LINEAR(J1,B3:I3,B1:I1)</f>
        <v>146.67031238392883</v>
      </c>
      <c r="K3" s="100">
        <f t="shared" ref="K3:N3" si="0">_xlfn.FORECAST.LINEAR(K1,C3:J3,C1:J1)</f>
        <v>164.8650519151779</v>
      </c>
      <c r="L3" s="100">
        <f t="shared" si="0"/>
        <v>186.47217225425265</v>
      </c>
      <c r="M3" s="100">
        <f t="shared" si="0"/>
        <v>205.40339809635771</v>
      </c>
      <c r="N3" s="100">
        <f t="shared" si="0"/>
        <v>222.4570277906023</v>
      </c>
      <c r="O3" s="100">
        <f t="shared" ref="O3" si="1">_xlfn.FORECAST.LINEAR(O1,G3:N3,G1:N1)</f>
        <v>239.26850718772039</v>
      </c>
      <c r="P3" s="100">
        <f t="shared" ref="P3" si="2">_xlfn.FORECAST.LINEAR(P1,H3:O3,H1:O1)</f>
        <v>252.90431823142717</v>
      </c>
      <c r="Q3" s="100">
        <f t="shared" ref="Q3" si="3">_xlfn.FORECAST.LINEAR(Q1,I3:P3,I1:P1)</f>
        <v>269.71108179175644</v>
      </c>
      <c r="R3" s="100">
        <f t="shared" ref="R3" si="4">_xlfn.FORECAST.LINEAR(R1,J3:Q3,J1:Q1)</f>
        <v>290.08993113126053</v>
      </c>
      <c r="S3" s="100">
        <f t="shared" ref="S3" si="5">_xlfn.FORECAST.LINEAR(S1,K3:R3,K1:R1)</f>
        <v>306.68659365709027</v>
      </c>
      <c r="T3" s="100">
        <f>_xlfn.FORECAST.LINEAR(2033,L3:S3,L1:S1)</f>
        <v>322.71332098406856</v>
      </c>
    </row>
    <row r="4" spans="1:21" x14ac:dyDescent="0.3">
      <c r="A4" t="s">
        <v>241</v>
      </c>
      <c r="B4" s="3">
        <f>(B3*'Three Statements'!B15)+('Three Statements'!B33+'Three Statements'!B36)-'Three Statements'!B21</f>
        <v>78481.385294799999</v>
      </c>
      <c r="C4" s="3">
        <f>(C3*'Three Statements'!C15)+('Three Statements'!C33+'Three Statements'!C36)-'Three Statements'!C21</f>
        <v>103792.41727270834</v>
      </c>
      <c r="D4" s="3">
        <f>(D3*'Three Statements'!D15)+('Three Statements'!D33+'Three Statements'!D36)-'Three Statements'!D21</f>
        <v>90791.661127999992</v>
      </c>
      <c r="E4" s="3">
        <f>(E3*'Three Statements'!E15)+('Three Statements'!E33+'Three Statements'!E36)-'Three Statements'!E21</f>
        <v>101888.725554925</v>
      </c>
      <c r="F4" s="3">
        <f>(F3*'Three Statements'!F15)+('Three Statements'!F33+'Three Statements'!F36)-'Three Statements'!F21</f>
        <v>129096.38734100002</v>
      </c>
      <c r="G4" s="3">
        <f>(G3*'Three Statements'!G15)+('Three Statements'!G33+'Three Statements'!G36)-'Three Statements'!G21</f>
        <v>145224.14807156665</v>
      </c>
      <c r="H4" s="3">
        <f>(H3*'Three Statements'!H15)+('Three Statements'!H33+'Three Statements'!H36)-'Three Statements'!H21</f>
        <v>200656.08266666668</v>
      </c>
      <c r="I4" s="3">
        <f>(I3*'Three Statements'!I15)+('Three Statements'!I33+'Three Statements'!I36)-'Three Statements'!I21</f>
        <v>242184.11</v>
      </c>
      <c r="J4" s="3">
        <f>(J3*'Three Statements'!J15)+('Three Statements'!J33+'Three Statements'!J36)-'Three Statements'!J21</f>
        <v>239101.30745138586</v>
      </c>
      <c r="K4" s="3">
        <f>(K3*'Three Statements'!K15)+('Three Statements'!K33+'Three Statements'!K36)-'Three Statements'!K21</f>
        <v>271874.74131015956</v>
      </c>
      <c r="L4" s="3">
        <f>(L3*'Three Statements'!L15)+('Three Statements'!L33+'Three Statements'!L36)-'Three Statements'!L21</f>
        <v>311111.7881153358</v>
      </c>
      <c r="M4" s="3">
        <f>(M3*'Three Statements'!M15)+('Three Statements'!M33+'Three Statements'!M36)-'Three Statements'!M21</f>
        <v>346684.72844272992</v>
      </c>
      <c r="N4" s="3">
        <f>(N3*'Three Statements'!N15)+('Three Statements'!N33+'Three Statements'!N36)-'Three Statements'!N21</f>
        <v>379803.35250966472</v>
      </c>
      <c r="O4" s="81">
        <f>_xlfn.FORECAST.LINEAR(O1,B4:N4,B1:N1)</f>
        <v>385076.28410851955</v>
      </c>
      <c r="P4" s="81">
        <f t="shared" ref="P4:T4" si="6">_xlfn.FORECAST.LINEAR(P1,C4:O4,C1:O1)</f>
        <v>417088.83657710254</v>
      </c>
      <c r="Q4" s="81">
        <f t="shared" si="6"/>
        <v>452026.79984663427</v>
      </c>
      <c r="R4" s="81">
        <f t="shared" si="6"/>
        <v>483164.8979672417</v>
      </c>
      <c r="S4" s="81">
        <f t="shared" si="6"/>
        <v>512124.3410255909</v>
      </c>
      <c r="T4" s="81">
        <f>_xlfn.FORECAST.LINEAR(2033,G4:S4,G1:S1)</f>
        <v>540562.15642949939</v>
      </c>
    </row>
    <row r="5" spans="1:21" x14ac:dyDescent="0.3">
      <c r="A5" t="s">
        <v>240</v>
      </c>
      <c r="B5" s="78">
        <f>B3/'Three Statements'!B16</f>
        <v>24.792968314940421</v>
      </c>
      <c r="C5" s="78">
        <f>C3/'Three Statements'!C16</f>
        <v>27.897185444869237</v>
      </c>
      <c r="D5" s="78">
        <f>D3/'Three Statements'!D16</f>
        <v>21.491193662264148</v>
      </c>
      <c r="E5" s="78">
        <f>E3/'Three Statements'!E16</f>
        <v>53.111084094632695</v>
      </c>
      <c r="F5" s="78">
        <f>F3/'Three Statements'!F16</f>
        <v>32.289001573839663</v>
      </c>
      <c r="G5" s="78">
        <f>G3/'Three Statements'!G16</f>
        <v>56.779499043547325</v>
      </c>
      <c r="H5" s="78">
        <f>H3/'Three Statements'!H16</f>
        <v>35.119972527792335</v>
      </c>
      <c r="I5" s="78">
        <f>I3/'Three Statements'!I16</f>
        <v>39.916988091300027</v>
      </c>
      <c r="J5" s="78">
        <f>J3/'Three Statements'!J16</f>
        <v>35.813199341996167</v>
      </c>
      <c r="K5" s="78">
        <f>K3/'Three Statements'!K16</f>
        <v>35.776648290679525</v>
      </c>
      <c r="L5" s="78">
        <f>L3/'Three Statements'!L16</f>
        <v>36.003378014846618</v>
      </c>
      <c r="M5" s="78">
        <f>M3/'Three Statements'!M16</f>
        <v>35.559014975840498</v>
      </c>
      <c r="N5" s="78">
        <f>N3/'Three Statements'!N16</f>
        <v>34.745147072896707</v>
      </c>
      <c r="O5" s="100">
        <f>_xlfn.FORECAST.LINEAR(O1,B5:N5,B1:N1)</f>
        <v>39.724772910923775</v>
      </c>
      <c r="P5" s="100">
        <f t="shared" ref="P5:S5" si="7">_xlfn.FORECAST.LINEAR(P1,C5:O5,C1:O1)</f>
        <v>38.665840003718017</v>
      </c>
      <c r="Q5" s="100">
        <f t="shared" si="7"/>
        <v>37.303746242512688</v>
      </c>
      <c r="R5" s="100">
        <f t="shared" si="7"/>
        <v>33.87644619048001</v>
      </c>
      <c r="S5" s="100">
        <f t="shared" si="7"/>
        <v>34.867165337113533</v>
      </c>
      <c r="T5" s="100">
        <f>_xlfn.FORECAST.LINEAR(2033,G5:S5,G1:S1)</f>
        <v>32.898268271180086</v>
      </c>
    </row>
    <row r="6" spans="1:21" x14ac:dyDescent="0.3">
      <c r="A6" t="s">
        <v>239</v>
      </c>
      <c r="B6" s="78">
        <f>(B3*'Three Statements'!B15)/('Three Statements'!B40+'Three Statements'!B41+'Three Statements'!B42)</f>
        <v>6.3860380337451801</v>
      </c>
      <c r="C6" s="78">
        <f>(C3*'Three Statements'!C15)/('Three Statements'!C40+'Three Statements'!C41+'Three Statements'!C42)</f>
        <v>8.5571396045609678</v>
      </c>
      <c r="D6" s="78">
        <f>(D3*'Three Statements'!D15)/('Three Statements'!D40+'Three Statements'!D41+'Three Statements'!D42)</f>
        <v>7.3444556402031109</v>
      </c>
      <c r="E6" s="78">
        <f>(E3*'Three Statements'!E15)/('Three Statements'!E40+'Three Statements'!E41+'Three Statements'!E42)</f>
        <v>10.463078429976049</v>
      </c>
      <c r="F6" s="78">
        <f>(F3*'Three Statements'!F15)/('Three Statements'!F40+'Three Statements'!F41+'Three Statements'!F42)</f>
        <v>14.390750812057524</v>
      </c>
      <c r="G6" s="78">
        <f>(G3*'Three Statements'!G15)/('Three Statements'!G40+'Three Statements'!G41+'Three Statements'!G42)</f>
        <v>17.897349232969169</v>
      </c>
      <c r="H6" s="78">
        <f>(H3*'Three Statements'!H15)/('Three Statements'!H40+'Three Statements'!H41+'Three Statements'!H42)</f>
        <v>15.754059893997548</v>
      </c>
      <c r="I6" s="78">
        <f>(I3*'Three Statements'!I15)/('Three Statements'!I40+'Three Statements'!I41+'Three Statements'!I42)</f>
        <v>15.793345330802957</v>
      </c>
      <c r="J6" s="78">
        <f>(J3*'Three Statements'!J15)/('Three Statements'!J40+'Three Statements'!J41+'Three Statements'!J42)</f>
        <v>14.084129368405698</v>
      </c>
      <c r="K6" s="78">
        <f>(K3*'Three Statements'!K15)/('Three Statements'!K40+'Three Statements'!K41+'Three Statements'!K42)</f>
        <v>14.181890122742086</v>
      </c>
      <c r="L6" s="78">
        <f>(L3*'Three Statements'!L15)/('Three Statements'!L40+'Three Statements'!L41+'Three Statements'!L42)</f>
        <v>14.175139667452079</v>
      </c>
      <c r="M6" s="78">
        <f>(M3*'Three Statements'!M15)/('Three Statements'!M40+'Three Statements'!M41+'Three Statements'!M42)</f>
        <v>13.680692403345308</v>
      </c>
      <c r="N6" s="78">
        <f>(N3*'Three Statements'!N15)/('Three Statements'!N40+'Three Statements'!N41+'Three Statements'!N42)</f>
        <v>12.922306375098971</v>
      </c>
      <c r="O6" s="100">
        <f>_xlfn.FORECAST.LINEAR(O1,B6:N6,B1:N1)</f>
        <v>16.609924933483853</v>
      </c>
      <c r="P6" s="100">
        <f t="shared" ref="P6:S6" si="8">_xlfn.FORECAST.LINEAR(P1,C6:O6,C1:O1)</f>
        <v>16.578356268916195</v>
      </c>
      <c r="Q6" s="100">
        <f t="shared" si="8"/>
        <v>16.561367282725541</v>
      </c>
      <c r="R6" s="100">
        <f t="shared" si="8"/>
        <v>15.997434128239661</v>
      </c>
      <c r="S6" s="100">
        <f t="shared" si="8"/>
        <v>15.505221630309805</v>
      </c>
      <c r="T6" s="100">
        <f>_xlfn.FORECAST.LINEAR(2033,G6:S6,G1:S1)</f>
        <v>15.404020910407093</v>
      </c>
    </row>
    <row r="7" spans="1:21" x14ac:dyDescent="0.3">
      <c r="A7" t="s">
        <v>238</v>
      </c>
      <c r="B7" s="78">
        <f>B4/'Three Statements'!B5</f>
        <v>16.218513183467657</v>
      </c>
      <c r="C7" s="78">
        <f>C4/'Three Statements'!C5</f>
        <v>19.616786481328358</v>
      </c>
      <c r="D7" s="78">
        <f>D4/'Three Statements'!D5</f>
        <v>16.066476929393026</v>
      </c>
      <c r="E7" s="78">
        <f>E4/'Three Statements'!E5</f>
        <v>19.876848528077449</v>
      </c>
      <c r="F7" s="78">
        <f>F4/'Three Statements'!F5</f>
        <v>23.23967368874888</v>
      </c>
      <c r="G7" s="78">
        <f>G4/'Three Statements'!G5</f>
        <v>39.281619710999905</v>
      </c>
      <c r="H7" s="78">
        <f>H4/'Three Statements'!H5</f>
        <v>26.171394635015872</v>
      </c>
      <c r="I7" s="78">
        <f>I4/'Three Statements'!I5</f>
        <v>31.979943219331837</v>
      </c>
      <c r="J7" s="78">
        <f>J4/'Three Statements'!J5</f>
        <v>27.36959415198011</v>
      </c>
      <c r="K7" s="78">
        <f>K4/'Three Statements'!K5</f>
        <v>27.146115905726766</v>
      </c>
      <c r="L7" s="78">
        <f>L4/'Three Statements'!L5</f>
        <v>27.234763919871671</v>
      </c>
      <c r="M7" s="78">
        <f>M4/'Three Statements'!M5</f>
        <v>26.72046520987552</v>
      </c>
      <c r="N7" s="78">
        <f>N4/'Three Statements'!N5</f>
        <v>25.864022976625783</v>
      </c>
      <c r="O7" s="100">
        <f>_xlfn.FORECAST.LINEAR(O1,B7:N7,B1:N1)</f>
        <v>31.323192462008592</v>
      </c>
      <c r="P7" s="100">
        <f t="shared" ref="P7:S7" si="9">_xlfn.FORECAST.LINEAR(P1,C7:O7,C1:O1)</f>
        <v>31.511341964815074</v>
      </c>
      <c r="Q7" s="100">
        <f t="shared" si="9"/>
        <v>31.829948515052592</v>
      </c>
      <c r="R7" s="100">
        <f t="shared" si="9"/>
        <v>31.106353109857082</v>
      </c>
      <c r="S7" s="100">
        <f t="shared" si="9"/>
        <v>30.286589364899953</v>
      </c>
      <c r="T7" s="100">
        <f>_xlfn.FORECAST.LINEAR(2033,G7:S7,G1:S1)</f>
        <v>29.429383745401282</v>
      </c>
    </row>
    <row r="8" spans="1:21" x14ac:dyDescent="0.3">
      <c r="A8" t="s">
        <v>237</v>
      </c>
      <c r="B8" s="78">
        <f>B4/'Three Statements'!B53</f>
        <v>26.9973805623667</v>
      </c>
      <c r="C8" s="78">
        <f>C4/'Three Statements'!C53</f>
        <v>33.742658411153556</v>
      </c>
      <c r="D8" s="78">
        <f>D4/'Three Statements'!D53</f>
        <v>29.797066336724644</v>
      </c>
      <c r="E8" s="78">
        <f>E4/'Three Statements'!E53</f>
        <v>27.004698000245163</v>
      </c>
      <c r="F8" s="78">
        <f>F4/'Three Statements'!F53</f>
        <v>44.871876030935013</v>
      </c>
      <c r="G8" s="78">
        <f>G4/'Three Statements'!G53</f>
        <v>145.66113146596456</v>
      </c>
      <c r="H8" s="78">
        <f>H4/'Three Statements'!H53</f>
        <v>38.721745014794806</v>
      </c>
      <c r="I8" s="78">
        <f>I4/'Three Statements'!I53</f>
        <v>55.854268911439114</v>
      </c>
      <c r="J8" s="78">
        <f>J4/'Three Statements'!J53</f>
        <v>34.326453512523429</v>
      </c>
      <c r="K8" s="78">
        <f>K4/'Three Statements'!K53</f>
        <v>37.812245744047956</v>
      </c>
      <c r="L8" s="78">
        <f>L4/'Three Statements'!L53</f>
        <v>37.496302156946847</v>
      </c>
      <c r="M8" s="78">
        <f>M4/'Three Statements'!M53</f>
        <v>36.418064275875707</v>
      </c>
      <c r="N8" s="78">
        <f>N4/'Three Statements'!N53</f>
        <v>34.940494047059332</v>
      </c>
      <c r="O8" s="100">
        <f>_xlfn.FORECAST.LINEAR(O1,B8:N8,B1:N1)</f>
        <v>45.409475311264202</v>
      </c>
      <c r="P8" s="100">
        <f t="shared" ref="P8:S8" si="10">_xlfn.FORECAST.LINEAR(P1,C8:O8,C1:O1)</f>
        <v>42.125564574028431</v>
      </c>
      <c r="Q8" s="100">
        <f t="shared" si="10"/>
        <v>38.420231090529342</v>
      </c>
      <c r="R8" s="100">
        <f t="shared" si="10"/>
        <v>32.493607822298145</v>
      </c>
      <c r="S8" s="100">
        <f t="shared" si="10"/>
        <v>23.874754070142444</v>
      </c>
      <c r="T8" s="100">
        <f>_xlfn.FORECAST.LINEAR(2033,G8:S8,G1:S1)</f>
        <v>15.828829176225554</v>
      </c>
    </row>
    <row r="9" spans="1:21" x14ac:dyDescent="0.3">
      <c r="A9" t="s">
        <v>236</v>
      </c>
      <c r="B9" s="99">
        <f>'Three Statements'!B36/'Three Statements'!B15</f>
        <v>0.61001809136137497</v>
      </c>
      <c r="C9" s="99">
        <f>'Three Statements'!C36/'Three Statements'!C15</f>
        <v>1.1437589670014348</v>
      </c>
      <c r="D9" s="99">
        <f>'Three Statements'!D36/'Three Statements'!D15</f>
        <v>2.0514184397163122</v>
      </c>
      <c r="E9" s="99">
        <f>'Three Statements'!E36/'Three Statements'!E15</f>
        <v>2.0902899162196373</v>
      </c>
      <c r="F9" s="99">
        <f>'Three Statements'!F36/'Three Statements'!F15</f>
        <v>2.1403855659911022</v>
      </c>
      <c r="G9" s="99">
        <f>'Three Statements'!G36/'Three Statements'!G15</f>
        <v>5.909776325709978</v>
      </c>
      <c r="H9" s="99">
        <f>'Three Statements'!H36/'Three Statements'!H15</f>
        <v>5.8487635143531751</v>
      </c>
      <c r="I9" s="99">
        <f>'Three Statements'!I36/'Three Statements'!I15</f>
        <v>5.5376210578594485</v>
      </c>
      <c r="J9" s="99">
        <f>'Three Statements'!J36/'Three Statements'!J15</f>
        <v>5.146053713495724</v>
      </c>
      <c r="K9" s="99">
        <f>'Three Statements'!K36/'Three Statements'!K15</f>
        <v>5.0635020846041137</v>
      </c>
      <c r="L9" s="99">
        <f>'Three Statements'!L36/'Three Statements'!L15</f>
        <v>4.3882216195069592</v>
      </c>
      <c r="M9" s="99">
        <f>'Three Statements'!M36/'Three Statements'!M15</f>
        <v>4.3132018952575715</v>
      </c>
      <c r="N9" s="112">
        <f>'Three Statements'!N36/'Three Statements'!N15</f>
        <v>3.0950560237058671</v>
      </c>
      <c r="O9" s="113">
        <f>_xlfn.FORECAST.LINEAR(O1,B9:N9,B1:N1)</f>
        <v>5.7438310352456483</v>
      </c>
      <c r="P9" s="113">
        <f t="shared" ref="P9:S9" si="11">_xlfn.FORECAST.LINEAR(P1,C9:O9,C1:O1)</f>
        <v>5.8077799400145409</v>
      </c>
      <c r="Q9" s="113">
        <f t="shared" si="11"/>
        <v>5.7965935629551382</v>
      </c>
      <c r="R9" s="113">
        <f t="shared" si="11"/>
        <v>5.7771297002836945</v>
      </c>
      <c r="S9" s="113">
        <f t="shared" si="11"/>
        <v>5.6151070436855832</v>
      </c>
      <c r="T9" s="113">
        <f>_xlfn.FORECAST.LINEAR(2033,G9:S9,G1:S1)</f>
        <v>5.2710635106262425</v>
      </c>
    </row>
    <row r="10" spans="1:21" x14ac:dyDescent="0.3">
      <c r="A10" t="s">
        <v>235</v>
      </c>
      <c r="B10" s="99">
        <f>'Three Statements'!B36/('Three Statements'!B36+'Three Statements'!B43)</f>
        <v>5.2518861036748597E-2</v>
      </c>
      <c r="C10" s="99">
        <f>'Three Statements'!C36/('Three Statements'!C36+'Three Statements'!C43)</f>
        <v>9.4093763278409889E-2</v>
      </c>
      <c r="D10" s="99">
        <f>'Three Statements'!D36/('Three Statements'!D36+'Three Statements'!D43)</f>
        <v>0.14062879831456121</v>
      </c>
      <c r="E10" s="99">
        <f>'Three Statements'!E36/('Three Statements'!E36+'Three Statements'!E43)</f>
        <v>0.14617492096944151</v>
      </c>
      <c r="F10" s="99">
        <f>'Three Statements'!F36/('Three Statements'!F36+'Three Statements'!F43)</f>
        <v>0.14099067931132728</v>
      </c>
      <c r="G10" s="99">
        <f>'Three Statements'!G36/('Three Statements'!G36+'Three Statements'!G43)</f>
        <v>0.24431168831168831</v>
      </c>
      <c r="H10" s="99">
        <f>'Three Statements'!H36/('Three Statements'!H36+'Three Statements'!H43)</f>
        <v>0.21240156147753683</v>
      </c>
      <c r="I10" s="99">
        <f>'Three Statements'!I36/('Three Statements'!I36+'Three Statements'!I43)</f>
        <v>0.19440751476581741</v>
      </c>
      <c r="J10" s="99">
        <f>'Three Statements'!J36/('Three Statements'!J36+'Three Statements'!J43)</f>
        <v>0.18252276900727557</v>
      </c>
      <c r="K10" s="99">
        <f>'Three Statements'!K36/('Three Statements'!K36+'Three Statements'!K43)</f>
        <v>0.17036582982420617</v>
      </c>
      <c r="L10" s="99">
        <f>'Three Statements'!L36/('Three Statements'!L36+'Three Statements'!L43)</f>
        <v>0.15039896998245941</v>
      </c>
      <c r="M10" s="99">
        <f>'Three Statements'!M36/('Three Statements'!M36+'Three Statements'!M43)</f>
        <v>0.13510372292282474</v>
      </c>
      <c r="N10" s="99">
        <f>'Three Statements'!N36/('Three Statements'!N36+'Three Statements'!N43)</f>
        <v>0.10180602770308902</v>
      </c>
      <c r="O10" s="113">
        <f>_xlfn.FORECAST.LINEAR(O1,B10:N10,B1:N1)</f>
        <v>0.17603986273510763</v>
      </c>
      <c r="P10" s="113">
        <f t="shared" ref="P10:S10" si="12">_xlfn.FORECAST.LINEAR(P1,C10:O10,C1:O1)</f>
        <v>0.16470094351046205</v>
      </c>
      <c r="Q10" s="113">
        <f t="shared" si="12"/>
        <v>0.15311749181323142</v>
      </c>
      <c r="R10" s="113">
        <f t="shared" si="12"/>
        <v>0.14420328555334194</v>
      </c>
      <c r="S10" s="113">
        <f t="shared" si="12"/>
        <v>0.13313247428178343</v>
      </c>
      <c r="T10" s="113">
        <f>_xlfn.FORECAST.LINEAR(2033,G10:S10,G1:S1)</f>
        <v>0.11773412212380308</v>
      </c>
    </row>
    <row r="11" spans="1:21" x14ac:dyDescent="0.3">
      <c r="A11" t="s">
        <v>234</v>
      </c>
      <c r="B11" s="99">
        <f>'Three Statements'!B14/('Three Statements'!B40+'Three Statements'!B41+'Three Statements'!B42)</f>
        <v>0.25757456520028332</v>
      </c>
      <c r="C11" s="99">
        <f>'Three Statements'!C14/('Three Statements'!C40+'Three Statements'!C41+'Three Statements'!C42)</f>
        <v>0.3067384565181922</v>
      </c>
      <c r="D11" s="99">
        <f>'Three Statements'!D14/('Three Statements'!D40+'Three Statements'!D41+'Three Statements'!D42)</f>
        <v>0.34174256468122832</v>
      </c>
      <c r="E11" s="99">
        <f>'Three Statements'!E14/('Three Statements'!E40+'Three Statements'!E41+'Three Statements'!E42)</f>
        <v>0.19700366897676314</v>
      </c>
      <c r="F11" s="99">
        <f>'Three Statements'!F14/('Three Statements'!F40+'Three Statements'!F41+'Three Statements'!F42)</f>
        <v>0.44568584070796458</v>
      </c>
      <c r="G11" s="99">
        <f>'Three Statements'!G14/('Three Statements'!G40+'Three Statements'!G41+'Three Statements'!G42)</f>
        <v>0.31520794537554314</v>
      </c>
      <c r="H11" s="99">
        <f>'Three Statements'!H14/('Three Statements'!H40+'Three Statements'!H41+'Three Statements'!H42)</f>
        <v>0.44857836610010182</v>
      </c>
      <c r="I11" s="99">
        <f>'Three Statements'!I14/('Three Statements'!I40+'Three Statements'!I41+'Three Statements'!I42)</f>
        <v>0.3956547346377855</v>
      </c>
      <c r="J11" s="99">
        <f>'Three Statements'!J14/('Three Statements'!J40+'Three Statements'!J41+'Three Statements'!J42)</f>
        <v>0.39326643883195367</v>
      </c>
      <c r="K11" s="99">
        <f>'Three Statements'!K14/('Three Statements'!K40+'Three Statements'!K41+'Three Statements'!K42)</f>
        <v>0.39640074742375253</v>
      </c>
      <c r="L11" s="99">
        <f>'Three Statements'!L14/('Three Statements'!L40+'Three Statements'!L41+'Three Statements'!L42)</f>
        <v>0.39371693571660726</v>
      </c>
      <c r="M11" s="99">
        <f>'Three Statements'!M14/('Three Statements'!M40+'Three Statements'!M41+'Three Statements'!M42)</f>
        <v>0.38473204088021684</v>
      </c>
      <c r="N11" s="99">
        <f>'Three Statements'!N14/('Three Statements'!N40+'Three Statements'!N41+'Three Statements'!N42)</f>
        <v>0.37191687080752484</v>
      </c>
      <c r="O11" s="113">
        <f>_xlfn.FORECAST.LINEAR(O1,B11:N11,B1:N1)</f>
        <v>0.4290060312370052</v>
      </c>
      <c r="P11" s="113">
        <f t="shared" ref="P11:S11" si="13">_xlfn.FORECAST.LINEAR(P1,C11:O11,C1:O1)</f>
        <v>0.43176379662313735</v>
      </c>
      <c r="Q11" s="113">
        <f t="shared" si="13"/>
        <v>0.4382311817647313</v>
      </c>
      <c r="R11" s="113">
        <f t="shared" si="13"/>
        <v>0.44861142390028519</v>
      </c>
      <c r="S11" s="113">
        <f t="shared" si="13"/>
        <v>0.43064008301578838</v>
      </c>
      <c r="T11" s="113">
        <f>_xlfn.FORECAST.LINEAR(2033,G11:S11,G1:S1)</f>
        <v>0.44528537200269369</v>
      </c>
    </row>
    <row r="15" spans="1:21" x14ac:dyDescent="0.3">
      <c r="A15" t="s">
        <v>233</v>
      </c>
      <c r="B15" s="3">
        <f>'Three Statements'!B53</f>
        <v>2907</v>
      </c>
      <c r="C15" s="3">
        <f>'Three Statements'!C53</f>
        <v>3076</v>
      </c>
      <c r="D15" s="3">
        <f>'Three Statements'!D53</f>
        <v>3047</v>
      </c>
      <c r="E15" s="3">
        <f>'Three Statements'!E53</f>
        <v>3773</v>
      </c>
      <c r="F15" s="3">
        <f>'Three Statements'!F53</f>
        <v>2877</v>
      </c>
      <c r="G15" s="3">
        <f>'Three Statements'!G53</f>
        <v>997</v>
      </c>
      <c r="H15" s="3">
        <f>'Three Statements'!H53</f>
        <v>5182</v>
      </c>
      <c r="I15" s="3">
        <f>'Three Statements'!I53</f>
        <v>4336</v>
      </c>
      <c r="J15" s="3">
        <f>'Three Statements'!J53</f>
        <v>6965.5115220147563</v>
      </c>
      <c r="K15" s="3">
        <f>'Three Statements'!K53</f>
        <v>7190.1241505327807</v>
      </c>
      <c r="L15" s="3">
        <f>'Three Statements'!L53</f>
        <v>8297.1325229119138</v>
      </c>
      <c r="M15" s="3">
        <f>'Three Statements'!M53</f>
        <v>9519.5814312509483</v>
      </c>
      <c r="N15" s="3">
        <f>'Three Statements'!N53</f>
        <v>10870.005215098834</v>
      </c>
      <c r="O15" s="81">
        <f>N15*(1+O16)</f>
        <v>12162.448835174086</v>
      </c>
      <c r="P15" s="81">
        <f t="shared" ref="P15:T15" si="14">O15*(1+P16)</f>
        <v>13608.564001676285</v>
      </c>
      <c r="Q15" s="81">
        <f t="shared" si="14"/>
        <v>15226.622261475595</v>
      </c>
      <c r="R15" s="81">
        <f t="shared" si="14"/>
        <v>17037.067648365042</v>
      </c>
      <c r="S15" s="81">
        <f t="shared" si="14"/>
        <v>19062.774991755647</v>
      </c>
      <c r="T15" s="81">
        <f t="shared" si="14"/>
        <v>21329.338938275392</v>
      </c>
      <c r="U15" t="s">
        <v>232</v>
      </c>
    </row>
    <row r="16" spans="1:21" s="95" customFormat="1" ht="12" x14ac:dyDescent="0.25">
      <c r="A16" s="97" t="s">
        <v>132</v>
      </c>
      <c r="B16" s="98"/>
      <c r="C16" s="96">
        <f>C15/B15-1</f>
        <v>5.8135534915720655E-2</v>
      </c>
      <c r="D16" s="96">
        <f t="shared" ref="D16:I16" si="15">D15/C15-1</f>
        <v>-9.42782834850453E-3</v>
      </c>
      <c r="E16" s="96">
        <f t="shared" si="15"/>
        <v>0.23826714801444049</v>
      </c>
      <c r="F16" s="96">
        <f t="shared" si="15"/>
        <v>-0.23747680890538037</v>
      </c>
      <c r="G16" s="96">
        <f t="shared" si="15"/>
        <v>-0.65345846367744176</v>
      </c>
      <c r="H16" s="96">
        <f t="shared" si="15"/>
        <v>4.1975927783350047</v>
      </c>
      <c r="I16" s="96">
        <f t="shared" si="15"/>
        <v>-0.1632574295638749</v>
      </c>
      <c r="J16" s="96">
        <f t="shared" ref="J16" si="16">J15/I15-1</f>
        <v>0.60643715913624452</v>
      </c>
      <c r="K16" s="96">
        <f t="shared" ref="K16" si="17">K15/J15-1</f>
        <v>3.224639393792228E-2</v>
      </c>
      <c r="L16" s="96">
        <f t="shared" ref="L16" si="18">L15/K15-1</f>
        <v>0.15396234462754088</v>
      </c>
      <c r="M16" s="96">
        <f t="shared" ref="M16" si="19">M15/L15-1</f>
        <v>0.14733390179840233</v>
      </c>
      <c r="N16" s="96">
        <f t="shared" ref="N16" si="20">N15/M15-1</f>
        <v>0.14185747489009382</v>
      </c>
      <c r="O16" s="107">
        <v>0.11890000000000001</v>
      </c>
      <c r="P16" s="107">
        <v>0.11890000000000001</v>
      </c>
      <c r="Q16" s="107">
        <v>0.11890000000000001</v>
      </c>
      <c r="R16" s="107">
        <v>0.11890000000000001</v>
      </c>
      <c r="S16" s="107">
        <v>0.11890000000000001</v>
      </c>
      <c r="T16" s="107">
        <v>0.11890000000000001</v>
      </c>
      <c r="U16" s="97"/>
    </row>
    <row r="17" spans="1:21" x14ac:dyDescent="0.3">
      <c r="A17" t="s">
        <v>231</v>
      </c>
      <c r="B17" s="47">
        <f>(B9*B19)+((B10*B22)*(1-'Three Statements'!B13))</f>
        <v>-6.3145373696046114E-2</v>
      </c>
      <c r="C17" s="47">
        <f>(C9*C19)+((C10*C22)*(1-'Three Statements'!C13))</f>
        <v>2.7944081013330756E-2</v>
      </c>
      <c r="D17" s="47">
        <f>(D9*D19)+((D10*D22)*(1-'Three Statements'!D13))</f>
        <v>0.25567884507660948</v>
      </c>
      <c r="E17" s="47">
        <f>(E9*E19)+((E10*E22)*(1-'Three Statements'!E13))</f>
        <v>-0.38802673601625515</v>
      </c>
      <c r="F17" s="47">
        <f>(F9*F19)+((F10*F22)*(1-'Three Statements'!F13))</f>
        <v>0.50549268497754252</v>
      </c>
      <c r="G17" s="47">
        <f>(G9*G19)+((G10*G22)*(1-'Three Statements'!G13))</f>
        <v>1.1881290938281899</v>
      </c>
      <c r="H17" s="47">
        <f>(H9*H19)+((H10*H22)*(1-'Three Statements'!H13))</f>
        <v>1.9839485431173047</v>
      </c>
      <c r="I17" s="47">
        <f>(I9*I19)+((I10*I22)*(1-'Three Statements'!I13))</f>
        <v>-0.57622827711542912</v>
      </c>
      <c r="J17" s="47">
        <f>(J9*J19)+((J10*J22)*(1-'Three Statements'!J13))</f>
        <v>0.34381801084195429</v>
      </c>
      <c r="K17" s="47">
        <f>(K9*K19)+((K10*K22)*(1-'Three Statements'!K13))</f>
        <v>0.44777052288015107</v>
      </c>
      <c r="L17" s="47">
        <f>(L9*L19)+((L10*L22)*(1-'Three Statements'!L13))</f>
        <v>0.42644334352915692</v>
      </c>
      <c r="M17" s="47">
        <f>(M9*M19)+((M10*M22)*(1-'Three Statements'!M13))</f>
        <v>0.40299710273583611</v>
      </c>
      <c r="N17" s="47">
        <f>(N9*N19)+((N10*N22)*(1-'Three Statements'!N13))</f>
        <v>0.40487937866725027</v>
      </c>
      <c r="O17" s="47">
        <f>(O9*O19)+((O10*O22)*(1-0.13))</f>
        <v>0.65216819816790006</v>
      </c>
      <c r="P17" s="47">
        <f t="shared" ref="P17:T17" si="21">(P9*P19)+((P10*P22)*(1-0.13))</f>
        <v>0.5951036054552381</v>
      </c>
      <c r="Q17" s="47">
        <f t="shared" si="21"/>
        <v>0.42223034202402487</v>
      </c>
      <c r="R17" s="47">
        <f t="shared" si="21"/>
        <v>0.54828171331572162</v>
      </c>
      <c r="S17" s="47">
        <f t="shared" si="21"/>
        <v>0.55265592579441758</v>
      </c>
      <c r="T17" s="47">
        <f t="shared" si="21"/>
        <v>0.52555077011545315</v>
      </c>
      <c r="U17" t="s">
        <v>230</v>
      </c>
    </row>
    <row r="18" spans="1:21" x14ac:dyDescent="0.3">
      <c r="A18" s="2" t="s">
        <v>229</v>
      </c>
      <c r="B18">
        <v>1.1200000000000001</v>
      </c>
      <c r="C18">
        <v>1.1200000000000001</v>
      </c>
      <c r="D18">
        <v>1.1200000000000001</v>
      </c>
      <c r="E18">
        <v>1.1200000000000001</v>
      </c>
      <c r="F18">
        <v>1.1200000000000001</v>
      </c>
      <c r="G18">
        <v>1.1200000000000001</v>
      </c>
      <c r="H18">
        <v>1.1200000000000001</v>
      </c>
      <c r="I18">
        <v>1.1200000000000001</v>
      </c>
      <c r="J18">
        <v>1.1200000000000001</v>
      </c>
      <c r="K18">
        <v>1.1200000000000001</v>
      </c>
      <c r="L18">
        <v>1.1200000000000001</v>
      </c>
      <c r="M18">
        <v>1.1200000000000001</v>
      </c>
      <c r="N18">
        <v>1.1200000000000001</v>
      </c>
      <c r="O18">
        <v>1.1200000000000001</v>
      </c>
      <c r="P18">
        <v>1.1200000000000001</v>
      </c>
      <c r="Q18">
        <v>1.1200000000000001</v>
      </c>
      <c r="R18">
        <v>1.1200000000000001</v>
      </c>
      <c r="S18">
        <v>1.1200000000000001</v>
      </c>
      <c r="T18">
        <v>1.1200000000000001</v>
      </c>
      <c r="U18" s="2" t="s">
        <v>228</v>
      </c>
    </row>
    <row r="19" spans="1:21" x14ac:dyDescent="0.3">
      <c r="A19" s="2" t="s">
        <v>227</v>
      </c>
      <c r="B19" s="93">
        <f>B20+B18*(B21-B20)</f>
        <v>-0.10500309163346611</v>
      </c>
      <c r="C19" s="93">
        <f t="shared" ref="C19:I19" si="22">C20+C18*(C21-C20)</f>
        <v>2.380799999999994E-2</v>
      </c>
      <c r="D19" s="93">
        <f t="shared" si="22"/>
        <v>0.12371199999999993</v>
      </c>
      <c r="E19" s="93">
        <f t="shared" si="22"/>
        <v>-0.18607595180722891</v>
      </c>
      <c r="F19" s="93">
        <f t="shared" si="22"/>
        <v>0.23539039999999994</v>
      </c>
      <c r="G19" s="93">
        <f t="shared" si="22"/>
        <v>0.20070960956175302</v>
      </c>
      <c r="H19" s="93">
        <f t="shared" si="22"/>
        <v>0.33833931474103585</v>
      </c>
      <c r="I19" s="93">
        <f t="shared" si="22"/>
        <v>-0.10475077397590371</v>
      </c>
      <c r="J19" s="93">
        <f t="shared" ref="J19" si="23">J20+J18*(J21-J20)</f>
        <v>6.5766188360773747E-2</v>
      </c>
      <c r="K19" s="93">
        <f t="shared" ref="K19" si="24">K20+K18*(K21-K20)</f>
        <v>8.7112348360053715E-2</v>
      </c>
      <c r="L19" s="93">
        <f t="shared" ref="L19" si="25">L20+L18*(L21-L20)</f>
        <v>9.5025391905060486E-2</v>
      </c>
      <c r="M19" s="93">
        <f t="shared" ref="M19" si="26">M20+M18*(M21-M20)</f>
        <v>9.143956589319302E-2</v>
      </c>
      <c r="N19" s="93">
        <f t="shared" ref="N19" si="27">N20+N18*(N21-N20)</f>
        <v>0.12612900560574575</v>
      </c>
      <c r="O19" s="93">
        <f t="shared" ref="O19" si="28">O20+O18*(O21-O20)</f>
        <v>0.11247133130646397</v>
      </c>
      <c r="P19" s="93">
        <f t="shared" ref="P19" si="29">P20+P18*(P21-P20)</f>
        <v>0.10144154652455289</v>
      </c>
      <c r="Q19" s="93">
        <f t="shared" ref="Q19" si="30">Q20+Q18*(Q21-Q20)</f>
        <v>7.1829325497492491E-2</v>
      </c>
      <c r="R19" s="93">
        <f t="shared" ref="R19" si="31">R20+R18*(R21-R20)</f>
        <v>9.3901837931667009E-2</v>
      </c>
      <c r="S19" s="93">
        <f t="shared" ref="S19" si="32">S20+S18*(S21-S20)</f>
        <v>9.7418794128028618E-2</v>
      </c>
      <c r="T19" s="93">
        <f t="shared" ref="T19" si="33">T20+T18*(T21-T20)</f>
        <v>9.8707099849025537E-2</v>
      </c>
      <c r="U19" s="2" t="s">
        <v>226</v>
      </c>
    </row>
    <row r="20" spans="1:21" x14ac:dyDescent="0.3">
      <c r="A20" s="2" t="s">
        <v>225</v>
      </c>
      <c r="B20" s="93">
        <v>0.80689243027888402</v>
      </c>
      <c r="C20" s="47">
        <v>0.69200000000000039</v>
      </c>
      <c r="D20" s="47">
        <v>0.78160000000000007</v>
      </c>
      <c r="E20" s="47">
        <v>0.96823293172690705</v>
      </c>
      <c r="F20" s="47">
        <v>0.73387999999999998</v>
      </c>
      <c r="G20" s="47">
        <v>-0.15498007968127495</v>
      </c>
      <c r="H20" s="47">
        <v>-0.30976095617529875</v>
      </c>
      <c r="I20" s="93">
        <v>0.85477911646586413</v>
      </c>
      <c r="J20" s="93">
        <f>AVERAGE(B20:I20)</f>
        <v>0.54658043032688519</v>
      </c>
      <c r="K20" s="93">
        <f t="shared" ref="K20:N20" si="34">AVERAGE(C20:J20)</f>
        <v>0.51404143033288541</v>
      </c>
      <c r="L20" s="93">
        <f t="shared" si="34"/>
        <v>0.49179660912449608</v>
      </c>
      <c r="M20" s="93">
        <f t="shared" si="34"/>
        <v>0.45557118526505802</v>
      </c>
      <c r="N20" s="93">
        <f t="shared" si="34"/>
        <v>0.39148846695732692</v>
      </c>
      <c r="O20" s="93">
        <f t="shared" ref="O20:O21" si="35">AVERAGE(G20:N20)</f>
        <v>0.34868952532699277</v>
      </c>
      <c r="P20" s="93">
        <f t="shared" ref="P20:P21" si="36">AVERAGE(H20:O20)</f>
        <v>0.41164822595302619</v>
      </c>
      <c r="Q20" s="93">
        <f t="shared" ref="Q20:Q21" si="37">AVERAGE(I20:P20)</f>
        <v>0.50182437371906685</v>
      </c>
      <c r="R20" s="93">
        <f t="shared" ref="R20:R21" si="38">AVERAGE(J20:Q20)</f>
        <v>0.45770503087571718</v>
      </c>
      <c r="S20" s="93">
        <f t="shared" ref="S20:S21" si="39">AVERAGE(K20:R20)</f>
        <v>0.44659560594432118</v>
      </c>
      <c r="T20" s="93">
        <f t="shared" ref="T20:T21" si="40">AVERAGE(L20:S20)</f>
        <v>0.4381648778957507</v>
      </c>
      <c r="U20" s="94" t="s">
        <v>224</v>
      </c>
    </row>
    <row r="21" spans="1:21" x14ac:dyDescent="0.3">
      <c r="A21" s="2" t="s">
        <v>223</v>
      </c>
      <c r="B21" s="93">
        <v>-7.3000000000000001E-3</v>
      </c>
      <c r="C21" s="47">
        <v>9.5399999999999999E-2</v>
      </c>
      <c r="D21" s="47">
        <v>0.19420000000000001</v>
      </c>
      <c r="E21" s="47">
        <v>-6.2399999999999997E-2</v>
      </c>
      <c r="F21" s="47">
        <v>0.2888</v>
      </c>
      <c r="G21" s="47">
        <v>0.16259999999999999</v>
      </c>
      <c r="H21" s="47">
        <v>0.26889999999999997</v>
      </c>
      <c r="I21" s="93">
        <v>-1.944E-3</v>
      </c>
      <c r="J21" s="93">
        <f>AVERAGE(B21:I21)</f>
        <v>0.117282</v>
      </c>
      <c r="K21" s="93">
        <f t="shared" ref="K21:N21" si="41">AVERAGE(C21:J21)</f>
        <v>0.13285475000000002</v>
      </c>
      <c r="L21" s="93">
        <f t="shared" si="41"/>
        <v>0.13753659375000002</v>
      </c>
      <c r="M21" s="93">
        <f t="shared" si="41"/>
        <v>0.13045366796874999</v>
      </c>
      <c r="N21" s="93">
        <f t="shared" si="41"/>
        <v>0.15456037646484375</v>
      </c>
      <c r="O21" s="93">
        <f t="shared" si="35"/>
        <v>0.13778042352294922</v>
      </c>
      <c r="P21" s="93">
        <f t="shared" si="36"/>
        <v>0.13467797646331789</v>
      </c>
      <c r="Q21" s="93">
        <f t="shared" si="37"/>
        <v>0.11790022352123261</v>
      </c>
      <c r="R21" s="93">
        <f t="shared" si="38"/>
        <v>0.1328807514613867</v>
      </c>
      <c r="S21" s="93">
        <f t="shared" si="39"/>
        <v>0.13483059539406003</v>
      </c>
      <c r="T21" s="93">
        <f t="shared" si="40"/>
        <v>0.13507757606831752</v>
      </c>
      <c r="U21" s="2" t="s">
        <v>222</v>
      </c>
    </row>
    <row r="22" spans="1:21" x14ac:dyDescent="0.3">
      <c r="A22" s="2" t="s">
        <v>221</v>
      </c>
      <c r="B22" s="93">
        <f>'Three Statements'!B10/('Three Statements'!B33+'Three Statements'!B34+'Three Statements'!B36)</f>
        <v>2.2222222222222223E-2</v>
      </c>
      <c r="C22" s="93">
        <f>'Three Statements'!C10/('Three Statements'!C33+'Three Statements'!C34+'Three Statements'!C36)</f>
        <v>9.3228655544651626E-3</v>
      </c>
      <c r="D22" s="93">
        <f>'Three Statements'!D10/('Three Statements'!D33+'Three Statements'!D34+'Three Statements'!D36)</f>
        <v>1.551814834297738E-2</v>
      </c>
      <c r="E22" s="93">
        <f>'Three Statements'!E10/('Three Statements'!E33+'Three Statements'!E34+'Three Statements'!E36)</f>
        <v>1.4173228346456693E-2</v>
      </c>
      <c r="F22" s="93">
        <f>'Three Statements'!F10/('Three Statements'!F33+'Three Statements'!F34+'Three Statements'!F36)</f>
        <v>1.4084507042253521E-2</v>
      </c>
      <c r="G22" s="93">
        <f>'Three Statements'!G10/('Three Statements'!G33+'Three Statements'!G34+'Three Statements'!G36)</f>
        <v>9.2161126643885271E-3</v>
      </c>
      <c r="H22" s="93">
        <f>'Three Statements'!H10/('Three Statements'!H33+'Three Statements'!H34+'Three Statements'!H36)</f>
        <v>2.7827934147636749E-2</v>
      </c>
      <c r="I22" s="93">
        <f>'Three Statements'!I10/('Three Statements'!I33+'Three Statements'!I34+'Three Statements'!I36)</f>
        <v>2.1739130434782608E-2</v>
      </c>
      <c r="J22" s="93">
        <f>'Three Statements'!J10/('Three Statements'!J33+'Three Statements'!J34+'Three Statements'!J36)</f>
        <v>3.389073634204276E-2</v>
      </c>
      <c r="K22" s="93">
        <f>'Three Statements'!K10/('Three Statements'!K33+'Three Statements'!K34+'Three Statements'!K36)</f>
        <v>4.5048193293227894E-2</v>
      </c>
      <c r="L22" s="93">
        <f>'Three Statements'!L10/('Three Statements'!L33+'Three Statements'!L34+'Three Statements'!L36)</f>
        <v>7.22283037886262E-2</v>
      </c>
      <c r="M22" s="93">
        <f>'Three Statements'!M10/('Three Statements'!M33+'Three Statements'!M34+'Three Statements'!M36)</f>
        <v>7.3164678761349147E-2</v>
      </c>
      <c r="N22" s="93">
        <f>'Three Statements'!N10/('Three Statements'!N33+'Three Statements'!N34+'Three Statements'!N36)</f>
        <v>0.16374434219875156</v>
      </c>
      <c r="O22" s="93">
        <f>AVERAGE(B22:N22)</f>
        <v>4.0167723318398491E-2</v>
      </c>
      <c r="P22" s="93">
        <f t="shared" ref="P22:T22" si="42">AVERAGE(C22:O22)</f>
        <v>4.154814647964282E-2</v>
      </c>
      <c r="Q22" s="93">
        <f t="shared" si="42"/>
        <v>4.4027014243118022E-2</v>
      </c>
      <c r="R22" s="93">
        <f t="shared" si="42"/>
        <v>4.6220003927744231E-2</v>
      </c>
      <c r="S22" s="93">
        <f t="shared" si="42"/>
        <v>4.8685140510920197E-2</v>
      </c>
      <c r="T22" s="93">
        <f t="shared" si="42"/>
        <v>5.1346727700817635E-2</v>
      </c>
      <c r="U22" t="s">
        <v>219</v>
      </c>
    </row>
    <row r="23" spans="1:21" x14ac:dyDescent="0.3">
      <c r="A23" s="2" t="s">
        <v>220</v>
      </c>
      <c r="B23" s="93">
        <f>('Three Statements'!B33+'Three Statements'!B34+'Three Statements'!B36)/'Three Statements'!B31</f>
        <v>6.4728244117949238E-2</v>
      </c>
      <c r="C23" s="93">
        <f>('Three Statements'!C33+'Three Statements'!C34+'Three Statements'!C36)/'Three Statements'!C31</f>
        <v>0.10621221596831353</v>
      </c>
      <c r="D23" s="93">
        <f>('Three Statements'!D33+'Three Statements'!D34+'Three Statements'!D36)/'Three Statements'!D31</f>
        <v>0.17924661732120126</v>
      </c>
      <c r="E23" s="93">
        <f>('Three Statements'!E33+'Three Statements'!E34+'Three Statements'!E36)/'Three Statements'!E31</f>
        <v>0.18808313175692354</v>
      </c>
      <c r="F23" s="93">
        <f>('Three Statements'!F33+'Three Statements'!F34+'Three Statements'!F36)/'Three Statements'!F31</f>
        <v>0.16484245439469319</v>
      </c>
      <c r="G23" s="93">
        <f>('Three Statements'!G33+'Three Statements'!G34+'Three Statements'!G36)/'Three Statements'!G31</f>
        <v>0.33192410806351824</v>
      </c>
      <c r="H23" s="93">
        <f>('Three Statements'!H33+'Three Statements'!H34+'Three Statements'!H36)/'Three Statements'!H31</f>
        <v>0.26973985789594318</v>
      </c>
      <c r="I23" s="93">
        <f>('Three Statements'!I33+'Three Statements'!I34+'Three Statements'!I36)/'Three Statements'!I31</f>
        <v>0.2551199848497146</v>
      </c>
      <c r="J23" s="93">
        <f>('Three Statements'!J33+'Three Statements'!J34+'Three Statements'!J36)/'Three Statements'!J31</f>
        <v>0.22327566088369746</v>
      </c>
      <c r="K23" s="93">
        <f>('Three Statements'!K33+'Three Statements'!K34+'Three Statements'!K36)/'Three Statements'!K31</f>
        <v>0.22973897188851131</v>
      </c>
      <c r="L23" s="93">
        <f>('Three Statements'!L33+'Three Statements'!L34+'Three Statements'!L36)/'Three Statements'!L31</f>
        <v>0.17702305513842695</v>
      </c>
      <c r="M23" s="93">
        <f>('Three Statements'!M33+'Three Statements'!M34+'Three Statements'!M36)/'Three Statements'!M31</f>
        <v>0.19831258995046377</v>
      </c>
      <c r="N23" s="93">
        <f>('Three Statements'!N33+'Three Statements'!N34+'Three Statements'!N36)/'Three Statements'!N31</f>
        <v>0.11334525819934535</v>
      </c>
      <c r="O23" s="93">
        <f>AVERAGE(B23:N23)</f>
        <v>0.19243016541759239</v>
      </c>
      <c r="P23" s="93">
        <f t="shared" ref="P23:T23" si="43">AVERAGE(C23:O23)</f>
        <v>0.20225339013294957</v>
      </c>
      <c r="Q23" s="93">
        <f t="shared" si="43"/>
        <v>0.2096411727609985</v>
      </c>
      <c r="R23" s="93">
        <f t="shared" si="43"/>
        <v>0.21197921548713675</v>
      </c>
      <c r="S23" s="93">
        <f t="shared" si="43"/>
        <v>0.21381737577407628</v>
      </c>
      <c r="T23" s="93">
        <f t="shared" si="43"/>
        <v>0.21758467741864418</v>
      </c>
      <c r="U23" t="s">
        <v>219</v>
      </c>
    </row>
    <row r="24" spans="1:21" x14ac:dyDescent="0.3">
      <c r="A24" t="s">
        <v>218</v>
      </c>
      <c r="B24" s="81"/>
      <c r="C24" s="81"/>
      <c r="D24" s="81"/>
      <c r="E24" s="81"/>
      <c r="F24" s="81"/>
      <c r="G24" s="81"/>
      <c r="H24" s="81"/>
      <c r="I24" s="81">
        <f>I15*(1-0.1189)</f>
        <v>3820.4495999999999</v>
      </c>
      <c r="J24" s="81">
        <f>J15*(1-0.1189)^2</f>
        <v>5407.5857812237891</v>
      </c>
      <c r="K24" s="81">
        <f>K15*(1-0.1189)^3</f>
        <v>4918.2657688836871</v>
      </c>
      <c r="L24" s="81">
        <f>L15*(1-0.1189)^4</f>
        <v>5000.6773212308854</v>
      </c>
      <c r="M24" s="81">
        <f>M15*(1-0.1189)^5</f>
        <v>5055.2642191751647</v>
      </c>
      <c r="N24" s="81">
        <f>N15*(1-0.1189)^6</f>
        <v>5086.0539182242737</v>
      </c>
      <c r="O24" s="81">
        <f>O15*(1-0.1189)^7</f>
        <v>5014.1513059110157</v>
      </c>
      <c r="P24" s="81">
        <f>P15*(1-0.1189)^8</f>
        <v>4943.2651959275772</v>
      </c>
      <c r="Q24" s="81">
        <f>Q15*(1-0.1189)^9</f>
        <v>4873.3812177670579</v>
      </c>
      <c r="R24" s="81">
        <f>R15*(1-0.1189)^10</f>
        <v>4804.4852040814294</v>
      </c>
      <c r="S24" s="81">
        <f>S15*(1-0.1189)^11</f>
        <v>4736.5631878094382</v>
      </c>
      <c r="T24" s="81">
        <f>T15*(1-0.1189)^12</f>
        <v>4669.6013993451061</v>
      </c>
      <c r="U24" t="s">
        <v>217</v>
      </c>
    </row>
    <row r="25" spans="1:21" ht="15" thickBot="1" x14ac:dyDescent="0.35">
      <c r="J25" s="3"/>
      <c r="K25" s="3"/>
      <c r="L25" s="3"/>
      <c r="M25" s="3"/>
      <c r="N25" s="3"/>
    </row>
    <row r="26" spans="1:21" x14ac:dyDescent="0.3">
      <c r="A26" s="92" t="s">
        <v>216</v>
      </c>
      <c r="B26" s="114">
        <f>I15*(1-0.1189)</f>
        <v>3820.4495999999999</v>
      </c>
      <c r="J26" s="3"/>
      <c r="K26" s="3"/>
      <c r="L26" s="3"/>
      <c r="M26" s="3"/>
      <c r="N26" s="3"/>
    </row>
    <row r="27" spans="1:21" x14ac:dyDescent="0.3">
      <c r="A27" s="91" t="s">
        <v>215</v>
      </c>
      <c r="B27" s="115">
        <f>T15*(1-0.1189)^12</f>
        <v>4669.6013993451061</v>
      </c>
      <c r="J27" s="3"/>
      <c r="K27" s="3"/>
      <c r="L27" s="3"/>
      <c r="M27" s="3"/>
      <c r="N27" s="3"/>
    </row>
    <row r="28" spans="1:21" x14ac:dyDescent="0.3">
      <c r="A28" s="91" t="s">
        <v>214</v>
      </c>
      <c r="B28" s="115">
        <f>B26+B27</f>
        <v>8490.0509993451051</v>
      </c>
    </row>
    <row r="29" spans="1:21" x14ac:dyDescent="0.3">
      <c r="A29" s="91" t="s">
        <v>213</v>
      </c>
      <c r="B29" s="90">
        <f>'Three Statements'!I33+'Three Statements'!I34+'Three Statements'!I36</f>
        <v>9430</v>
      </c>
    </row>
    <row r="30" spans="1:21" x14ac:dyDescent="0.3">
      <c r="A30" s="91" t="s">
        <v>212</v>
      </c>
      <c r="B30" s="116">
        <f>I3*'Three Statements'!I15</f>
        <v>241338.11</v>
      </c>
    </row>
    <row r="31" spans="1:21" ht="15" thickBot="1" x14ac:dyDescent="0.35">
      <c r="A31" s="89" t="s">
        <v>211</v>
      </c>
      <c r="B31" s="117">
        <f>(I4-B29)/'Three Statements'!I15</f>
        <v>144.49597094611372</v>
      </c>
    </row>
  </sheetData>
  <hyperlinks>
    <hyperlink ref="U20" r:id="rId1" xr:uid="{A0613A09-55DF-43ED-8E74-3C7C863BCDEB}"/>
  </hyperlinks>
  <pageMargins left="0.7" right="0.7" top="0.75" bottom="0.75" header="0.3" footer="0.3"/>
  <pageSetup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Historicals</vt:lpstr>
      <vt:lpstr>Segmental Forecast</vt:lpstr>
      <vt:lpstr>Three Statements</vt:lpstr>
      <vt:lpstr>Schedules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Sheldon Trinder</cp:lastModifiedBy>
  <dcterms:created xsi:type="dcterms:W3CDTF">2020-05-20T17:26:08Z</dcterms:created>
  <dcterms:modified xsi:type="dcterms:W3CDTF">2024-01-26T19:26:16Z</dcterms:modified>
</cp:coreProperties>
</file>