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5\"/>
    </mc:Choice>
  </mc:AlternateContent>
  <xr:revisionPtr revIDLastSave="0" documentId="13_ncr:1_{09219B4C-5126-4A87-9790-F83E3A460F6F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5" l="1"/>
  <c r="B30" i="5"/>
  <c r="B29" i="5" l="1"/>
  <c r="B27" i="5"/>
  <c r="T24" i="5"/>
  <c r="S24" i="5"/>
  <c r="R24" i="5"/>
  <c r="Q24" i="5"/>
  <c r="T4" i="5"/>
  <c r="P4" i="5"/>
  <c r="R4" i="5" s="1"/>
  <c r="Q4" i="5"/>
  <c r="O4" i="5"/>
  <c r="T3" i="5"/>
  <c r="O3" i="5"/>
  <c r="Q3" i="5" s="1"/>
  <c r="P3" i="5"/>
  <c r="L24" i="5"/>
  <c r="K21" i="5"/>
  <c r="J21" i="5"/>
  <c r="N23" i="5"/>
  <c r="M23" i="5"/>
  <c r="L23" i="5"/>
  <c r="K23" i="5"/>
  <c r="J23" i="5"/>
  <c r="N22" i="5"/>
  <c r="M22" i="5"/>
  <c r="L22" i="5"/>
  <c r="K22" i="5"/>
  <c r="J22" i="5"/>
  <c r="K19" i="5"/>
  <c r="K17" i="5" s="1"/>
  <c r="K20" i="5"/>
  <c r="L20" i="5"/>
  <c r="J20" i="5"/>
  <c r="J15" i="5"/>
  <c r="J24" i="5" s="1"/>
  <c r="K15" i="5"/>
  <c r="K24" i="5" s="1"/>
  <c r="L15" i="5"/>
  <c r="M15" i="5"/>
  <c r="M24" i="5" s="1"/>
  <c r="N15" i="5"/>
  <c r="O15" i="5" s="1"/>
  <c r="O24" i="5" s="1"/>
  <c r="C5" i="5"/>
  <c r="D5" i="5"/>
  <c r="E5" i="5"/>
  <c r="F5" i="5"/>
  <c r="G5" i="5"/>
  <c r="H5" i="5"/>
  <c r="I5" i="5"/>
  <c r="J9" i="5"/>
  <c r="K9" i="5"/>
  <c r="L9" i="5"/>
  <c r="M9" i="5"/>
  <c r="N9" i="5"/>
  <c r="J10" i="5"/>
  <c r="K10" i="5"/>
  <c r="L10" i="5"/>
  <c r="M10" i="5"/>
  <c r="N10" i="5"/>
  <c r="J11" i="5"/>
  <c r="K11" i="5"/>
  <c r="L11" i="5"/>
  <c r="M11" i="5"/>
  <c r="N11" i="5"/>
  <c r="C6" i="5"/>
  <c r="D6" i="5"/>
  <c r="E6" i="5"/>
  <c r="F6" i="5"/>
  <c r="G6" i="5"/>
  <c r="H6" i="5"/>
  <c r="I6" i="5"/>
  <c r="I7" i="5"/>
  <c r="B6" i="5"/>
  <c r="C19" i="5"/>
  <c r="D19" i="5"/>
  <c r="E19" i="5"/>
  <c r="F19" i="5"/>
  <c r="G19" i="5"/>
  <c r="H19" i="5"/>
  <c r="I19" i="5"/>
  <c r="B19" i="5"/>
  <c r="C23" i="5"/>
  <c r="P23" i="5" s="1"/>
  <c r="D23" i="5"/>
  <c r="E23" i="5"/>
  <c r="F23" i="5"/>
  <c r="G23" i="5"/>
  <c r="H23" i="5"/>
  <c r="I23" i="5"/>
  <c r="B23" i="5"/>
  <c r="O23" i="5" s="1"/>
  <c r="C22" i="5"/>
  <c r="P22" i="5" s="1"/>
  <c r="Q22" i="5" s="1"/>
  <c r="R22" i="5" s="1"/>
  <c r="D22" i="5"/>
  <c r="E22" i="5"/>
  <c r="F22" i="5"/>
  <c r="G22" i="5"/>
  <c r="H22" i="5"/>
  <c r="I22" i="5"/>
  <c r="B22" i="5"/>
  <c r="O22" i="5" s="1"/>
  <c r="C15" i="5"/>
  <c r="D15" i="5"/>
  <c r="D16" i="5" s="1"/>
  <c r="E15" i="5"/>
  <c r="F15" i="5"/>
  <c r="G15" i="5"/>
  <c r="H15" i="5"/>
  <c r="I15" i="5"/>
  <c r="I16" i="5" s="1"/>
  <c r="B15" i="5"/>
  <c r="C11" i="5"/>
  <c r="D11" i="5"/>
  <c r="E11" i="5"/>
  <c r="F11" i="5"/>
  <c r="G11" i="5"/>
  <c r="H11" i="5"/>
  <c r="I11" i="5"/>
  <c r="B11" i="5"/>
  <c r="C10" i="5"/>
  <c r="D10" i="5"/>
  <c r="E10" i="5"/>
  <c r="F10" i="5"/>
  <c r="G10" i="5"/>
  <c r="H10" i="5"/>
  <c r="I10" i="5"/>
  <c r="B10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I8" i="5" s="1"/>
  <c r="B4" i="5"/>
  <c r="B8" i="5" s="1"/>
  <c r="C9" i="5"/>
  <c r="C17" i="5" s="1"/>
  <c r="D9" i="5"/>
  <c r="D17" i="5" s="1"/>
  <c r="E9" i="5"/>
  <c r="F9" i="5"/>
  <c r="F17" i="5" s="1"/>
  <c r="G9" i="5"/>
  <c r="G17" i="5" s="1"/>
  <c r="H9" i="5"/>
  <c r="H17" i="5" s="1"/>
  <c r="I9" i="5"/>
  <c r="B9" i="5"/>
  <c r="B17" i="5" s="1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K50" i="4"/>
  <c r="J50" i="4"/>
  <c r="S4" i="5" l="1"/>
  <c r="S3" i="5"/>
  <c r="R3" i="5"/>
  <c r="N16" i="5"/>
  <c r="O11" i="5"/>
  <c r="N24" i="5"/>
  <c r="D8" i="5"/>
  <c r="I17" i="5"/>
  <c r="J19" i="5"/>
  <c r="J17" i="5" s="1"/>
  <c r="L21" i="5"/>
  <c r="O9" i="5"/>
  <c r="I24" i="5"/>
  <c r="B26" i="5"/>
  <c r="E17" i="5"/>
  <c r="F16" i="5"/>
  <c r="O10" i="5"/>
  <c r="Q23" i="5"/>
  <c r="R23" i="5"/>
  <c r="S23" i="5" s="1"/>
  <c r="T23" i="5" s="1"/>
  <c r="S22" i="5"/>
  <c r="T22" i="5" s="1"/>
  <c r="M21" i="5"/>
  <c r="M19" i="5" s="1"/>
  <c r="M17" i="5" s="1"/>
  <c r="L19" i="5"/>
  <c r="L17" i="5" s="1"/>
  <c r="M16" i="5"/>
  <c r="P15" i="5"/>
  <c r="L16" i="5"/>
  <c r="J3" i="5"/>
  <c r="K16" i="5"/>
  <c r="E7" i="5"/>
  <c r="J16" i="5"/>
  <c r="G16" i="5"/>
  <c r="E16" i="5"/>
  <c r="M20" i="5"/>
  <c r="O20" i="5" s="1"/>
  <c r="N20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Q20" i="5" l="1"/>
  <c r="R20" i="5"/>
  <c r="O21" i="5"/>
  <c r="R21" i="5" s="1"/>
  <c r="P20" i="5"/>
  <c r="P9" i="5"/>
  <c r="P10" i="5"/>
  <c r="P24" i="5"/>
  <c r="P11" i="5"/>
  <c r="Q11" i="5" s="1"/>
  <c r="P21" i="5"/>
  <c r="Q21" i="5" s="1"/>
  <c r="Q10" i="5"/>
  <c r="B28" i="5"/>
  <c r="R10" i="5"/>
  <c r="S10" i="5" s="1"/>
  <c r="N21" i="5"/>
  <c r="N19" i="5" s="1"/>
  <c r="N17" i="5" s="1"/>
  <c r="J4" i="5"/>
  <c r="J5" i="5"/>
  <c r="J6" i="5"/>
  <c r="K3" i="5"/>
  <c r="Q15" i="5"/>
  <c r="R15" i="5" s="1"/>
  <c r="S15" i="5" s="1"/>
  <c r="T15" i="5" s="1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O19" i="5" l="1"/>
  <c r="O17" i="5" s="1"/>
  <c r="Q19" i="5"/>
  <c r="R19" i="5"/>
  <c r="P19" i="5"/>
  <c r="T10" i="5"/>
  <c r="P17" i="5"/>
  <c r="S21" i="5"/>
  <c r="T21" i="5" s="1"/>
  <c r="R11" i="5"/>
  <c r="S11" i="5" s="1"/>
  <c r="T11" i="5"/>
  <c r="Q9" i="5"/>
  <c r="Q17" i="5" s="1"/>
  <c r="S20" i="5"/>
  <c r="J8" i="5"/>
  <c r="J7" i="5"/>
  <c r="K4" i="5"/>
  <c r="K5" i="5"/>
  <c r="K6" i="5"/>
  <c r="L3" i="5"/>
  <c r="M3" i="5" s="1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T20" i="5" l="1"/>
  <c r="T19" i="5" s="1"/>
  <c r="S19" i="5"/>
  <c r="R9" i="5"/>
  <c r="M6" i="5"/>
  <c r="M4" i="5"/>
  <c r="M5" i="5"/>
  <c r="L6" i="5"/>
  <c r="L4" i="5"/>
  <c r="L5" i="5"/>
  <c r="N3" i="5"/>
  <c r="K8" i="5"/>
  <c r="K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S9" i="5" l="1"/>
  <c r="S17" i="5" s="1"/>
  <c r="R17" i="5"/>
  <c r="L8" i="5"/>
  <c r="L7" i="5"/>
  <c r="N5" i="5"/>
  <c r="N6" i="5"/>
  <c r="N4" i="5"/>
  <c r="M8" i="5"/>
  <c r="M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T9" i="5" l="1"/>
  <c r="T17" i="5" s="1"/>
  <c r="O5" i="5"/>
  <c r="P5" i="5" s="1"/>
  <c r="O6" i="5"/>
  <c r="N8" i="5"/>
  <c r="N7" i="5"/>
  <c r="O7" i="5" s="1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P6" i="5" l="1"/>
  <c r="Q6" i="5" s="1"/>
  <c r="R6" i="5" s="1"/>
  <c r="S6" i="5" s="1"/>
  <c r="T6" i="5" s="1"/>
  <c r="O8" i="5"/>
  <c r="P8" i="5" s="1"/>
  <c r="Q8" i="5" s="1"/>
  <c r="P7" i="5"/>
  <c r="Q7" i="5" s="1"/>
  <c r="Q5" i="5"/>
  <c r="R5" i="5" s="1"/>
  <c r="S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R8" i="5" l="1"/>
  <c r="S8" i="5" s="1"/>
  <c r="T8" i="5" s="1"/>
  <c r="T5" i="5"/>
  <c r="R7" i="5"/>
  <c r="S7" i="5" s="1"/>
  <c r="T7" i="5" s="1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B54" i="4" l="1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<sst xmlns="http://schemas.openxmlformats.org/spreadsheetml/2006/main" count="561" uniqueCount="253">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</sst>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6" borderId="0" xfId="0" applyFill="1"/>
    <xf numFmtId="0" fontId="6" fillId="17" borderId="0" xfId="0" applyFont="1" applyFill="1" applyAlignment="1">
      <alignment horizontal="right" wrapText="1"/>
    </xf>
    <xf numFmtId="0" fontId="6" fillId="17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10" fontId="29" fillId="15" borderId="0" xfId="0" applyNumberFormat="1" applyFont="1" applyFill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2" applyNumberFormat="1" applyFont="1"/>
    <xf numFmtId="10" fontId="0" fillId="0" borderId="0" xfId="0" applyNumberFormat="1"/>
    <xf numFmtId="43" fontId="0" fillId="0" borderId="9" xfId="0" applyNumberFormat="1" applyBorder="1"/>
    <xf numFmtId="43" fontId="0" fillId="0" borderId="7" xfId="0" applyNumberFormat="1" applyBorder="1"/>
    <xf numFmtId="165" fontId="0" fillId="0" borderId="7" xfId="0" applyNumberFormat="1" applyBorder="1"/>
    <xf numFmtId="43" fontId="0" fillId="0" borderId="5" xfId="0" applyNumberFormat="1" applyBorder="1"/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6083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6464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9758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1417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2923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3972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5420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2" sqref="A2:A10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ht="23.4" x14ac:dyDescent="0.45">
      <c r="A2" s="18" t="s">
        <v>20</v>
      </c>
    </row>
    <row r="3" spans="1:1" x14ac:dyDescent="0.3">
      <c r="A3" s="110" t="s">
        <v>252</v>
      </c>
    </row>
    <row r="4" spans="1:1" x14ac:dyDescent="0.3">
      <c r="A4" s="111"/>
    </row>
    <row r="5" spans="1:1" ht="23.4" x14ac:dyDescent="0.45">
      <c r="A5" s="18" t="s">
        <v>245</v>
      </c>
    </row>
    <row r="6" spans="1:1" x14ac:dyDescent="0.3">
      <c r="A6" s="108" t="s">
        <v>247</v>
      </c>
    </row>
    <row r="7" spans="1:1" x14ac:dyDescent="0.3">
      <c r="A7" s="108" t="s">
        <v>248</v>
      </c>
    </row>
    <row r="8" spans="1:1" x14ac:dyDescent="0.3">
      <c r="A8" s="109" t="s">
        <v>249</v>
      </c>
    </row>
    <row r="9" spans="1:1" x14ac:dyDescent="0.3">
      <c r="A9" s="108" t="s">
        <v>250</v>
      </c>
    </row>
    <row r="10" spans="1:1" x14ac:dyDescent="0.3">
      <c r="A10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8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topLeftCell="A15"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workbookViewId="0">
      <selection activeCell="J53" sqref="J53"/>
    </sheetView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U31"/>
  <sheetViews>
    <sheetView tabSelected="1" workbookViewId="0">
      <pane ySplit="1" topLeftCell="A5" activePane="bottomLeft" state="frozen"/>
      <selection pane="bottomLeft"/>
    </sheetView>
  </sheetViews>
  <sheetFormatPr defaultRowHeight="14.4" x14ac:dyDescent="0.3"/>
  <cols>
    <col min="1" max="1" width="42.6640625" customWidth="1"/>
    <col min="2" max="8" width="10.5546875" customWidth="1"/>
    <col min="9" max="9" width="12.109375" customWidth="1"/>
    <col min="10" max="10" width="11.5546875" bestFit="1" customWidth="1"/>
    <col min="11" max="14" width="10.5546875" bestFit="1" customWidth="1"/>
    <col min="15" max="15" width="10.44140625" bestFit="1" customWidth="1"/>
    <col min="16" max="16" width="8.88671875" customWidth="1"/>
    <col min="17" max="20" width="10.33203125" bestFit="1" customWidth="1"/>
    <col min="21" max="21" width="42.6640625" customWidth="1"/>
  </cols>
  <sheetData>
    <row r="1" spans="1:21" ht="60" customHeight="1" x14ac:dyDescent="0.3">
      <c r="A1" s="105" t="s">
        <v>246</v>
      </c>
      <c r="B1" s="16">
        <v>2015</v>
      </c>
      <c r="C1" s="16">
        <f>+B1+1</f>
        <v>2016</v>
      </c>
      <c r="D1" s="16">
        <f>+C1+1</f>
        <v>2017</v>
      </c>
      <c r="E1" s="16">
        <f>+D1+1</f>
        <v>2018</v>
      </c>
      <c r="F1" s="16">
        <f>+E1+1</f>
        <v>2019</v>
      </c>
      <c r="G1" s="16">
        <f>+F1+1</f>
        <v>2020</v>
      </c>
      <c r="H1" s="16">
        <f>+G1+1</f>
        <v>2021</v>
      </c>
      <c r="I1" s="16">
        <f>+H1+1</f>
        <v>2022</v>
      </c>
      <c r="J1" s="103">
        <f>+I1+1</f>
        <v>2023</v>
      </c>
      <c r="K1" s="103">
        <f>+J1+1</f>
        <v>2024</v>
      </c>
      <c r="L1" s="103">
        <f>+K1+1</f>
        <v>2025</v>
      </c>
      <c r="M1" s="103">
        <f>+L1+1</f>
        <v>2026</v>
      </c>
      <c r="N1" s="103">
        <f>+M1+1</f>
        <v>2027</v>
      </c>
      <c r="O1" s="103">
        <f>+N1+1</f>
        <v>2028</v>
      </c>
      <c r="P1" s="103">
        <f>+O1+1</f>
        <v>2029</v>
      </c>
      <c r="Q1" s="103">
        <f>+P1+1</f>
        <v>2030</v>
      </c>
      <c r="R1" s="103">
        <f>+Q1+1</f>
        <v>2031</v>
      </c>
      <c r="S1" s="103">
        <f>+R1+1</f>
        <v>2032</v>
      </c>
      <c r="T1" s="102" t="s">
        <v>244</v>
      </c>
      <c r="U1" s="104" t="s">
        <v>245</v>
      </c>
    </row>
    <row r="2" spans="1:21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1"/>
      <c r="P2" s="101"/>
      <c r="Q2" s="101"/>
      <c r="R2" s="101"/>
      <c r="S2" s="101"/>
      <c r="T2" s="101"/>
      <c r="U2" s="14"/>
    </row>
    <row r="3" spans="1:21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0">
        <f>_xlfn.FORECAST.LINEAR(J1,B3:I3,B1:I1)</f>
        <v>146.67031238392883</v>
      </c>
      <c r="K3" s="100">
        <f t="shared" ref="K3:N3" si="0">_xlfn.FORECAST.LINEAR(K1,C3:J3,C1:J1)</f>
        <v>164.8650519151779</v>
      </c>
      <c r="L3" s="100">
        <f t="shared" si="0"/>
        <v>186.47217225425265</v>
      </c>
      <c r="M3" s="100">
        <f t="shared" si="0"/>
        <v>205.40339809635771</v>
      </c>
      <c r="N3" s="100">
        <f t="shared" si="0"/>
        <v>222.4570277906023</v>
      </c>
      <c r="O3" s="100">
        <f t="shared" ref="O3" si="1">_xlfn.FORECAST.LINEAR(O1,G3:N3,G1:N1)</f>
        <v>239.26850718772039</v>
      </c>
      <c r="P3" s="100">
        <f t="shared" ref="P3" si="2">_xlfn.FORECAST.LINEAR(P1,H3:O3,H1:O1)</f>
        <v>252.90431823142717</v>
      </c>
      <c r="Q3" s="100">
        <f t="shared" ref="Q3" si="3">_xlfn.FORECAST.LINEAR(Q1,I3:P3,I1:P1)</f>
        <v>269.71108179175644</v>
      </c>
      <c r="R3" s="100">
        <f t="shared" ref="R3" si="4">_xlfn.FORECAST.LINEAR(R1,J3:Q3,J1:Q1)</f>
        <v>290.08993113126053</v>
      </c>
      <c r="S3" s="100">
        <f t="shared" ref="S3" si="5">_xlfn.FORECAST.LINEAR(S1,K3:R3,K1:R1)</f>
        <v>306.68659365709027</v>
      </c>
      <c r="T3" s="100">
        <f>_xlfn.FORECAST.LINEAR(2033,L3:S3,L1:S1)</f>
        <v>322.71332098406856</v>
      </c>
    </row>
    <row r="4" spans="1:21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>
        <f>(J3*'Three Statements'!J15)+('Three Statements'!J33+'Three Statements'!J36)-'Three Statements'!J21</f>
        <v>239101.30745138586</v>
      </c>
      <c r="K4" s="3">
        <f>(K3*'Three Statements'!K15)+('Three Statements'!K33+'Three Statements'!K36)-'Three Statements'!K21</f>
        <v>271874.74131015956</v>
      </c>
      <c r="L4" s="3">
        <f>(L3*'Three Statements'!L15)+('Three Statements'!L33+'Three Statements'!L36)-'Three Statements'!L21</f>
        <v>311111.7881153358</v>
      </c>
      <c r="M4" s="3">
        <f>(M3*'Three Statements'!M15)+('Three Statements'!M33+'Three Statements'!M36)-'Three Statements'!M21</f>
        <v>346684.72844272992</v>
      </c>
      <c r="N4" s="3">
        <f>(N3*'Three Statements'!N15)+('Three Statements'!N33+'Three Statements'!N36)-'Three Statements'!N21</f>
        <v>379803.35250966472</v>
      </c>
      <c r="O4" s="81">
        <f>_xlfn.FORECAST.LINEAR(O1,B4:N4,B1:N1)</f>
        <v>385076.28410851955</v>
      </c>
      <c r="P4" s="81">
        <f t="shared" ref="P4:T4" si="6">_xlfn.FORECAST.LINEAR(P1,C4:O4,C1:O1)</f>
        <v>417088.83657710254</v>
      </c>
      <c r="Q4" s="81">
        <f t="shared" si="6"/>
        <v>452026.79984663427</v>
      </c>
      <c r="R4" s="81">
        <f t="shared" si="6"/>
        <v>483164.8979672417</v>
      </c>
      <c r="S4" s="81">
        <f t="shared" si="6"/>
        <v>512124.3410255909</v>
      </c>
      <c r="T4" s="81">
        <f>_xlfn.FORECAST.LINEAR(2033,G4:S4,G1:S1)</f>
        <v>540562.15642949939</v>
      </c>
    </row>
    <row r="5" spans="1:21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>
        <f>J3/'Three Statements'!J16</f>
        <v>35.813199341996167</v>
      </c>
      <c r="K5" s="78">
        <f>K3/'Three Statements'!K16</f>
        <v>35.776648290679525</v>
      </c>
      <c r="L5" s="78">
        <f>L3/'Three Statements'!L16</f>
        <v>36.003378014846618</v>
      </c>
      <c r="M5" s="78">
        <f>M3/'Three Statements'!M16</f>
        <v>35.559014975840498</v>
      </c>
      <c r="N5" s="78">
        <f>N3/'Three Statements'!N16</f>
        <v>34.745147072896707</v>
      </c>
      <c r="O5" s="100">
        <f>_xlfn.FORECAST.LINEAR(O1,B5:N5,B1:N1)</f>
        <v>39.724772910923775</v>
      </c>
      <c r="P5" s="100">
        <f t="shared" ref="P5:S5" si="7">_xlfn.FORECAST.LINEAR(P1,C5:O5,C1:O1)</f>
        <v>38.665840003718017</v>
      </c>
      <c r="Q5" s="100">
        <f t="shared" si="7"/>
        <v>37.303746242512688</v>
      </c>
      <c r="R5" s="100">
        <f t="shared" si="7"/>
        <v>33.87644619048001</v>
      </c>
      <c r="S5" s="100">
        <f t="shared" si="7"/>
        <v>34.867165337113533</v>
      </c>
      <c r="T5" s="100">
        <f>_xlfn.FORECAST.LINEAR(2033,G5:S5,G1:S1)</f>
        <v>32.898268271180086</v>
      </c>
    </row>
    <row r="6" spans="1:21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>
        <f>(J3*'Three Statements'!J15)/('Three Statements'!J40+'Three Statements'!J41+'Three Statements'!J42)</f>
        <v>14.084129368405698</v>
      </c>
      <c r="K6" s="78">
        <f>(K3*'Three Statements'!K15)/('Three Statements'!K40+'Three Statements'!K41+'Three Statements'!K42)</f>
        <v>14.181890122742086</v>
      </c>
      <c r="L6" s="78">
        <f>(L3*'Three Statements'!L15)/('Three Statements'!L40+'Three Statements'!L41+'Three Statements'!L42)</f>
        <v>14.175139667452079</v>
      </c>
      <c r="M6" s="78">
        <f>(M3*'Three Statements'!M15)/('Three Statements'!M40+'Three Statements'!M41+'Three Statements'!M42)</f>
        <v>13.680692403345308</v>
      </c>
      <c r="N6" s="78">
        <f>(N3*'Three Statements'!N15)/('Three Statements'!N40+'Three Statements'!N41+'Three Statements'!N42)</f>
        <v>12.922306375098971</v>
      </c>
      <c r="O6" s="100">
        <f>_xlfn.FORECAST.LINEAR(O1,B6:N6,B1:N1)</f>
        <v>16.609924933483853</v>
      </c>
      <c r="P6" s="100">
        <f t="shared" ref="P6:S6" si="8">_xlfn.FORECAST.LINEAR(P1,C6:O6,C1:O1)</f>
        <v>16.578356268916195</v>
      </c>
      <c r="Q6" s="100">
        <f t="shared" si="8"/>
        <v>16.561367282725541</v>
      </c>
      <c r="R6" s="100">
        <f t="shared" si="8"/>
        <v>15.997434128239661</v>
      </c>
      <c r="S6" s="100">
        <f t="shared" si="8"/>
        <v>15.505221630309805</v>
      </c>
      <c r="T6" s="100">
        <f>_xlfn.FORECAST.LINEAR(2033,G6:S6,G1:S1)</f>
        <v>15.404020910407093</v>
      </c>
    </row>
    <row r="7" spans="1:21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>
        <f>J4/'Three Statements'!J5</f>
        <v>27.36959415198011</v>
      </c>
      <c r="K7" s="78">
        <f>K4/'Three Statements'!K5</f>
        <v>27.146115905726766</v>
      </c>
      <c r="L7" s="78">
        <f>L4/'Three Statements'!L5</f>
        <v>27.234763919871671</v>
      </c>
      <c r="M7" s="78">
        <f>M4/'Three Statements'!M5</f>
        <v>26.72046520987552</v>
      </c>
      <c r="N7" s="78">
        <f>N4/'Three Statements'!N5</f>
        <v>25.864022976625783</v>
      </c>
      <c r="O7" s="100">
        <f>_xlfn.FORECAST.LINEAR(O1,B7:N7,B1:N1)</f>
        <v>31.323192462008592</v>
      </c>
      <c r="P7" s="100">
        <f t="shared" ref="P7:S7" si="9">_xlfn.FORECAST.LINEAR(P1,C7:O7,C1:O1)</f>
        <v>31.511341964815074</v>
      </c>
      <c r="Q7" s="100">
        <f t="shared" si="9"/>
        <v>31.829948515052592</v>
      </c>
      <c r="R7" s="100">
        <f t="shared" si="9"/>
        <v>31.106353109857082</v>
      </c>
      <c r="S7" s="100">
        <f t="shared" si="9"/>
        <v>30.286589364899953</v>
      </c>
      <c r="T7" s="100">
        <f>_xlfn.FORECAST.LINEAR(2033,G7:S7,G1:S1)</f>
        <v>29.429383745401282</v>
      </c>
    </row>
    <row r="8" spans="1:21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>
        <f>J4/'Three Statements'!J53</f>
        <v>34.326453512523429</v>
      </c>
      <c r="K8" s="78">
        <f>K4/'Three Statements'!K53</f>
        <v>37.812245744047956</v>
      </c>
      <c r="L8" s="78">
        <f>L4/'Three Statements'!L53</f>
        <v>37.496302156946847</v>
      </c>
      <c r="M8" s="78">
        <f>M4/'Three Statements'!M53</f>
        <v>36.418064275875707</v>
      </c>
      <c r="N8" s="78">
        <f>N4/'Three Statements'!N53</f>
        <v>34.940494047059332</v>
      </c>
      <c r="O8" s="100">
        <f>_xlfn.FORECAST.LINEAR(O1,B8:N8,B1:N1)</f>
        <v>45.409475311264202</v>
      </c>
      <c r="P8" s="100">
        <f t="shared" ref="P8:S8" si="10">_xlfn.FORECAST.LINEAR(P1,C8:O8,C1:O1)</f>
        <v>42.125564574028431</v>
      </c>
      <c r="Q8" s="100">
        <f t="shared" si="10"/>
        <v>38.420231090529342</v>
      </c>
      <c r="R8" s="100">
        <f t="shared" si="10"/>
        <v>32.493607822298145</v>
      </c>
      <c r="S8" s="100">
        <f t="shared" si="10"/>
        <v>23.874754070142444</v>
      </c>
      <c r="T8" s="100">
        <f>_xlfn.FORECAST.LINEAR(2033,G8:S8,G1:S1)</f>
        <v>15.828829176225554</v>
      </c>
    </row>
    <row r="9" spans="1:21" x14ac:dyDescent="0.3">
      <c r="A9" t="s">
        <v>236</v>
      </c>
      <c r="B9" s="99">
        <f>'Three Statements'!B36/'Three Statements'!B15</f>
        <v>0.61001809136137497</v>
      </c>
      <c r="C9" s="99">
        <f>'Three Statements'!C36/'Three Statements'!C15</f>
        <v>1.1437589670014348</v>
      </c>
      <c r="D9" s="99">
        <f>'Three Statements'!D36/'Three Statements'!D15</f>
        <v>2.0514184397163122</v>
      </c>
      <c r="E9" s="99">
        <f>'Three Statements'!E36/'Three Statements'!E15</f>
        <v>2.0902899162196373</v>
      </c>
      <c r="F9" s="99">
        <f>'Three Statements'!F36/'Three Statements'!F15</f>
        <v>2.1403855659911022</v>
      </c>
      <c r="G9" s="99">
        <f>'Three Statements'!G36/'Three Statements'!G15</f>
        <v>5.909776325709978</v>
      </c>
      <c r="H9" s="99">
        <f>'Three Statements'!H36/'Three Statements'!H15</f>
        <v>5.8487635143531751</v>
      </c>
      <c r="I9" s="99">
        <f>'Three Statements'!I36/'Three Statements'!I15</f>
        <v>5.5376210578594485</v>
      </c>
      <c r="J9" s="99">
        <f>'Three Statements'!J36/'Three Statements'!J15</f>
        <v>5.146053713495724</v>
      </c>
      <c r="K9" s="99">
        <f>'Three Statements'!K36/'Three Statements'!K15</f>
        <v>5.0635020846041137</v>
      </c>
      <c r="L9" s="99">
        <f>'Three Statements'!L36/'Three Statements'!L15</f>
        <v>4.3882216195069592</v>
      </c>
      <c r="M9" s="99">
        <f>'Three Statements'!M36/'Three Statements'!M15</f>
        <v>4.3132018952575715</v>
      </c>
      <c r="N9" s="112">
        <f>'Three Statements'!N36/'Three Statements'!N15</f>
        <v>3.0950560237058671</v>
      </c>
      <c r="O9" s="113">
        <f>_xlfn.FORECAST.LINEAR(O1,B9:N9,B1:N1)</f>
        <v>5.7438310352456483</v>
      </c>
      <c r="P9" s="113">
        <f t="shared" ref="P9:S9" si="11">_xlfn.FORECAST.LINEAR(P1,C9:O9,C1:O1)</f>
        <v>5.8077799400145409</v>
      </c>
      <c r="Q9" s="113">
        <f t="shared" si="11"/>
        <v>5.7965935629551382</v>
      </c>
      <c r="R9" s="113">
        <f t="shared" si="11"/>
        <v>5.7771297002836945</v>
      </c>
      <c r="S9" s="113">
        <f t="shared" si="11"/>
        <v>5.6151070436855832</v>
      </c>
      <c r="T9" s="113">
        <f>_xlfn.FORECAST.LINEAR(2033,G9:S9,G1:S1)</f>
        <v>5.2710635106262425</v>
      </c>
    </row>
    <row r="10" spans="1:21" x14ac:dyDescent="0.3">
      <c r="A10" t="s">
        <v>235</v>
      </c>
      <c r="B10" s="99">
        <f>'Three Statements'!B36/('Three Statements'!B36+'Three Statements'!B43)</f>
        <v>5.2518861036748597E-2</v>
      </c>
      <c r="C10" s="99">
        <f>'Three Statements'!C36/('Three Statements'!C36+'Three Statements'!C43)</f>
        <v>9.4093763278409889E-2</v>
      </c>
      <c r="D10" s="99">
        <f>'Three Statements'!D36/('Three Statements'!D36+'Three Statements'!D43)</f>
        <v>0.14062879831456121</v>
      </c>
      <c r="E10" s="99">
        <f>'Three Statements'!E36/('Three Statements'!E36+'Three Statements'!E43)</f>
        <v>0.14617492096944151</v>
      </c>
      <c r="F10" s="99">
        <f>'Three Statements'!F36/('Three Statements'!F36+'Three Statements'!F43)</f>
        <v>0.14099067931132728</v>
      </c>
      <c r="G10" s="99">
        <f>'Three Statements'!G36/('Three Statements'!G36+'Three Statements'!G43)</f>
        <v>0.24431168831168831</v>
      </c>
      <c r="H10" s="99">
        <f>'Three Statements'!H36/('Three Statements'!H36+'Three Statements'!H43)</f>
        <v>0.21240156147753683</v>
      </c>
      <c r="I10" s="99">
        <f>'Three Statements'!I36/('Three Statements'!I36+'Three Statements'!I43)</f>
        <v>0.19440751476581741</v>
      </c>
      <c r="J10" s="99">
        <f>'Three Statements'!J36/('Three Statements'!J36+'Three Statements'!J43)</f>
        <v>0.18252276900727557</v>
      </c>
      <c r="K10" s="99">
        <f>'Three Statements'!K36/('Three Statements'!K36+'Three Statements'!K43)</f>
        <v>0.17036582982420617</v>
      </c>
      <c r="L10" s="99">
        <f>'Three Statements'!L36/('Three Statements'!L36+'Three Statements'!L43)</f>
        <v>0.15039896998245941</v>
      </c>
      <c r="M10" s="99">
        <f>'Three Statements'!M36/('Three Statements'!M36+'Three Statements'!M43)</f>
        <v>0.13510372292282474</v>
      </c>
      <c r="N10" s="99">
        <f>'Three Statements'!N36/('Three Statements'!N36+'Three Statements'!N43)</f>
        <v>0.10180602770308902</v>
      </c>
      <c r="O10" s="113">
        <f>_xlfn.FORECAST.LINEAR(O1,B10:N10,B1:N1)</f>
        <v>0.17603986273510763</v>
      </c>
      <c r="P10" s="113">
        <f t="shared" ref="P10:S10" si="12">_xlfn.FORECAST.LINEAR(P1,C10:O10,C1:O1)</f>
        <v>0.16470094351046205</v>
      </c>
      <c r="Q10" s="113">
        <f t="shared" si="12"/>
        <v>0.15311749181323142</v>
      </c>
      <c r="R10" s="113">
        <f t="shared" si="12"/>
        <v>0.14420328555334194</v>
      </c>
      <c r="S10" s="113">
        <f t="shared" si="12"/>
        <v>0.13313247428178343</v>
      </c>
      <c r="T10" s="113">
        <f>_xlfn.FORECAST.LINEAR(2033,G10:S10,G1:S1)</f>
        <v>0.11773412212380308</v>
      </c>
    </row>
    <row r="11" spans="1:21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>
        <f>'Three Statements'!J14/('Three Statements'!J40+'Three Statements'!J41+'Three Statements'!J42)</f>
        <v>0.39326643883195367</v>
      </c>
      <c r="K11" s="99">
        <f>'Three Statements'!K14/('Three Statements'!K40+'Three Statements'!K41+'Three Statements'!K42)</f>
        <v>0.39640074742375253</v>
      </c>
      <c r="L11" s="99">
        <f>'Three Statements'!L14/('Three Statements'!L40+'Three Statements'!L41+'Three Statements'!L42)</f>
        <v>0.39371693571660726</v>
      </c>
      <c r="M11" s="99">
        <f>'Three Statements'!M14/('Three Statements'!M40+'Three Statements'!M41+'Three Statements'!M42)</f>
        <v>0.38473204088021684</v>
      </c>
      <c r="N11" s="99">
        <f>'Three Statements'!N14/('Three Statements'!N40+'Three Statements'!N41+'Three Statements'!N42)</f>
        <v>0.37191687080752484</v>
      </c>
      <c r="O11" s="113">
        <f>_xlfn.FORECAST.LINEAR(O1,B11:N11,B1:N1)</f>
        <v>0.4290060312370052</v>
      </c>
      <c r="P11" s="113">
        <f t="shared" ref="P11:S11" si="13">_xlfn.FORECAST.LINEAR(P1,C11:O11,C1:O1)</f>
        <v>0.43176379662313735</v>
      </c>
      <c r="Q11" s="113">
        <f t="shared" si="13"/>
        <v>0.4382311817647313</v>
      </c>
      <c r="R11" s="113">
        <f t="shared" si="13"/>
        <v>0.44861142390028519</v>
      </c>
      <c r="S11" s="113">
        <f t="shared" si="13"/>
        <v>0.43064008301578838</v>
      </c>
      <c r="T11" s="113">
        <f>_xlfn.FORECAST.LINEAR(2033,G11:S11,G1:S1)</f>
        <v>0.44528537200269369</v>
      </c>
    </row>
    <row r="15" spans="1:21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>
        <f>'Three Statements'!J53</f>
        <v>6965.5115220147563</v>
      </c>
      <c r="K15" s="3">
        <f>'Three Statements'!K53</f>
        <v>7190.1241505327807</v>
      </c>
      <c r="L15" s="3">
        <f>'Three Statements'!L53</f>
        <v>8297.1325229119138</v>
      </c>
      <c r="M15" s="3">
        <f>'Three Statements'!M53</f>
        <v>9519.5814312509483</v>
      </c>
      <c r="N15" s="3">
        <f>'Three Statements'!N53</f>
        <v>10870.005215098834</v>
      </c>
      <c r="O15" s="81">
        <f>N15*(1+O16)</f>
        <v>12162.448835174086</v>
      </c>
      <c r="P15" s="81">
        <f t="shared" ref="P15:T15" si="14">O15*(1+P16)</f>
        <v>13608.564001676285</v>
      </c>
      <c r="Q15" s="81">
        <f t="shared" si="14"/>
        <v>15226.622261475595</v>
      </c>
      <c r="R15" s="81">
        <f t="shared" si="14"/>
        <v>17037.067648365042</v>
      </c>
      <c r="S15" s="81">
        <f t="shared" si="14"/>
        <v>19062.774991755647</v>
      </c>
      <c r="T15" s="81">
        <f t="shared" si="14"/>
        <v>21329.338938275392</v>
      </c>
      <c r="U15" t="s">
        <v>232</v>
      </c>
    </row>
    <row r="16" spans="1:21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15">D15/C15-1</f>
        <v>-9.42782834850453E-3</v>
      </c>
      <c r="E16" s="96">
        <f t="shared" si="15"/>
        <v>0.23826714801444049</v>
      </c>
      <c r="F16" s="96">
        <f t="shared" si="15"/>
        <v>-0.23747680890538037</v>
      </c>
      <c r="G16" s="96">
        <f t="shared" si="15"/>
        <v>-0.65345846367744176</v>
      </c>
      <c r="H16" s="96">
        <f t="shared" si="15"/>
        <v>4.1975927783350047</v>
      </c>
      <c r="I16" s="96">
        <f t="shared" si="15"/>
        <v>-0.1632574295638749</v>
      </c>
      <c r="J16" s="96">
        <f t="shared" ref="J16" si="16">J15/I15-1</f>
        <v>0.60643715913624452</v>
      </c>
      <c r="K16" s="96">
        <f t="shared" ref="K16" si="17">K15/J15-1</f>
        <v>3.224639393792228E-2</v>
      </c>
      <c r="L16" s="96">
        <f t="shared" ref="L16" si="18">L15/K15-1</f>
        <v>0.15396234462754088</v>
      </c>
      <c r="M16" s="96">
        <f t="shared" ref="M16" si="19">M15/L15-1</f>
        <v>0.14733390179840233</v>
      </c>
      <c r="N16" s="96">
        <f t="shared" ref="N16" si="20">N15/M15-1</f>
        <v>0.14185747489009382</v>
      </c>
      <c r="O16" s="107">
        <v>0.11890000000000001</v>
      </c>
      <c r="P16" s="107">
        <v>0.11890000000000001</v>
      </c>
      <c r="Q16" s="107">
        <v>0.11890000000000001</v>
      </c>
      <c r="R16" s="107">
        <v>0.11890000000000001</v>
      </c>
      <c r="S16" s="107">
        <v>0.11890000000000001</v>
      </c>
      <c r="T16" s="107">
        <v>0.11890000000000001</v>
      </c>
      <c r="U16" s="97"/>
    </row>
    <row r="17" spans="1:21" x14ac:dyDescent="0.3">
      <c r="A17" t="s">
        <v>231</v>
      </c>
      <c r="B17" s="47">
        <f>(B9*B19)+((B10*B22)*(1-'Three Statements'!B13))</f>
        <v>-6.3145373696046114E-2</v>
      </c>
      <c r="C17" s="47">
        <f>(C9*C19)+((C10*C22)*(1-'Three Statements'!C13))</f>
        <v>2.7944081013330756E-2</v>
      </c>
      <c r="D17" s="47">
        <f>(D9*D19)+((D10*D22)*(1-'Three Statements'!D13))</f>
        <v>0.25567884507660948</v>
      </c>
      <c r="E17" s="47">
        <f>(E9*E19)+((E10*E22)*(1-'Three Statements'!E13))</f>
        <v>-0.38802673601625515</v>
      </c>
      <c r="F17" s="47">
        <f>(F9*F19)+((F10*F22)*(1-'Three Statements'!F13))</f>
        <v>0.50549268497754252</v>
      </c>
      <c r="G17" s="47">
        <f>(G9*G19)+((G10*G22)*(1-'Three Statements'!G13))</f>
        <v>1.1881290938281899</v>
      </c>
      <c r="H17" s="47">
        <f>(H9*H19)+((H10*H22)*(1-'Three Statements'!H13))</f>
        <v>1.9839485431173047</v>
      </c>
      <c r="I17" s="47">
        <f>(I9*I19)+((I10*I22)*(1-'Three Statements'!I13))</f>
        <v>-0.57622827711542912</v>
      </c>
      <c r="J17" s="47">
        <f>(J9*J19)+((J10*J22)*(1-'Three Statements'!J13))</f>
        <v>0.34381801084195429</v>
      </c>
      <c r="K17" s="47">
        <f>(K9*K19)+((K10*K22)*(1-'Three Statements'!K13))</f>
        <v>0.44777052288015107</v>
      </c>
      <c r="L17" s="47">
        <f>(L9*L19)+((L10*L22)*(1-'Three Statements'!L13))</f>
        <v>0.42644334352915692</v>
      </c>
      <c r="M17" s="47">
        <f>(M9*M19)+((M10*M22)*(1-'Three Statements'!M13))</f>
        <v>0.40299710273583611</v>
      </c>
      <c r="N17" s="47">
        <f>(N9*N19)+((N10*N22)*(1-'Three Statements'!N13))</f>
        <v>0.40487937866725027</v>
      </c>
      <c r="O17" s="47">
        <f>(O9*O19)+((O10*O22)*(1-0.13))</f>
        <v>0.65216819816790006</v>
      </c>
      <c r="P17" s="47">
        <f t="shared" ref="P17:T17" si="21">(P9*P19)+((P10*P22)*(1-0.13))</f>
        <v>0.5951036054552381</v>
      </c>
      <c r="Q17" s="47">
        <f t="shared" si="21"/>
        <v>0.42223034202402487</v>
      </c>
      <c r="R17" s="47">
        <f t="shared" si="21"/>
        <v>0.54828171331572162</v>
      </c>
      <c r="S17" s="47">
        <f t="shared" si="21"/>
        <v>0.55265592579441758</v>
      </c>
      <c r="T17" s="47">
        <f t="shared" si="21"/>
        <v>0.52555077011545315</v>
      </c>
      <c r="U17" t="s">
        <v>230</v>
      </c>
    </row>
    <row r="18" spans="1:21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J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U18" s="2" t="s">
        <v>228</v>
      </c>
    </row>
    <row r="19" spans="1:21" x14ac:dyDescent="0.3">
      <c r="A19" s="2" t="s">
        <v>227</v>
      </c>
      <c r="B19" s="93">
        <f>B20+B18*(B21-B20)</f>
        <v>-0.10500309163346611</v>
      </c>
      <c r="C19" s="93">
        <f t="shared" ref="C19:I19" si="22">C20+C18*(C21-C20)</f>
        <v>2.380799999999994E-2</v>
      </c>
      <c r="D19" s="93">
        <f t="shared" si="22"/>
        <v>0.12371199999999993</v>
      </c>
      <c r="E19" s="93">
        <f t="shared" si="22"/>
        <v>-0.18607595180722891</v>
      </c>
      <c r="F19" s="93">
        <f t="shared" si="22"/>
        <v>0.23539039999999994</v>
      </c>
      <c r="G19" s="93">
        <f t="shared" si="22"/>
        <v>0.20070960956175302</v>
      </c>
      <c r="H19" s="93">
        <f t="shared" si="22"/>
        <v>0.33833931474103585</v>
      </c>
      <c r="I19" s="93">
        <f t="shared" si="22"/>
        <v>-0.10475077397590371</v>
      </c>
      <c r="J19" s="93">
        <f t="shared" ref="J19" si="23">J20+J18*(J21-J20)</f>
        <v>6.5766188360773747E-2</v>
      </c>
      <c r="K19" s="93">
        <f t="shared" ref="K19" si="24">K20+K18*(K21-K20)</f>
        <v>8.7112348360053715E-2</v>
      </c>
      <c r="L19" s="93">
        <f t="shared" ref="L19" si="25">L20+L18*(L21-L20)</f>
        <v>9.5025391905060486E-2</v>
      </c>
      <c r="M19" s="93">
        <f t="shared" ref="M19" si="26">M20+M18*(M21-M20)</f>
        <v>9.143956589319302E-2</v>
      </c>
      <c r="N19" s="93">
        <f t="shared" ref="N19" si="27">N20+N18*(N21-N20)</f>
        <v>0.12612900560574575</v>
      </c>
      <c r="O19" s="93">
        <f t="shared" ref="O19" si="28">O20+O18*(O21-O20)</f>
        <v>0.11247133130646397</v>
      </c>
      <c r="P19" s="93">
        <f t="shared" ref="P19" si="29">P20+P18*(P21-P20)</f>
        <v>0.10144154652455289</v>
      </c>
      <c r="Q19" s="93">
        <f t="shared" ref="Q19" si="30">Q20+Q18*(Q21-Q20)</f>
        <v>7.1829325497492491E-2</v>
      </c>
      <c r="R19" s="93">
        <f t="shared" ref="R19" si="31">R20+R18*(R21-R20)</f>
        <v>9.3901837931667009E-2</v>
      </c>
      <c r="S19" s="93">
        <f t="shared" ref="S19" si="32">S20+S18*(S21-S20)</f>
        <v>9.7418794128028618E-2</v>
      </c>
      <c r="T19" s="93">
        <f t="shared" ref="T19" si="33">T20+T18*(T21-T20)</f>
        <v>9.8707099849025537E-2</v>
      </c>
      <c r="U19" s="2" t="s">
        <v>226</v>
      </c>
    </row>
    <row r="20" spans="1:21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>
        <f>AVERAGE(B20:I20)</f>
        <v>0.54658043032688519</v>
      </c>
      <c r="K20" s="93">
        <f t="shared" ref="K20:N20" si="34">AVERAGE(C20:J20)</f>
        <v>0.51404143033288541</v>
      </c>
      <c r="L20" s="93">
        <f t="shared" si="34"/>
        <v>0.49179660912449608</v>
      </c>
      <c r="M20" s="93">
        <f t="shared" si="34"/>
        <v>0.45557118526505802</v>
      </c>
      <c r="N20" s="93">
        <f t="shared" si="34"/>
        <v>0.39148846695732692</v>
      </c>
      <c r="O20" s="93">
        <f t="shared" ref="O20:O21" si="35">AVERAGE(G20:N20)</f>
        <v>0.34868952532699277</v>
      </c>
      <c r="P20" s="93">
        <f t="shared" ref="P20:P21" si="36">AVERAGE(H20:O20)</f>
        <v>0.41164822595302619</v>
      </c>
      <c r="Q20" s="93">
        <f t="shared" ref="Q20:Q21" si="37">AVERAGE(I20:P20)</f>
        <v>0.50182437371906685</v>
      </c>
      <c r="R20" s="93">
        <f t="shared" ref="R20:R21" si="38">AVERAGE(J20:Q20)</f>
        <v>0.45770503087571718</v>
      </c>
      <c r="S20" s="93">
        <f t="shared" ref="S20:S21" si="39">AVERAGE(K20:R20)</f>
        <v>0.44659560594432118</v>
      </c>
      <c r="T20" s="93">
        <f t="shared" ref="T20:T21" si="40">AVERAGE(L20:S20)</f>
        <v>0.4381648778957507</v>
      </c>
      <c r="U20" s="94" t="s">
        <v>224</v>
      </c>
    </row>
    <row r="21" spans="1:21" x14ac:dyDescent="0.3">
      <c r="A21" s="2" t="s">
        <v>223</v>
      </c>
      <c r="B21" s="93">
        <v>-7.3000000000000001E-3</v>
      </c>
      <c r="C21" s="47">
        <v>9.5399999999999999E-2</v>
      </c>
      <c r="D21" s="47">
        <v>0.19420000000000001</v>
      </c>
      <c r="E21" s="47">
        <v>-6.2399999999999997E-2</v>
      </c>
      <c r="F21" s="47">
        <v>0.2888</v>
      </c>
      <c r="G21" s="47">
        <v>0.16259999999999999</v>
      </c>
      <c r="H21" s="47">
        <v>0.26889999999999997</v>
      </c>
      <c r="I21" s="93">
        <v>-1.944E-3</v>
      </c>
      <c r="J21" s="93">
        <f>AVERAGE(B21:I21)</f>
        <v>0.117282</v>
      </c>
      <c r="K21" s="93">
        <f t="shared" ref="K21:N21" si="41">AVERAGE(C21:J21)</f>
        <v>0.13285475000000002</v>
      </c>
      <c r="L21" s="93">
        <f t="shared" si="41"/>
        <v>0.13753659375000002</v>
      </c>
      <c r="M21" s="93">
        <f t="shared" si="41"/>
        <v>0.13045366796874999</v>
      </c>
      <c r="N21" s="93">
        <f t="shared" si="41"/>
        <v>0.15456037646484375</v>
      </c>
      <c r="O21" s="93">
        <f t="shared" si="35"/>
        <v>0.13778042352294922</v>
      </c>
      <c r="P21" s="93">
        <f t="shared" si="36"/>
        <v>0.13467797646331789</v>
      </c>
      <c r="Q21" s="93">
        <f t="shared" si="37"/>
        <v>0.11790022352123261</v>
      </c>
      <c r="R21" s="93">
        <f t="shared" si="38"/>
        <v>0.1328807514613867</v>
      </c>
      <c r="S21" s="93">
        <f t="shared" si="39"/>
        <v>0.13483059539406003</v>
      </c>
      <c r="T21" s="93">
        <f t="shared" si="40"/>
        <v>0.13507757606831752</v>
      </c>
      <c r="U21" s="2" t="s">
        <v>222</v>
      </c>
    </row>
    <row r="22" spans="1:21" x14ac:dyDescent="0.3">
      <c r="A22" s="2" t="s">
        <v>221</v>
      </c>
      <c r="B22" s="93">
        <f>'Three Statements'!B10/('Three Statements'!B33+'Three Statements'!B34+'Three Statements'!B36)</f>
        <v>2.2222222222222223E-2</v>
      </c>
      <c r="C22" s="93">
        <f>'Three Statements'!C10/('Three Statements'!C33+'Three Statements'!C34+'Three Statements'!C36)</f>
        <v>9.3228655544651626E-3</v>
      </c>
      <c r="D22" s="93">
        <f>'Three Statements'!D10/('Three Statements'!D33+'Three Statements'!D34+'Three Statements'!D36)</f>
        <v>1.551814834297738E-2</v>
      </c>
      <c r="E22" s="93">
        <f>'Three Statements'!E10/('Three Statements'!E33+'Three Statements'!E34+'Three Statements'!E36)</f>
        <v>1.4173228346456693E-2</v>
      </c>
      <c r="F22" s="93">
        <f>'Three Statements'!F10/('Three Statements'!F33+'Three Statements'!F34+'Three Statements'!F36)</f>
        <v>1.4084507042253521E-2</v>
      </c>
      <c r="G22" s="93">
        <f>'Three Statements'!G10/('Three Statements'!G33+'Three Statements'!G34+'Three Statements'!G36)</f>
        <v>9.2161126643885271E-3</v>
      </c>
      <c r="H22" s="93">
        <f>'Three Statements'!H10/('Three Statements'!H33+'Three Statements'!H34+'Three Statements'!H36)</f>
        <v>2.7827934147636749E-2</v>
      </c>
      <c r="I22" s="93">
        <f>'Three Statements'!I10/('Three Statements'!I33+'Three Statements'!I34+'Three Statements'!I36)</f>
        <v>2.1739130434782608E-2</v>
      </c>
      <c r="J22" s="93">
        <f>'Three Statements'!J10/('Three Statements'!J33+'Three Statements'!J34+'Three Statements'!J36)</f>
        <v>3.389073634204276E-2</v>
      </c>
      <c r="K22" s="93">
        <f>'Three Statements'!K10/('Three Statements'!K33+'Three Statements'!K34+'Three Statements'!K36)</f>
        <v>4.5048193293227894E-2</v>
      </c>
      <c r="L22" s="93">
        <f>'Three Statements'!L10/('Three Statements'!L33+'Three Statements'!L34+'Three Statements'!L36)</f>
        <v>7.22283037886262E-2</v>
      </c>
      <c r="M22" s="93">
        <f>'Three Statements'!M10/('Three Statements'!M33+'Three Statements'!M34+'Three Statements'!M36)</f>
        <v>7.3164678761349147E-2</v>
      </c>
      <c r="N22" s="93">
        <f>'Three Statements'!N10/('Three Statements'!N33+'Three Statements'!N34+'Three Statements'!N36)</f>
        <v>0.16374434219875156</v>
      </c>
      <c r="O22" s="93">
        <f>AVERAGE(B22:N22)</f>
        <v>4.0167723318398491E-2</v>
      </c>
      <c r="P22" s="93">
        <f t="shared" ref="P22:T22" si="42">AVERAGE(C22:O22)</f>
        <v>4.154814647964282E-2</v>
      </c>
      <c r="Q22" s="93">
        <f t="shared" si="42"/>
        <v>4.4027014243118022E-2</v>
      </c>
      <c r="R22" s="93">
        <f t="shared" si="42"/>
        <v>4.6220003927744231E-2</v>
      </c>
      <c r="S22" s="93">
        <f t="shared" si="42"/>
        <v>4.8685140510920197E-2</v>
      </c>
      <c r="T22" s="93">
        <f t="shared" si="42"/>
        <v>5.1346727700817635E-2</v>
      </c>
      <c r="U22" t="s">
        <v>219</v>
      </c>
    </row>
    <row r="23" spans="1:21" x14ac:dyDescent="0.3">
      <c r="A23" s="2" t="s">
        <v>220</v>
      </c>
      <c r="B23" s="93">
        <f>('Three Statements'!B33+'Three Statements'!B34+'Three Statements'!B36)/'Three Statements'!B31</f>
        <v>6.4728244117949238E-2</v>
      </c>
      <c r="C23" s="93">
        <f>('Three Statements'!C33+'Three Statements'!C34+'Three Statements'!C36)/'Three Statements'!C31</f>
        <v>0.10621221596831353</v>
      </c>
      <c r="D23" s="93">
        <f>('Three Statements'!D33+'Three Statements'!D34+'Three Statements'!D36)/'Three Statements'!D31</f>
        <v>0.17924661732120126</v>
      </c>
      <c r="E23" s="93">
        <f>('Three Statements'!E33+'Three Statements'!E34+'Three Statements'!E36)/'Three Statements'!E31</f>
        <v>0.18808313175692354</v>
      </c>
      <c r="F23" s="93">
        <f>('Three Statements'!F33+'Three Statements'!F34+'Three Statements'!F36)/'Three Statements'!F31</f>
        <v>0.16484245439469319</v>
      </c>
      <c r="G23" s="93">
        <f>('Three Statements'!G33+'Three Statements'!G34+'Three Statements'!G36)/'Three Statements'!G31</f>
        <v>0.33192410806351824</v>
      </c>
      <c r="H23" s="93">
        <f>('Three Statements'!H33+'Three Statements'!H34+'Three Statements'!H36)/'Three Statements'!H31</f>
        <v>0.26973985789594318</v>
      </c>
      <c r="I23" s="93">
        <f>('Three Statements'!I33+'Three Statements'!I34+'Three Statements'!I36)/'Three Statements'!I31</f>
        <v>0.2551199848497146</v>
      </c>
      <c r="J23" s="93">
        <f>('Three Statements'!J33+'Three Statements'!J34+'Three Statements'!J36)/'Three Statements'!J31</f>
        <v>0.22327566088369746</v>
      </c>
      <c r="K23" s="93">
        <f>('Three Statements'!K33+'Three Statements'!K34+'Three Statements'!K36)/'Three Statements'!K31</f>
        <v>0.22973897188851131</v>
      </c>
      <c r="L23" s="93">
        <f>('Three Statements'!L33+'Three Statements'!L34+'Three Statements'!L36)/'Three Statements'!L31</f>
        <v>0.17702305513842695</v>
      </c>
      <c r="M23" s="93">
        <f>('Three Statements'!M33+'Three Statements'!M34+'Three Statements'!M36)/'Three Statements'!M31</f>
        <v>0.19831258995046377</v>
      </c>
      <c r="N23" s="93">
        <f>('Three Statements'!N33+'Three Statements'!N34+'Three Statements'!N36)/'Three Statements'!N31</f>
        <v>0.11334525819934535</v>
      </c>
      <c r="O23" s="93">
        <f>AVERAGE(B23:N23)</f>
        <v>0.19243016541759239</v>
      </c>
      <c r="P23" s="93">
        <f t="shared" ref="P23:T23" si="43">AVERAGE(C23:O23)</f>
        <v>0.20225339013294957</v>
      </c>
      <c r="Q23" s="93">
        <f t="shared" si="43"/>
        <v>0.2096411727609985</v>
      </c>
      <c r="R23" s="93">
        <f t="shared" si="43"/>
        <v>0.21197921548713675</v>
      </c>
      <c r="S23" s="93">
        <f t="shared" si="43"/>
        <v>0.21381737577407628</v>
      </c>
      <c r="T23" s="93">
        <f t="shared" si="43"/>
        <v>0.21758467741864418</v>
      </c>
      <c r="U23" t="s">
        <v>219</v>
      </c>
    </row>
    <row r="24" spans="1:21" x14ac:dyDescent="0.3">
      <c r="A24" t="s">
        <v>218</v>
      </c>
      <c r="B24" s="81"/>
      <c r="C24" s="81"/>
      <c r="D24" s="81"/>
      <c r="E24" s="81"/>
      <c r="F24" s="81"/>
      <c r="G24" s="81"/>
      <c r="H24" s="81"/>
      <c r="I24" s="81">
        <f>I15*(1-0.1189)</f>
        <v>3820.4495999999999</v>
      </c>
      <c r="J24" s="81">
        <f>J15*(1-0.1189)^2</f>
        <v>5407.5857812237891</v>
      </c>
      <c r="K24" s="81">
        <f>K15*(1-0.1189)^3</f>
        <v>4918.2657688836871</v>
      </c>
      <c r="L24" s="81">
        <f>L15*(1-0.1189)^4</f>
        <v>5000.6773212308854</v>
      </c>
      <c r="M24" s="81">
        <f>M15*(1-0.1189)^5</f>
        <v>5055.2642191751647</v>
      </c>
      <c r="N24" s="81">
        <f>N15*(1-0.1189)^6</f>
        <v>5086.0539182242737</v>
      </c>
      <c r="O24" s="81">
        <f>O15*(1-0.1189)^7</f>
        <v>5014.1513059110157</v>
      </c>
      <c r="P24" s="81">
        <f>P15*(1-0.1189)^8</f>
        <v>4943.2651959275772</v>
      </c>
      <c r="Q24" s="81">
        <f>Q15*(1-0.1189)^9</f>
        <v>4873.3812177670579</v>
      </c>
      <c r="R24" s="81">
        <f>R15*(1-0.1189)^10</f>
        <v>4804.4852040814294</v>
      </c>
      <c r="S24" s="81">
        <f>S15*(1-0.1189)^11</f>
        <v>4736.5631878094382</v>
      </c>
      <c r="T24" s="81">
        <f>T15*(1-0.1189)^12</f>
        <v>4669.6013993451061</v>
      </c>
      <c r="U24" t="s">
        <v>217</v>
      </c>
    </row>
    <row r="25" spans="1:21" ht="15" thickBot="1" x14ac:dyDescent="0.35">
      <c r="J25" s="3"/>
      <c r="K25" s="3"/>
      <c r="L25" s="3"/>
      <c r="M25" s="3"/>
      <c r="N25" s="3"/>
    </row>
    <row r="26" spans="1:21" x14ac:dyDescent="0.3">
      <c r="A26" s="92" t="s">
        <v>216</v>
      </c>
      <c r="B26" s="114">
        <f>I15*(1-0.1189)</f>
        <v>3820.4495999999999</v>
      </c>
      <c r="J26" s="3"/>
      <c r="K26" s="3"/>
      <c r="L26" s="3"/>
      <c r="M26" s="3"/>
      <c r="N26" s="3"/>
    </row>
    <row r="27" spans="1:21" x14ac:dyDescent="0.3">
      <c r="A27" s="91" t="s">
        <v>215</v>
      </c>
      <c r="B27" s="115">
        <f>T15*(1-0.1189)^12</f>
        <v>4669.6013993451061</v>
      </c>
      <c r="J27" s="3"/>
      <c r="K27" s="3"/>
      <c r="L27" s="3"/>
      <c r="M27" s="3"/>
      <c r="N27" s="3"/>
    </row>
    <row r="28" spans="1:21" x14ac:dyDescent="0.3">
      <c r="A28" s="91" t="s">
        <v>214</v>
      </c>
      <c r="B28" s="115">
        <f>B26+B27</f>
        <v>8490.0509993451051</v>
      </c>
    </row>
    <row r="29" spans="1:21" x14ac:dyDescent="0.3">
      <c r="A29" s="91" t="s">
        <v>213</v>
      </c>
      <c r="B29" s="90">
        <f>'Three Statements'!I33+'Three Statements'!I34+'Three Statements'!I36</f>
        <v>9430</v>
      </c>
    </row>
    <row r="30" spans="1:21" x14ac:dyDescent="0.3">
      <c r="A30" s="91" t="s">
        <v>212</v>
      </c>
      <c r="B30" s="116">
        <f>I3*'Three Statements'!I15</f>
        <v>241338.11</v>
      </c>
    </row>
    <row r="31" spans="1:21" ht="15" thickBot="1" x14ac:dyDescent="0.35">
      <c r="A31" s="89" t="s">
        <v>211</v>
      </c>
      <c r="B31" s="117">
        <f>(I4-B29)/'Three Statements'!I15</f>
        <v>144.49597094611372</v>
      </c>
    </row>
  </sheetData>
  <hyperlinks>
    <hyperlink ref="U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2024-01-26T19:26:16Z</dcterms:modified>
</cp:coreProperties>
</file>