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15\"/>
    </mc:Choice>
  </mc:AlternateContent>
  <xr:revisionPtr revIDLastSave="0" documentId="13_ncr:1_{EC6ED219-5AE1-4389-8A15-FAE64A17998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  <c r="J24" i="5"/>
  <c r="K24" i="5"/>
  <c r="L24" i="5"/>
  <c r="M24" i="5"/>
  <c r="N24" i="5"/>
  <c r="O24" i="5"/>
  <c r="P24" i="5"/>
  <c r="Q24" i="5"/>
  <c r="R24" i="5"/>
  <c r="S24" i="5"/>
  <c r="T24" i="5"/>
  <c r="B27" i="5" s="1"/>
  <c r="O23" i="5"/>
  <c r="P23" i="5"/>
  <c r="Q23" i="5"/>
  <c r="R23" i="5"/>
  <c r="S23" i="5"/>
  <c r="T23" i="5"/>
  <c r="C23" i="5"/>
  <c r="D23" i="5"/>
  <c r="E23" i="5"/>
  <c r="F23" i="5"/>
  <c r="G23" i="5"/>
  <c r="H23" i="5"/>
  <c r="I23" i="5"/>
  <c r="J23" i="5"/>
  <c r="K23" i="5"/>
  <c r="L23" i="5"/>
  <c r="M23" i="5"/>
  <c r="N23" i="5"/>
  <c r="B23" i="5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10" i="5"/>
  <c r="D10" i="5"/>
  <c r="E10" i="5"/>
  <c r="F10" i="5"/>
  <c r="G10" i="5"/>
  <c r="H10" i="5"/>
  <c r="I10" i="5"/>
  <c r="J10" i="5"/>
  <c r="K10" i="5"/>
  <c r="L10" i="5"/>
  <c r="M10" i="5"/>
  <c r="N10" i="5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B26" i="5" l="1"/>
  <c r="B31" i="5"/>
  <c r="B30" i="5"/>
  <c r="B29" i="5" l="1"/>
  <c r="T4" i="5"/>
  <c r="P4" i="5"/>
  <c r="R4" i="5" s="1"/>
  <c r="Q4" i="5"/>
  <c r="O4" i="5"/>
  <c r="T3" i="5"/>
  <c r="O3" i="5"/>
  <c r="Q3" i="5" s="1"/>
  <c r="P3" i="5"/>
  <c r="K19" i="5"/>
  <c r="K17" i="5" s="1"/>
  <c r="K20" i="5"/>
  <c r="L20" i="5"/>
  <c r="J20" i="5"/>
  <c r="J15" i="5"/>
  <c r="K15" i="5"/>
  <c r="L15" i="5"/>
  <c r="M15" i="5"/>
  <c r="N15" i="5"/>
  <c r="O15" i="5" s="1"/>
  <c r="C5" i="5"/>
  <c r="D5" i="5"/>
  <c r="E5" i="5"/>
  <c r="F5" i="5"/>
  <c r="G5" i="5"/>
  <c r="H5" i="5"/>
  <c r="I5" i="5"/>
  <c r="J11" i="5"/>
  <c r="K11" i="5"/>
  <c r="L11" i="5"/>
  <c r="M11" i="5"/>
  <c r="N11" i="5"/>
  <c r="C6" i="5"/>
  <c r="D6" i="5"/>
  <c r="E6" i="5"/>
  <c r="F6" i="5"/>
  <c r="G6" i="5"/>
  <c r="H6" i="5"/>
  <c r="I6" i="5"/>
  <c r="I7" i="5"/>
  <c r="B6" i="5"/>
  <c r="C19" i="5"/>
  <c r="D19" i="5"/>
  <c r="D17" i="5" s="1"/>
  <c r="E19" i="5"/>
  <c r="F19" i="5"/>
  <c r="G19" i="5"/>
  <c r="H19" i="5"/>
  <c r="I19" i="5"/>
  <c r="B19" i="5"/>
  <c r="B17" i="5" s="1"/>
  <c r="O22" i="5"/>
  <c r="C15" i="5"/>
  <c r="D15" i="5"/>
  <c r="D16" i="5" s="1"/>
  <c r="E15" i="5"/>
  <c r="F15" i="5"/>
  <c r="G15" i="5"/>
  <c r="H15" i="5"/>
  <c r="I15" i="5"/>
  <c r="I16" i="5" s="1"/>
  <c r="B15" i="5"/>
  <c r="C11" i="5"/>
  <c r="D11" i="5"/>
  <c r="E11" i="5"/>
  <c r="F11" i="5"/>
  <c r="G11" i="5"/>
  <c r="H11" i="5"/>
  <c r="I11" i="5"/>
  <c r="B11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I8" i="5" s="1"/>
  <c r="B4" i="5"/>
  <c r="B8" i="5" s="1"/>
  <c r="C17" i="5"/>
  <c r="F17" i="5"/>
  <c r="G17" i="5"/>
  <c r="H17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P22" i="5" l="1"/>
  <c r="Q22" i="5" s="1"/>
  <c r="R22" i="5" s="1"/>
  <c r="S4" i="5"/>
  <c r="S3" i="5"/>
  <c r="R3" i="5"/>
  <c r="N16" i="5"/>
  <c r="O11" i="5"/>
  <c r="D8" i="5"/>
  <c r="I17" i="5"/>
  <c r="J19" i="5"/>
  <c r="J17" i="5" s="1"/>
  <c r="O9" i="5"/>
  <c r="E17" i="5"/>
  <c r="F16" i="5"/>
  <c r="O10" i="5"/>
  <c r="S22" i="5"/>
  <c r="T22" i="5" s="1"/>
  <c r="M19" i="5"/>
  <c r="M17" i="5" s="1"/>
  <c r="L19" i="5"/>
  <c r="L17" i="5" s="1"/>
  <c r="M16" i="5"/>
  <c r="P15" i="5"/>
  <c r="L16" i="5"/>
  <c r="J3" i="5"/>
  <c r="K16" i="5"/>
  <c r="E7" i="5"/>
  <c r="J16" i="5"/>
  <c r="G16" i="5"/>
  <c r="E16" i="5"/>
  <c r="M20" i="5"/>
  <c r="O20" i="5" s="1"/>
  <c r="N20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Q20" i="5" l="1"/>
  <c r="R20" i="5"/>
  <c r="P20" i="5"/>
  <c r="P9" i="5"/>
  <c r="P10" i="5"/>
  <c r="Q10" i="5" s="1"/>
  <c r="P11" i="5"/>
  <c r="Q11" i="5" s="1"/>
  <c r="B28" i="5"/>
  <c r="N19" i="5"/>
  <c r="N17" i="5" s="1"/>
  <c r="J4" i="5"/>
  <c r="J5" i="5"/>
  <c r="J6" i="5"/>
  <c r="K3" i="5"/>
  <c r="Q15" i="5"/>
  <c r="R15" i="5" s="1"/>
  <c r="S15" i="5" s="1"/>
  <c r="T15" i="5" s="1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R10" i="5" l="1"/>
  <c r="S10" i="5" s="1"/>
  <c r="O19" i="5"/>
  <c r="O17" i="5" s="1"/>
  <c r="Q19" i="5"/>
  <c r="P19" i="5"/>
  <c r="P17" i="5" s="1"/>
  <c r="T10" i="5"/>
  <c r="R11" i="5"/>
  <c r="S11" i="5" s="1"/>
  <c r="T11" i="5"/>
  <c r="Q9" i="5"/>
  <c r="S20" i="5"/>
  <c r="J8" i="5"/>
  <c r="J7" i="5"/>
  <c r="K4" i="5"/>
  <c r="K5" i="5"/>
  <c r="K6" i="5"/>
  <c r="L3" i="5"/>
  <c r="M3" i="5" s="1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Q17" i="5" l="1"/>
  <c r="T20" i="5"/>
  <c r="R9" i="5"/>
  <c r="M6" i="5"/>
  <c r="M4" i="5"/>
  <c r="M5" i="5"/>
  <c r="L6" i="5"/>
  <c r="L4" i="5"/>
  <c r="L5" i="5"/>
  <c r="N3" i="5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R19" i="5" l="1"/>
  <c r="S9" i="5"/>
  <c r="R17" i="5"/>
  <c r="L8" i="5"/>
  <c r="L7" i="5"/>
  <c r="N5" i="5"/>
  <c r="N6" i="5"/>
  <c r="N4" i="5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T19" i="5" l="1"/>
  <c r="S19" i="5"/>
  <c r="S17" i="5" s="1"/>
  <c r="T9" i="5"/>
  <c r="T17" i="5" s="1"/>
  <c r="O5" i="5"/>
  <c r="P5" i="5" s="1"/>
  <c r="O6" i="5"/>
  <c r="N8" i="5"/>
  <c r="N7" i="5"/>
  <c r="O7" i="5" s="1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P6" i="5" l="1"/>
  <c r="Q6" i="5" s="1"/>
  <c r="R6" i="5" s="1"/>
  <c r="S6" i="5" s="1"/>
  <c r="T6" i="5" s="1"/>
  <c r="O8" i="5"/>
  <c r="P8" i="5" s="1"/>
  <c r="Q8" i="5" s="1"/>
  <c r="P7" i="5"/>
  <c r="Q7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R8" i="5" l="1"/>
  <c r="S8" i="5" s="1"/>
  <c r="T8" i="5" s="1"/>
  <c r="T5" i="5"/>
  <c r="R7" i="5"/>
  <c r="S7" i="5" s="1"/>
  <c r="T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54" i="4" l="1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<sst xmlns="http://schemas.openxmlformats.org/spreadsheetml/2006/main" count="560" uniqueCount="253">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</sst>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6" borderId="0" xfId="0" applyFill="1"/>
    <xf numFmtId="0" fontId="6" fillId="17" borderId="0" xfId="0" applyFont="1" applyFill="1" applyAlignment="1">
      <alignment horizontal="right" wrapText="1"/>
    </xf>
    <xf numFmtId="0" fontId="6" fillId="17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10" fontId="29" fillId="15" borderId="0" xfId="0" applyNumberFormat="1" applyFont="1" applyFill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0" applyNumberFormat="1"/>
    <xf numFmtId="165" fontId="0" fillId="0" borderId="7" xfId="0" applyNumberFormat="1" applyBorder="1"/>
    <xf numFmtId="43" fontId="0" fillId="0" borderId="5" xfId="0" applyNumberFormat="1" applyBorder="1"/>
    <xf numFmtId="43" fontId="0" fillId="0" borderId="0" xfId="0" applyNumberFormat="1"/>
    <xf numFmtId="41" fontId="0" fillId="0" borderId="9" xfId="0" applyNumberFormat="1" applyBorder="1"/>
    <xf numFmtId="41" fontId="0" fillId="0" borderId="7" xfId="0" applyNumberFormat="1" applyBorder="1"/>
    <xf numFmtId="165" fontId="0" fillId="18" borderId="0" xfId="0" applyNumberFormat="1" applyFill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4940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5321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8615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0274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1780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2829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4277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sqref="A1: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110" t="s">
        <v>252</v>
      </c>
    </row>
    <row r="3" spans="1:1" x14ac:dyDescent="0.3">
      <c r="A3" s="111"/>
    </row>
    <row r="4" spans="1:1" ht="23.4" x14ac:dyDescent="0.45">
      <c r="A4" s="18" t="s">
        <v>245</v>
      </c>
    </row>
    <row r="5" spans="1:1" x14ac:dyDescent="0.3">
      <c r="A5" s="108" t="s">
        <v>247</v>
      </c>
    </row>
    <row r="6" spans="1:1" x14ac:dyDescent="0.3">
      <c r="A6" s="108" t="s">
        <v>248</v>
      </c>
    </row>
    <row r="7" spans="1:1" x14ac:dyDescent="0.3">
      <c r="A7" s="109" t="s">
        <v>249</v>
      </c>
    </row>
    <row r="8" spans="1:1" x14ac:dyDescent="0.3">
      <c r="A8" s="108" t="s">
        <v>250</v>
      </c>
    </row>
    <row r="9" spans="1:1" x14ac:dyDescent="0.3">
      <c r="A9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7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U3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42.6640625" customWidth="1"/>
    <col min="2" max="2" width="13" customWidth="1"/>
    <col min="3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11.109375" customWidth="1"/>
    <col min="17" max="19" width="10.33203125" bestFit="1" customWidth="1"/>
    <col min="20" max="20" width="12.77734375" bestFit="1" customWidth="1"/>
    <col min="21" max="21" width="42.6640625" customWidth="1"/>
  </cols>
  <sheetData>
    <row r="1" spans="1:21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04" t="s">
        <v>245</v>
      </c>
    </row>
    <row r="2" spans="1:21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4"/>
    </row>
    <row r="3" spans="1:21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</row>
    <row r="4" spans="1:21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</row>
    <row r="5" spans="1:21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</row>
    <row r="6" spans="1:21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</row>
    <row r="7" spans="1:21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</row>
    <row r="8" spans="1:21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</row>
    <row r="9" spans="1:21" x14ac:dyDescent="0.3">
      <c r="A9" t="s">
        <v>236</v>
      </c>
      <c r="B9" s="99">
        <f>('Three Statements'!B36+'Three Statements'!B33+'Three Statements'!B34)/'Three Statements'!B15</f>
        <v>0.71234735413839889</v>
      </c>
      <c r="C9" s="99">
        <f>('Three Statements'!C36+'Three Statements'!C33+'Three Statements'!C34)/'Three Statements'!C15</f>
        <v>1.1695839311334291</v>
      </c>
      <c r="D9" s="99">
        <f>('Three Statements'!D36+'Three Statements'!D33+'Three Statements'!D34)/'Three Statements'!D15</f>
        <v>2.2470449172576834</v>
      </c>
      <c r="E9" s="99">
        <f>('Three Statements'!E36+'Three Statements'!E33+'Three Statements'!E34)/'Three Statements'!E15</f>
        <v>2.2964257730094633</v>
      </c>
      <c r="F9" s="99">
        <f>('Three Statements'!F36+'Three Statements'!F33+'Three Statements'!F34)/'Three Statements'!F15</f>
        <v>2.1496539792387543</v>
      </c>
      <c r="G9" s="99">
        <f>('Three Statements'!G36+'Three Statements'!G33+'Three Statements'!G34)/'Three Statements'!G15</f>
        <v>6.0674792661472736</v>
      </c>
      <c r="H9" s="99">
        <f>('Three Statements'!H36+'Three Statements'!H33+'Three Statements'!H34)/'Three Statements'!H15</f>
        <v>5.8500062134957123</v>
      </c>
      <c r="I9" s="99">
        <f>('Three Statements'!I36+'Three Statements'!I33+'Three Statements'!I34)/'Three Statements'!I15</f>
        <v>5.8542339210330274</v>
      </c>
      <c r="J9" s="99">
        <f>('Three Statements'!J36+'Three Statements'!J33+'Three Statements'!J34)/'Three Statements'!J15</f>
        <v>5.146053713495724</v>
      </c>
      <c r="K9" s="99">
        <f>('Three Statements'!K36+'Three Statements'!K33+'Three Statements'!K34)/'Three Statements'!K15</f>
        <v>5.6648681279062654</v>
      </c>
      <c r="L9" s="99">
        <f>('Three Statements'!L36+'Three Statements'!L33+'Three Statements'!L34)/'Three Statements'!L15</f>
        <v>4.3882216195069592</v>
      </c>
      <c r="M9" s="99">
        <f>('Three Statements'!M36+'Three Statements'!M33+'Three Statements'!M34)/'Three Statements'!M15</f>
        <v>5.4757900071868368</v>
      </c>
      <c r="N9" s="99">
        <f>('Three Statements'!N36+'Three Statements'!N33+'Three Statements'!N34)/'Three Statements'!N15</f>
        <v>3.0950560237058671</v>
      </c>
      <c r="O9" s="112">
        <f>_xlfn.FORECAST.LINEAR(O1,B9:N9,B1:N1)</f>
        <v>6.1734769265103751</v>
      </c>
      <c r="P9" s="112">
        <f t="shared" ref="P9:S9" si="12">_xlfn.FORECAST.LINEAR(P1,C9:O9,C1:O1)</f>
        <v>6.2824302855688074</v>
      </c>
      <c r="Q9" s="112">
        <f t="shared" si="12"/>
        <v>6.3027944209761699</v>
      </c>
      <c r="R9" s="112">
        <f t="shared" si="12"/>
        <v>6.3399805432851508</v>
      </c>
      <c r="S9" s="112">
        <f t="shared" si="12"/>
        <v>6.2421145022677251</v>
      </c>
      <c r="T9" s="112">
        <f>_xlfn.FORECAST.LINEAR(2033,G9:S9,G1:S1)</f>
        <v>5.9303891509707967</v>
      </c>
    </row>
    <row r="10" spans="1:21" x14ac:dyDescent="0.3">
      <c r="A10" t="s">
        <v>235</v>
      </c>
      <c r="B10" s="99">
        <f>'Three Statements'!B36/('Three Statements'!B36+'Three Statements'!B40+'Three Statements'!B41+'Three Statements'!B42)</f>
        <v>7.826780792107936E-2</v>
      </c>
      <c r="C10" s="99">
        <f>'Three Statements'!C36/('Three Statements'!C36+'Three Statements'!C40+'Three Statements'!C41+'Three Statements'!C42)</f>
        <v>0.13984983509929128</v>
      </c>
      <c r="D10" s="99">
        <f>'Three Statements'!D36/('Three Statements'!D36+'Three Statements'!D40+'Three Statements'!D41+'Three Statements'!D42)</f>
        <v>0.21860435823151531</v>
      </c>
      <c r="E10" s="99">
        <f>'Three Statements'!E36/('Three Statements'!E36+'Three Statements'!E40+'Three Statements'!E41+'Three Statements'!E42)</f>
        <v>0.261144578313253</v>
      </c>
      <c r="F10" s="99">
        <f>'Three Statements'!F36/('Three Statements'!F36+'Three Statements'!F40+'Three Statements'!F41+'Three Statements'!F42)</f>
        <v>0.27703134996801021</v>
      </c>
      <c r="G10" s="99">
        <f>'Three Statements'!G36/('Three Statements'!G36+'Three Statements'!G40+'Three Statements'!G41+'Three Statements'!G42)</f>
        <v>0.53868621499341385</v>
      </c>
      <c r="H10" s="99">
        <f>'Three Statements'!H36/('Three Statements'!H36+'Three Statements'!H40+'Three Statements'!H41+'Three Statements'!H42)</f>
        <v>0.42439134355275021</v>
      </c>
      <c r="I10" s="99">
        <f>'Three Statements'!I36/('Three Statements'!I36+'Three Statements'!I40+'Three Statements'!I41+'Three Statements'!I42)</f>
        <v>0.36857981075162183</v>
      </c>
      <c r="J10" s="99">
        <f>'Three Statements'!J36/('Three Statements'!J36+'Three Statements'!J40+'Three Statements'!J41+'Three Statements'!J42)</f>
        <v>0.33072483752313647</v>
      </c>
      <c r="K10" s="99">
        <f>'Three Statements'!K36/('Three Statements'!K36+'Three Statements'!K40+'Three Statements'!K41+'Three Statements'!K42)</f>
        <v>0.30341187402713116</v>
      </c>
      <c r="L10" s="99">
        <f>'Three Statements'!L36/('Three Statements'!L36+'Three Statements'!L40+'Three Statements'!L41+'Three Statements'!L42)</f>
        <v>0.25013952983727378</v>
      </c>
      <c r="M10" s="99">
        <f>'Three Statements'!M36/('Three Statements'!M36+'Three Statements'!M40+'Three Statements'!M41+'Three Statements'!M42)</f>
        <v>0.22316617468839464</v>
      </c>
      <c r="N10" s="99">
        <f>'Three Statements'!N36/('Three Statements'!N36+'Three Statements'!N40+'Three Statements'!N41+'Three Statements'!N42)</f>
        <v>0.15239060093521742</v>
      </c>
      <c r="O10" s="112">
        <f>_xlfn.FORECAST.LINEAR(O1,B10:N10,B1:N1)</f>
        <v>0.31478147046721894</v>
      </c>
      <c r="P10" s="112">
        <f t="shared" ref="P10:S10" si="13">_xlfn.FORECAST.LINEAR(P1,C10:O10,C1:O1)</f>
        <v>0.2895200276787967</v>
      </c>
      <c r="Q10" s="112">
        <f t="shared" si="13"/>
        <v>0.25923185146874239</v>
      </c>
      <c r="R10" s="112">
        <f t="shared" si="13"/>
        <v>0.22901279115873407</v>
      </c>
      <c r="S10" s="112">
        <f t="shared" si="13"/>
        <v>0.1961137741060881</v>
      </c>
      <c r="T10" s="112">
        <f>_xlfn.FORECAST.LINEAR(2033,G10:S10,G1:S1)</f>
        <v>0.15738296893832882</v>
      </c>
    </row>
    <row r="11" spans="1:21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2">
        <f>_xlfn.FORECAST.LINEAR(O1,B11:N11,B1:N1)</f>
        <v>0.4290060312370052</v>
      </c>
      <c r="P11" s="112">
        <f t="shared" ref="P11:S11" si="14">_xlfn.FORECAST.LINEAR(P1,C11:O11,C1:O1)</f>
        <v>0.43176379662313735</v>
      </c>
      <c r="Q11" s="112">
        <f t="shared" si="14"/>
        <v>0.4382311817647313</v>
      </c>
      <c r="R11" s="112">
        <f t="shared" si="14"/>
        <v>0.44861142390028519</v>
      </c>
      <c r="S11" s="112">
        <f t="shared" si="14"/>
        <v>0.43064008301578838</v>
      </c>
      <c r="T11" s="112">
        <f>_xlfn.FORECAST.LINEAR(2033,G11:S11,G1:S1)</f>
        <v>0.44528537200269369</v>
      </c>
    </row>
    <row r="15" spans="1:21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13608.564001676285</v>
      </c>
      <c r="Q15" s="81">
        <f t="shared" si="15"/>
        <v>15226.622261475595</v>
      </c>
      <c r="R15" s="81">
        <f t="shared" si="15"/>
        <v>17037.067648365042</v>
      </c>
      <c r="S15" s="81">
        <f t="shared" si="15"/>
        <v>19062.774991755647</v>
      </c>
      <c r="T15" s="81">
        <f t="shared" si="15"/>
        <v>21329.338938275392</v>
      </c>
      <c r="U15" t="s">
        <v>232</v>
      </c>
    </row>
    <row r="16" spans="1:21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07">
        <v>0.11890000000000001</v>
      </c>
      <c r="P16" s="107">
        <v>0.11890000000000001</v>
      </c>
      <c r="Q16" s="107">
        <v>0.11890000000000001</v>
      </c>
      <c r="R16" s="107">
        <v>0.11890000000000001</v>
      </c>
      <c r="S16" s="107">
        <v>0.11890000000000001</v>
      </c>
      <c r="T16" s="107">
        <v>0.11890000000000001</v>
      </c>
      <c r="U16" s="97"/>
    </row>
    <row r="17" spans="1:21" x14ac:dyDescent="0.3">
      <c r="A17" t="s">
        <v>231</v>
      </c>
      <c r="B17" s="47">
        <f>(B9*B19)+((B10*B22)*(1-'Three Statements'!B13))</f>
        <v>3.5047608890243123E-2</v>
      </c>
      <c r="C17" s="47">
        <f>(C9*C19)+((C10*C22)*(1-'Three Statements'!C13))</f>
        <v>7.215763313982522E-2</v>
      </c>
      <c r="D17" s="47">
        <f>(D9*D19)+((D10*D22)*(1-'Three Statements'!D13))</f>
        <v>0.11561274481329818</v>
      </c>
      <c r="E17" s="47">
        <f>(E9*E19)+((E10*E22)*(1-'Three Statements'!E13))</f>
        <v>6.5244752454924976E-2</v>
      </c>
      <c r="F17" s="47">
        <f>(F9*F19)+((F10*F22)*(1-'Three Statements'!F13))</f>
        <v>0.12311548426958016</v>
      </c>
      <c r="G17" s="47">
        <f>(G9*G19)+((G10*G22)*(1-'Three Statements'!G13))</f>
        <v>0.98987533916210346</v>
      </c>
      <c r="H17" s="47">
        <f>(H9*H19)+((H10*H22)*(1-'Three Statements'!H13))</f>
        <v>1.0688862281562537</v>
      </c>
      <c r="I17" s="47">
        <f>(I9*I19)+((I10*I22)*(1-'Three Statements'!I13))</f>
        <v>0.24909663925565628</v>
      </c>
      <c r="J17" s="47">
        <f>(J9*J19)+((J10*J22)*(1-'Three Statements'!J13))</f>
        <v>0.41226722424058915</v>
      </c>
      <c r="K17" s="47">
        <f>(K9*K19)+((K10*K22)*(1-'Three Statements'!K13))</f>
        <v>0.47851969027291291</v>
      </c>
      <c r="L17" s="47">
        <f>(L9*L19)+((L10*L22)*(1-'Three Statements'!L13))</f>
        <v>0.38780629708786596</v>
      </c>
      <c r="M17" s="47">
        <f>(M9*M19)+((M10*M22)*(1-'Three Statements'!M13))</f>
        <v>0.50614311919464472</v>
      </c>
      <c r="N17" s="47">
        <f>(N9*N19)+((N10*N22)*(1-'Three Statements'!N13))</f>
        <v>0.32140156398842168</v>
      </c>
      <c r="O17" s="47">
        <f>(O9*O19)+((O10*O22)*(1-0.13))</f>
        <v>0.64118499608577384</v>
      </c>
      <c r="P17" s="47">
        <f t="shared" ref="P17:T17" si="22">(P9*P19)+((P10*P22)*(1-0.13))</f>
        <v>0.60421641532739934</v>
      </c>
      <c r="Q17" s="47">
        <f t="shared" si="22"/>
        <v>0.53737382117242272</v>
      </c>
      <c r="R17" s="47">
        <f t="shared" si="22"/>
        <v>0.57327567661479018</v>
      </c>
      <c r="S17" s="47">
        <f t="shared" si="22"/>
        <v>0.57193530045294683</v>
      </c>
      <c r="T17" s="47">
        <f t="shared" si="22"/>
        <v>0.54846943967160422</v>
      </c>
      <c r="U17" t="s">
        <v>230</v>
      </c>
    </row>
    <row r="18" spans="1:21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 s="2" t="s">
        <v>228</v>
      </c>
    </row>
    <row r="19" spans="1:21" x14ac:dyDescent="0.3">
      <c r="A19" s="2" t="s">
        <v>227</v>
      </c>
      <c r="B19" s="93">
        <f>B20+B18*(B21-B20)</f>
        <v>4.6980908366533791E-2</v>
      </c>
      <c r="C19" s="93">
        <f t="shared" ref="C19:I19" si="23">C20+C18*(C21-C20)</f>
        <v>6.0767999999999822E-2</v>
      </c>
      <c r="D19" s="93">
        <f t="shared" si="23"/>
        <v>5.0015999999999838E-2</v>
      </c>
      <c r="E19" s="93">
        <f t="shared" si="23"/>
        <v>2.7620048192770974E-2</v>
      </c>
      <c r="F19" s="93">
        <f t="shared" si="23"/>
        <v>5.5742399999999859E-2</v>
      </c>
      <c r="G19" s="93">
        <f t="shared" si="23"/>
        <v>0.16240560956175301</v>
      </c>
      <c r="H19" s="93">
        <f t="shared" si="23"/>
        <v>0.18097931474103585</v>
      </c>
      <c r="I19" s="93">
        <f t="shared" si="23"/>
        <v>4.1234506024096174E-2</v>
      </c>
      <c r="J19" s="93">
        <f t="shared" ref="J19" si="24">J20+J18*(J21-J20)</f>
        <v>7.8218348360773682E-2</v>
      </c>
      <c r="K19" s="93">
        <f t="shared" ref="K19" si="25">K20+K18*(K21-K20)</f>
        <v>8.212302836005364E-2</v>
      </c>
      <c r="L19" s="93">
        <f t="shared" ref="L19" si="26">L20+L18*(L21-L20)</f>
        <v>8.4792406905060402E-2</v>
      </c>
      <c r="M19" s="93">
        <f t="shared" ref="M19" si="27">M20+M18*(M21-M20)</f>
        <v>8.9139457768192931E-2</v>
      </c>
      <c r="N19" s="93">
        <f t="shared" ref="N19" si="28">N20+N18*(N21-N20)</f>
        <v>9.6829383965120752E-2</v>
      </c>
      <c r="O19" s="93">
        <f t="shared" ref="O19" si="29">O20+O18*(O21-O20)</f>
        <v>0.10196525696076084</v>
      </c>
      <c r="P19" s="93">
        <f t="shared" ref="P19" si="30">P20+P18*(P21-P20)</f>
        <v>9.4410212885636779E-2</v>
      </c>
      <c r="Q19" s="93">
        <f t="shared" ref="Q19" si="31">Q20+Q18*(Q21-Q20)</f>
        <v>8.3589075153711889E-2</v>
      </c>
      <c r="R19" s="93">
        <f t="shared" ref="R19" si="32">R20+R18*(R21-R20)</f>
        <v>8.888339629491393E-2</v>
      </c>
      <c r="S19" s="93">
        <f t="shared" ref="S19" si="33">S20+S18*(S21-S20)</f>
        <v>9.0216527286681447E-2</v>
      </c>
      <c r="T19" s="93">
        <f t="shared" ref="T19" si="34">T20+T18*(T21-T20)</f>
        <v>9.1228214652509909E-2</v>
      </c>
      <c r="U19" s="2" t="s">
        <v>226</v>
      </c>
    </row>
    <row r="20" spans="1:21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" si="36">AVERAGE(G20:N20)</f>
        <v>0.34868952532699277</v>
      </c>
      <c r="P20" s="93">
        <f t="shared" ref="P20" si="37">AVERAGE(H20:O20)</f>
        <v>0.41164822595302619</v>
      </c>
      <c r="Q20" s="93">
        <f t="shared" ref="Q20" si="38">AVERAGE(I20:P20)</f>
        <v>0.50182437371906685</v>
      </c>
      <c r="R20" s="93">
        <f t="shared" ref="R20" si="39">AVERAGE(J20:Q20)</f>
        <v>0.45770503087571718</v>
      </c>
      <c r="S20" s="93">
        <f t="shared" ref="S20" si="40">AVERAGE(K20:R20)</f>
        <v>0.44659560594432118</v>
      </c>
      <c r="T20" s="93">
        <f t="shared" ref="T20" si="41">AVERAGE(L20:S20)</f>
        <v>0.4381648778957507</v>
      </c>
      <c r="U20" s="94" t="s">
        <v>224</v>
      </c>
    </row>
    <row r="21" spans="1:21" x14ac:dyDescent="0.3">
      <c r="A21" s="2" t="s">
        <v>223</v>
      </c>
      <c r="B21" s="93">
        <v>0.12839999999999999</v>
      </c>
      <c r="C21" s="93">
        <v>0.12839999999999999</v>
      </c>
      <c r="D21" s="93">
        <v>0.12839999999999999</v>
      </c>
      <c r="E21" s="93">
        <v>0.12839999999999999</v>
      </c>
      <c r="F21" s="93">
        <v>0.12839999999999999</v>
      </c>
      <c r="G21" s="93">
        <v>0.12839999999999999</v>
      </c>
      <c r="H21" s="93">
        <v>0.12839999999999999</v>
      </c>
      <c r="I21" s="93">
        <v>0.12839999999999999</v>
      </c>
      <c r="J21" s="93">
        <v>0.12839999999999999</v>
      </c>
      <c r="K21" s="93">
        <v>0.12839999999999999</v>
      </c>
      <c r="L21" s="93">
        <v>0.12839999999999999</v>
      </c>
      <c r="M21" s="93">
        <v>0.12839999999999999</v>
      </c>
      <c r="N21" s="93">
        <v>0.12839999999999999</v>
      </c>
      <c r="O21" s="93">
        <v>0.12839999999999999</v>
      </c>
      <c r="P21" s="93">
        <v>0.12839999999999999</v>
      </c>
      <c r="Q21" s="93">
        <v>0.12839999999999999</v>
      </c>
      <c r="R21" s="93">
        <v>0.12839999999999999</v>
      </c>
      <c r="S21" s="93">
        <v>0.12839999999999999</v>
      </c>
      <c r="T21" s="93">
        <v>0.12839999999999999</v>
      </c>
      <c r="U21" s="2" t="s">
        <v>222</v>
      </c>
    </row>
    <row r="22" spans="1:21" x14ac:dyDescent="0.3">
      <c r="A22" s="2" t="s">
        <v>221</v>
      </c>
      <c r="B22" s="93">
        <f>'Three Statements'!B10/'Three Statements'!B36</f>
        <v>2.5949953660797033E-2</v>
      </c>
      <c r="C22" s="93">
        <f>'Three Statements'!C10/'Three Statements'!C36</f>
        <v>9.5333667837431014E-3</v>
      </c>
      <c r="D22" s="93">
        <f>'Three Statements'!D10/'Three Statements'!D36</f>
        <v>1.6997983290118122E-2</v>
      </c>
      <c r="E22" s="93">
        <f>'Three Statements'!E10/'Three Statements'!E36</f>
        <v>1.5570934256055362E-2</v>
      </c>
      <c r="F22" s="93">
        <f>'Three Statements'!F10/'Three Statements'!F36</f>
        <v>1.4145496535796767E-2</v>
      </c>
      <c r="G22" s="93">
        <f>'Three Statements'!G10/'Three Statements'!G36</f>
        <v>9.4620455028705079E-3</v>
      </c>
      <c r="H22" s="93">
        <f>'Three Statements'!H10/'Three Statements'!H36</f>
        <v>2.7833846807606501E-2</v>
      </c>
      <c r="I22" s="93">
        <f>'Three Statements'!I10/'Three Statements'!I36</f>
        <v>2.2982062780269059E-2</v>
      </c>
      <c r="J22" s="93">
        <f>'Three Statements'!J10/'Three Statements'!J36</f>
        <v>3.389073634204276E-2</v>
      </c>
      <c r="K22" s="93">
        <f>'Three Statements'!K10/'Three Statements'!K36</f>
        <v>5.0398335014513872E-2</v>
      </c>
      <c r="L22" s="93">
        <f>'Three Statements'!L10/'Three Statements'!L36</f>
        <v>7.22283037886262E-2</v>
      </c>
      <c r="M22" s="93">
        <f>'Three Statements'!M10/'Three Statements'!M36</f>
        <v>9.2885616432871826E-2</v>
      </c>
      <c r="N22" s="93">
        <f>'Three Statements'!N10/'Three Statements'!N36</f>
        <v>0.16374434219875156</v>
      </c>
      <c r="O22" s="93">
        <f>AVERAGE(B22:N22)</f>
        <v>4.2740232568774052E-2</v>
      </c>
      <c r="P22" s="93">
        <f t="shared" ref="P22:T22" si="42">AVERAGE(C22:O22)</f>
        <v>4.4031792484772285E-2</v>
      </c>
      <c r="Q22" s="93">
        <f t="shared" si="42"/>
        <v>4.6685517538697603E-2</v>
      </c>
      <c r="R22" s="93">
        <f t="shared" si="42"/>
        <v>4.8969174019357568E-2</v>
      </c>
      <c r="S22" s="93">
        <f t="shared" si="42"/>
        <v>5.1538269385765431E-2</v>
      </c>
      <c r="T22" s="93">
        <f t="shared" si="42"/>
        <v>5.4414636528070708E-2</v>
      </c>
      <c r="U22" t="s">
        <v>219</v>
      </c>
    </row>
    <row r="23" spans="1:21" x14ac:dyDescent="0.3">
      <c r="A23" s="2" t="s">
        <v>220</v>
      </c>
      <c r="B23" s="93">
        <f>B10</f>
        <v>7.826780792107936E-2</v>
      </c>
      <c r="C23" s="93">
        <f t="shared" ref="C23:T23" si="43">C10</f>
        <v>0.13984983509929128</v>
      </c>
      <c r="D23" s="93">
        <f t="shared" si="43"/>
        <v>0.21860435823151531</v>
      </c>
      <c r="E23" s="93">
        <f t="shared" si="43"/>
        <v>0.261144578313253</v>
      </c>
      <c r="F23" s="93">
        <f t="shared" si="43"/>
        <v>0.27703134996801021</v>
      </c>
      <c r="G23" s="93">
        <f t="shared" si="43"/>
        <v>0.53868621499341385</v>
      </c>
      <c r="H23" s="93">
        <f t="shared" si="43"/>
        <v>0.42439134355275021</v>
      </c>
      <c r="I23" s="93">
        <f t="shared" si="43"/>
        <v>0.36857981075162183</v>
      </c>
      <c r="J23" s="93">
        <f t="shared" si="43"/>
        <v>0.33072483752313647</v>
      </c>
      <c r="K23" s="93">
        <f t="shared" si="43"/>
        <v>0.30341187402713116</v>
      </c>
      <c r="L23" s="93">
        <f t="shared" si="43"/>
        <v>0.25013952983727378</v>
      </c>
      <c r="M23" s="93">
        <f t="shared" si="43"/>
        <v>0.22316617468839464</v>
      </c>
      <c r="N23" s="93">
        <f t="shared" si="43"/>
        <v>0.15239060093521742</v>
      </c>
      <c r="O23" s="93">
        <f t="shared" si="43"/>
        <v>0.31478147046721894</v>
      </c>
      <c r="P23" s="93">
        <f t="shared" si="43"/>
        <v>0.2895200276787967</v>
      </c>
      <c r="Q23" s="93">
        <f t="shared" si="43"/>
        <v>0.25923185146874239</v>
      </c>
      <c r="R23" s="93">
        <f t="shared" si="43"/>
        <v>0.22901279115873407</v>
      </c>
      <c r="S23" s="93">
        <f t="shared" si="43"/>
        <v>0.1961137741060881</v>
      </c>
      <c r="T23" s="93">
        <f t="shared" si="43"/>
        <v>0.15738296893832882</v>
      </c>
      <c r="U23" t="s">
        <v>219</v>
      </c>
    </row>
    <row r="24" spans="1:21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T24/(1+S17)^11</f>
        <v>342.89620818725501</v>
      </c>
      <c r="J24" s="81">
        <f>T24/(1+S17)^10</f>
        <v>539.01065404100882</v>
      </c>
      <c r="K24" s="81">
        <f>T24/(1+S17)^9</f>
        <v>847.28987440729259</v>
      </c>
      <c r="L24" s="81">
        <f>T24/(1+S17)^8</f>
        <v>1331.8848632971672</v>
      </c>
      <c r="M24" s="81">
        <f>T24/(1+S17)^7</f>
        <v>2093.6368327557643</v>
      </c>
      <c r="N24" s="81">
        <f>T24/(1+S17)^6</f>
        <v>3291.0616437372883</v>
      </c>
      <c r="O24" s="81">
        <f>T24/(1+S17)^5</f>
        <v>5173.3359737573428</v>
      </c>
      <c r="P24" s="81">
        <f>T24/(1+S17)^4</f>
        <v>8132.1494382522878</v>
      </c>
      <c r="Q24" s="81">
        <f>T24/(1+S17)^3</f>
        <v>12783.212770547372</v>
      </c>
      <c r="R24" s="81">
        <f>T24/(1+S17)^2</f>
        <v>20094.38340722433</v>
      </c>
      <c r="S24" s="81">
        <f>T24/(1+S17)^1</f>
        <v>31587.070618651887</v>
      </c>
      <c r="T24" s="118">
        <f>T15/(T17-T16)</f>
        <v>49652.831343359001</v>
      </c>
      <c r="U24" t="s">
        <v>217</v>
      </c>
    </row>
    <row r="25" spans="1:21" ht="15" thickBot="1" x14ac:dyDescent="0.35">
      <c r="J25" s="3"/>
      <c r="K25" s="3"/>
      <c r="L25" s="3"/>
      <c r="M25" s="3"/>
      <c r="N25" s="3"/>
    </row>
    <row r="26" spans="1:21" x14ac:dyDescent="0.3">
      <c r="A26" s="92" t="s">
        <v>216</v>
      </c>
      <c r="B26" s="116">
        <f>I24</f>
        <v>342.89620818725501</v>
      </c>
      <c r="J26" s="3"/>
      <c r="K26" s="3"/>
      <c r="L26" s="3"/>
      <c r="M26" s="3"/>
      <c r="N26" s="3"/>
      <c r="T26" s="115"/>
    </row>
    <row r="27" spans="1:21" x14ac:dyDescent="0.3">
      <c r="A27" s="91" t="s">
        <v>215</v>
      </c>
      <c r="B27" s="117">
        <f>T24</f>
        <v>49652.831343359001</v>
      </c>
      <c r="J27" s="3"/>
      <c r="K27" s="3"/>
      <c r="L27" s="3"/>
      <c r="M27" s="3"/>
      <c r="N27" s="3"/>
    </row>
    <row r="28" spans="1:21" x14ac:dyDescent="0.3">
      <c r="A28" s="91" t="s">
        <v>214</v>
      </c>
      <c r="B28" s="117">
        <f>B26+B27</f>
        <v>49995.727551546253</v>
      </c>
    </row>
    <row r="29" spans="1:21" x14ac:dyDescent="0.3">
      <c r="A29" s="91" t="s">
        <v>213</v>
      </c>
      <c r="B29" s="90">
        <f>'Three Statements'!I33+'Three Statements'!I34+'Three Statements'!I36</f>
        <v>9430</v>
      </c>
      <c r="T29" s="115"/>
    </row>
    <row r="30" spans="1:21" x14ac:dyDescent="0.3">
      <c r="A30" s="91" t="s">
        <v>212</v>
      </c>
      <c r="B30" s="113">
        <f>I3*'Three Statements'!I15</f>
        <v>241338.11</v>
      </c>
    </row>
    <row r="31" spans="1:21" ht="15" thickBot="1" x14ac:dyDescent="0.35">
      <c r="A31" s="89" t="s">
        <v>211</v>
      </c>
      <c r="B31" s="114">
        <f>(I4-B29)/'Three Statements'!I15</f>
        <v>144.49597094611372</v>
      </c>
    </row>
  </sheetData>
  <hyperlinks>
    <hyperlink ref="U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2024-01-31T16:38:17Z</dcterms:modified>
</cp:coreProperties>
</file>