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F894DFA-461E-48A0-9E3E-795725644EE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H31" i="3"/>
  <c r="G31" i="3"/>
  <c r="H73" i="3"/>
  <c r="I73" i="3"/>
  <c r="G73" i="3"/>
  <c r="H75" i="3"/>
  <c r="I75" i="3"/>
  <c r="G75" i="3"/>
  <c r="H74" i="3"/>
  <c r="I74" i="3"/>
  <c r="G74" i="3"/>
  <c r="H48" i="3"/>
  <c r="I48" i="3"/>
  <c r="G48" i="3"/>
  <c r="H36" i="3"/>
  <c r="I36" i="3"/>
  <c r="G36" i="3"/>
  <c r="H35" i="3"/>
  <c r="I35" i="3"/>
  <c r="G35" i="3"/>
  <c r="H29" i="3"/>
  <c r="I29" i="3"/>
  <c r="G29" i="3"/>
  <c r="H19" i="3"/>
  <c r="I19" i="3"/>
  <c r="G19" i="3"/>
  <c r="G18" i="3" s="1"/>
  <c r="H28" i="3"/>
  <c r="I28" i="3"/>
  <c r="G28" i="3"/>
  <c r="H20" i="3"/>
  <c r="I20" i="3"/>
  <c r="G20" i="3"/>
  <c r="H18" i="3"/>
  <c r="I18" i="3"/>
  <c r="H21" i="3"/>
  <c r="I21" i="3"/>
  <c r="G21" i="3"/>
  <c r="H12" i="3"/>
  <c r="I12" i="3"/>
  <c r="G12" i="3"/>
  <c r="G11" i="3"/>
  <c r="H11" i="3"/>
  <c r="I11" i="3"/>
  <c r="H10" i="3"/>
  <c r="I10" i="3"/>
  <c r="G10" i="3"/>
  <c r="H9" i="3"/>
  <c r="I9" i="3"/>
  <c r="G9" i="3"/>
  <c r="H8" i="3"/>
  <c r="I8" i="3"/>
  <c r="G8" i="3"/>
  <c r="G7" i="3"/>
  <c r="G17" i="1"/>
  <c r="B13" i="1"/>
  <c r="H13" i="3"/>
  <c r="I13" i="3"/>
  <c r="G13" i="3"/>
  <c r="H71" i="3"/>
  <c r="I71" i="3"/>
  <c r="G71" i="3"/>
  <c r="H70" i="3"/>
  <c r="I70" i="3"/>
  <c r="G70" i="3"/>
  <c r="H69" i="3"/>
  <c r="I69" i="3"/>
  <c r="G69" i="3"/>
  <c r="H68" i="3"/>
  <c r="I68" i="3"/>
  <c r="G68" i="3"/>
  <c r="H66" i="3"/>
  <c r="I66" i="3"/>
  <c r="G66" i="3"/>
  <c r="H65" i="3"/>
  <c r="I65" i="3"/>
  <c r="G65" i="3"/>
  <c r="H37" i="3"/>
  <c r="I37" i="3"/>
  <c r="G37" i="3"/>
  <c r="H49" i="3"/>
  <c r="I49" i="3"/>
  <c r="G49" i="3"/>
  <c r="H47" i="3"/>
  <c r="I47" i="3"/>
  <c r="G47" i="3"/>
  <c r="H34" i="3" l="1"/>
  <c r="I34" i="3"/>
  <c r="G34" i="3"/>
  <c r="H27" i="3"/>
  <c r="I27" i="3"/>
  <c r="G27" i="3"/>
  <c r="H26" i="3"/>
  <c r="I26" i="3"/>
  <c r="G26" i="3"/>
  <c r="H25" i="3"/>
  <c r="I25" i="3"/>
  <c r="G25" i="3"/>
  <c r="H63" i="3"/>
  <c r="I63" i="3"/>
  <c r="G63" i="3"/>
  <c r="H62" i="3"/>
  <c r="I62" i="3"/>
  <c r="G62" i="3"/>
  <c r="H60" i="3"/>
  <c r="I60" i="3"/>
  <c r="H59" i="3"/>
  <c r="I59" i="3"/>
  <c r="G60" i="3"/>
  <c r="G59" i="3"/>
  <c r="H57" i="3"/>
  <c r="I57" i="3"/>
  <c r="G57" i="3"/>
  <c r="H56" i="3"/>
  <c r="I56" i="3"/>
  <c r="G56" i="3"/>
  <c r="H55" i="3"/>
  <c r="I55" i="3"/>
  <c r="G55" i="3"/>
  <c r="H54" i="3"/>
  <c r="I54" i="3"/>
  <c r="G54" i="3"/>
  <c r="H22" i="3"/>
  <c r="I22" i="3"/>
  <c r="G22" i="3"/>
  <c r="H17" i="3"/>
  <c r="I17" i="3"/>
  <c r="G17" i="3"/>
  <c r="H48" i="1"/>
  <c r="G48" i="1"/>
  <c r="F48" i="1"/>
  <c r="B18" i="1"/>
  <c r="H14" i="3"/>
  <c r="I14" i="3"/>
  <c r="G14" i="3"/>
  <c r="H7" i="3"/>
  <c r="I7" i="3"/>
  <c r="L7" i="3"/>
  <c r="M7" i="3"/>
  <c r="K7" i="3"/>
  <c r="G6" i="3"/>
  <c r="I6" i="3"/>
  <c r="H6" i="3"/>
  <c r="I5" i="3"/>
  <c r="H5" i="3"/>
  <c r="G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D13" i="1"/>
  <c r="D18" i="1" s="1"/>
  <c r="D20" i="1" s="1"/>
  <c r="D22" i="1" s="1"/>
  <c r="B20" i="1"/>
  <c r="B22" i="1" s="1"/>
  <c r="C13" i="1"/>
  <c r="C18" i="1" s="1"/>
  <c r="C20" i="1" s="1"/>
  <c r="C22" i="1" s="1"/>
  <c r="B62" i="1"/>
  <c r="B6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76" i="1" l="1"/>
  <c r="C91" i="1" s="1"/>
  <c r="C109" i="1" s="1"/>
  <c r="B76" i="1"/>
  <c r="B91" i="1" s="1"/>
  <c r="B109" i="1" s="1"/>
  <c r="D76" i="1"/>
  <c r="D91" i="1" s="1"/>
  <c r="D109" i="1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<sst xmlns="http://schemas.openxmlformats.org/spreadsheetml/2006/main" count="197" uniqueCount="157">
  <si>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</si>
  <si>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</si>
  <si>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</si>
  <si>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</si>
  <si>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</si>
  <si>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</si>
  <si>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</si>
  <si>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</si>
  <si>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</si>
  <si>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</si>
  <si>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</si>
  <si>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</si>
  <si>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</si>
  <si>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</si>
  <si>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</si>
  <si>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</si>
  <si>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</si>
  <si>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</si>
  <si>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</si>
  <si>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</si>
  <si>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</si>
  <si>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</si>
  <si>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</si>
  <si>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</si>
  <si>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</si>
  <si>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</si>
  <si>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</si>
  <si>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</si>
  <si>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</si>
  <si>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</si>
  <si>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</si>
  <si>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</si>
  <si>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</si>
  <si>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</si>
  <si>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</si>
  <si>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</si>
  <si>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</si>
  <si>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</si>
  <si>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</si>
  <si>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</si>
  <si>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</si>
  <si>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</si>
  <si>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</si>
  <si>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</si>
  <si>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</si>
  <si>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</si>
  <si>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</si>
  <si>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</si>
  <si>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</si>
  <si>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</si>
  <si>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</si>
  <si>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</si>
  <si>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</si>
  <si>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</si>
  <si>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</si>
  <si>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</si>
  <si>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</si>
  <si>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</si>
  <si>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</si>
  <si>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</si>
  <si>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</si>
  <si>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</si>
  <si>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</si>
  <si>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</si>
  <si>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</si>
  <si>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</si>
  <si>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</si>
  <si>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</si>
  <si>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</si>
  <si>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</si>
  <si>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</si>
  <si>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</si>
  <si>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</si>
  <si>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</si>
  <si>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</si>
  <si>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</si>
  <si>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</si>
  <si>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</si>
  <si>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</si>
  <si>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</si>
  <si>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</si>
  <si>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</si>
  <si>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</si>
  <si>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</si>
  <si>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</si>
  <si>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</si>
  <si>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</si>
  <si>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</si>
  <si>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</si>
  <si>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</si>
  <si>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</si>
  <si>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</si>
  <si>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</si>
  <si>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</si>
  <si>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</si>
  <si>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</si>
  <si>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</si>
  <si>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</si>
  <si>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</si>
  <si>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</si>
  <si>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</si>
  <si>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</si>
  <si>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</si>
  <si>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</si>
  <si>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</si>
  <si>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</si>
  <si>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</si>
  <si>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</si>
  <si>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</si>
  <si>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</si>
  <si>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</si>
  <si>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</si>
  <si>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</si>
  <si>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</si>
  <si>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</si>
  <si>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</si>
  <si>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</si>
  <si>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</si>
  <si>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</si>
  <si>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</si>
  <si>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</si>
  <si>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</si>
  <si>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</si>
  <si>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</si>
  <si>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</si>
  <si>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</si>
  <si>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</si>
  <si>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</si>
  <si>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</si>
  <si>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</si>
  <si>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</si>
  <si>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</si>
  <si>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</si>
  <si>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</si>
  <si>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</si>
  <si>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</si>
  <si>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</si>
  <si>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</si>
  <si>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</si>
  <si>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</si>
  <si>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</si>
  <si>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</si>
  <si>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</si>
  <si>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</si>
  <si>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</si>
  <si>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</si>
  <si>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</si>
  <si>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</si>
  <si>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</si>
  <si>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</si>
  <si>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Product</t>
  </si>
  <si>
    <t>Net sales</t>
  </si>
  <si>
    <t>Total Assets</t>
  </si>
  <si>
    <t>R&amp;D</t>
  </si>
  <si>
    <t>Cash ratio = Cash and Cash Equivalents / current liabilities</t>
  </si>
  <si>
    <t>(cash &amp; cash eq+market sec+acc receivables)/(total operating exp/365)</t>
  </si>
  <si>
    <t>EBITDA = net income + interest expense + taxes + depreciation &amp; amortization expense+deferred tax expenses+add cash tax+add cash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</si>
</sst>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0" fontId="0" fillId="0" borderId="0" xfId="0" applyNumberFormat="1"/>
    <xf numFmtId="0" fontId="3" fillId="2" borderId="4" xfId="0" applyFont="1" applyFill="1" applyBorder="1" applyAlignment="1">
      <alignment horizontal="center"/>
    </xf>
    <xf numFmtId="0" fontId="0" fillId="0" borderId="4" xfId="0" applyBorder="1"/>
    <xf numFmtId="164" fontId="0" fillId="0" borderId="0" xfId="1" applyFont="1"/>
    <xf numFmtId="164" fontId="0" fillId="0" borderId="4" xfId="1" applyFont="1" applyBorder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0" applyNumberFormat="1"/>
    <xf numFmtId="0" fontId="8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A23" sqref="A23"/>
    </sheetView>
  </sheetViews>
  <sheetFormatPr defaultColWidth="8.85546875" defaultRowHeight="15" x14ac:dyDescent="0.25"/>
  <cols>
    <col min="1" max="1" width="104.42578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4" x14ac:dyDescent="0.25">
      <c r="A17" s="1" t="s">
        <v>90</v>
      </c>
    </row>
    <row r="18" spans="1:4" x14ac:dyDescent="0.25">
      <c r="A18" s="1" t="s">
        <v>14</v>
      </c>
    </row>
    <row r="19" spans="1:4" x14ac:dyDescent="0.25">
      <c r="A19" s="1" t="s">
        <v>93</v>
      </c>
    </row>
    <row r="20" spans="1:4" x14ac:dyDescent="0.25">
      <c r="A20" s="1"/>
    </row>
    <row r="21" spans="1:4" x14ac:dyDescent="0.25">
      <c r="A21" s="17" t="s">
        <v>98</v>
      </c>
    </row>
    <row r="22" spans="1:4" x14ac:dyDescent="0.25">
      <c r="A22" s="1" t="s">
        <v>94</v>
      </c>
    </row>
    <row r="23" spans="1:4" x14ac:dyDescent="0.25">
      <c r="A23" s="1" t="s">
        <v>95</v>
      </c>
    </row>
    <row r="24" spans="1:4" x14ac:dyDescent="0.25">
      <c r="A24" s="1" t="s">
        <v>96</v>
      </c>
    </row>
    <row r="25" spans="1:4" x14ac:dyDescent="0.25">
      <c r="A25" s="1"/>
    </row>
    <row r="26" spans="1:4" x14ac:dyDescent="0.25">
      <c r="A26" s="17" t="s">
        <v>144</v>
      </c>
      <c r="D26" s="1"/>
    </row>
    <row r="27" spans="1:4" x14ac:dyDescent="0.25">
      <c r="A27" s="16" t="s">
        <v>143</v>
      </c>
    </row>
    <row r="29" spans="1:4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4"/>
  <sheetViews>
    <sheetView topLeftCell="A74" workbookViewId="0">
      <selection activeCell="F13" sqref="F13"/>
    </sheetView>
  </sheetViews>
  <sheetFormatPr defaultColWidth="8.85546875" defaultRowHeight="15" x14ac:dyDescent="0.25"/>
  <cols>
    <col min="1" max="1" width="59" customWidth="1"/>
    <col min="2" max="3" width="11.42578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1" t="s">
        <v>1</v>
      </c>
      <c r="B2" s="31"/>
      <c r="C2" s="31"/>
      <c r="D2" s="31"/>
    </row>
    <row r="3" spans="1:10" x14ac:dyDescent="0.25">
      <c r="B3" s="30" t="s">
        <v>23</v>
      </c>
      <c r="C3" s="30"/>
      <c r="D3" s="30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2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2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G17" s="32">
        <f>B17/365</f>
        <v>140.67123287671234</v>
      </c>
    </row>
    <row r="18" spans="1:7" s="7" customFormat="1" x14ac:dyDescent="0.2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7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2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7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7" ht="15.75" thickBot="1" x14ac:dyDescent="0.3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7" ht="15.75" thickTop="1" x14ac:dyDescent="0.25">
      <c r="A23" t="s">
        <v>19</v>
      </c>
    </row>
    <row r="24" spans="1:7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25">
      <c r="A26" t="s">
        <v>22</v>
      </c>
    </row>
    <row r="27" spans="1:7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7" x14ac:dyDescent="0.25">
      <c r="A31" s="31" t="s">
        <v>24</v>
      </c>
      <c r="B31" s="31"/>
      <c r="C31" s="31"/>
      <c r="D31" s="31"/>
    </row>
    <row r="32" spans="1:7" x14ac:dyDescent="0.25">
      <c r="B32" s="30" t="s">
        <v>142</v>
      </c>
      <c r="C32" s="30"/>
      <c r="D32" s="30"/>
    </row>
    <row r="33" spans="1:8" x14ac:dyDescent="0.25">
      <c r="B33" s="7">
        <f>+B4</f>
        <v>2022</v>
      </c>
      <c r="C33" s="7">
        <f>+C4</f>
        <v>2021</v>
      </c>
      <c r="D33" s="7">
        <f>+D4</f>
        <v>2020</v>
      </c>
    </row>
    <row r="35" spans="1:8" x14ac:dyDescent="0.25">
      <c r="A35" t="s">
        <v>25</v>
      </c>
    </row>
    <row r="36" spans="1:8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8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2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8" x14ac:dyDescent="0.25">
      <c r="A43" t="s">
        <v>48</v>
      </c>
      <c r="B43" s="12"/>
      <c r="C43" s="12"/>
      <c r="D43" s="12"/>
    </row>
    <row r="44" spans="1:8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25">
      <c r="A47" s="8" t="s">
        <v>50</v>
      </c>
      <c r="B47" s="13">
        <f>+SUM(B44:B46)</f>
        <v>217350</v>
      </c>
      <c r="C47" s="13">
        <f t="shared" ref="C47:D47" si="0">+SUM(C44:C46)</f>
        <v>216166</v>
      </c>
      <c r="D47" s="13">
        <f t="shared" si="0"/>
        <v>180175</v>
      </c>
    </row>
    <row r="48" spans="1:8" ht="15.75" thickBot="1" x14ac:dyDescent="0.3">
      <c r="A48" s="9" t="s">
        <v>33</v>
      </c>
      <c r="B48" s="14">
        <f>+B42+B47</f>
        <v>352755</v>
      </c>
      <c r="C48" s="14">
        <f t="shared" ref="C48:D48" si="1">+C42+C47</f>
        <v>351002</v>
      </c>
      <c r="D48" s="14">
        <f t="shared" si="1"/>
        <v>323888</v>
      </c>
      <c r="E48" s="2"/>
      <c r="F48" s="23">
        <f>AVERAGE(B48:C48)</f>
        <v>351878.5</v>
      </c>
      <c r="G48" s="23">
        <f>AVERAGE(C48:D48)</f>
        <v>337445</v>
      </c>
      <c r="H48" s="23">
        <f>AVERAGE(D48:E48)</f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2">+SUM(C51:C55)</f>
        <v>125481</v>
      </c>
      <c r="D56" s="13">
        <f t="shared" si="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3">+C59+C60</f>
        <v>162431</v>
      </c>
      <c r="D61" s="21">
        <f t="shared" si="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4">+C56+C61</f>
        <v>287912</v>
      </c>
      <c r="D62" s="13">
        <f t="shared" si="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5">+SUM(C65:C67)</f>
        <v>63090</v>
      </c>
      <c r="D68" s="13">
        <f t="shared" si="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6">+C68+C62</f>
        <v>351002</v>
      </c>
      <c r="D69" s="14">
        <f t="shared" si="6"/>
        <v>323888</v>
      </c>
    </row>
    <row r="70" spans="1:4" ht="15.75" thickTop="1" x14ac:dyDescent="0.25"/>
    <row r="71" spans="1:4" x14ac:dyDescent="0.25">
      <c r="A71" s="31" t="s">
        <v>55</v>
      </c>
      <c r="B71" s="31"/>
      <c r="C71" s="31"/>
      <c r="D71" s="31"/>
    </row>
    <row r="72" spans="1:4" x14ac:dyDescent="0.25">
      <c r="B72" s="30" t="s">
        <v>23</v>
      </c>
      <c r="C72" s="30"/>
      <c r="D72" s="30"/>
    </row>
    <row r="73" spans="1:4" x14ac:dyDescent="0.25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7">+SUM(C76:C90)</f>
        <v>104038</v>
      </c>
      <c r="D91" s="13">
        <f t="shared" si="7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8">+SUM(C93:C98)</f>
        <v>-14545</v>
      </c>
      <c r="D99" s="13">
        <f t="shared" si="8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9">+SUM(C101:C107)</f>
        <v>-93353</v>
      </c>
      <c r="D108" s="13">
        <f t="shared" si="9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10">+C91+C99+C108</f>
        <v>-3860</v>
      </c>
      <c r="D109" s="13">
        <f t="shared" si="10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tabSelected="1" workbookViewId="0">
      <selection activeCell="M44" sqref="M44"/>
    </sheetView>
  </sheetViews>
  <sheetFormatPr defaultColWidth="8.85546875" defaultRowHeight="15" x14ac:dyDescent="0.25"/>
  <cols>
    <col min="1" max="1" width="4.7109375" customWidth="1"/>
    <col min="2" max="2" width="44.85546875" customWidth="1"/>
    <col min="3" max="3" width="13.140625" bestFit="1" customWidth="1"/>
    <col min="4" max="5" width="12" bestFit="1" customWidth="1"/>
    <col min="6" max="6" width="8.85546875" style="26"/>
    <col min="7" max="9" width="11.5703125" bestFit="1" customWidth="1"/>
    <col min="10" max="10" width="8.85546875" style="26"/>
  </cols>
  <sheetData>
    <row r="1" spans="1:15" ht="60" customHeight="1" x14ac:dyDescent="0.4">
      <c r="A1" s="6"/>
      <c r="B1" s="20" t="s">
        <v>0</v>
      </c>
      <c r="C1" s="19"/>
      <c r="D1" s="19"/>
      <c r="E1" s="19"/>
      <c r="F1" s="25"/>
      <c r="G1" s="19"/>
      <c r="H1" s="19"/>
      <c r="I1" s="19"/>
      <c r="J1" s="25"/>
    </row>
    <row r="2" spans="1:15" x14ac:dyDescent="0.25">
      <c r="C2" s="30" t="s">
        <v>23</v>
      </c>
      <c r="D2" s="30"/>
      <c r="E2" s="30"/>
    </row>
    <row r="3" spans="1:15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G3" s="7">
        <v>2022</v>
      </c>
      <c r="H3" s="7">
        <v>2021</v>
      </c>
      <c r="I3" s="7">
        <v>2020</v>
      </c>
      <c r="K3" s="7">
        <v>2022</v>
      </c>
      <c r="L3" s="7">
        <v>2021</v>
      </c>
      <c r="M3" s="7">
        <v>2020</v>
      </c>
    </row>
    <row r="4" spans="1:15" x14ac:dyDescent="0.25">
      <c r="A4" s="18">
        <v>1</v>
      </c>
      <c r="B4" s="7" t="s">
        <v>99</v>
      </c>
    </row>
    <row r="5" spans="1:15" x14ac:dyDescent="0.25">
      <c r="A5" s="18">
        <f>+A4+0.1</f>
        <v>1.1000000000000001</v>
      </c>
      <c r="B5" s="1" t="s">
        <v>100</v>
      </c>
      <c r="C5">
        <v>0.87</v>
      </c>
      <c r="D5">
        <v>1.07</v>
      </c>
      <c r="E5">
        <v>1.36</v>
      </c>
      <c r="G5" s="27">
        <f>'Financial Statements'!B42/'Financial Statements'!B56</f>
        <v>0.87935602862672257</v>
      </c>
      <c r="H5" s="27">
        <f>'Financial Statements'!C42/'Financial Statements'!C56</f>
        <v>1.0745531195957954</v>
      </c>
      <c r="I5" s="27">
        <f>'Financial Statements'!D42/'Financial Statements'!D56</f>
        <v>1.3636044481554577</v>
      </c>
      <c r="J5" s="28"/>
    </row>
    <row r="6" spans="1:15" x14ac:dyDescent="0.25">
      <c r="A6" s="18">
        <f t="shared" ref="A6:A13" si="0">+A5+0.1</f>
        <v>1.2000000000000002</v>
      </c>
      <c r="B6" s="1" t="s">
        <v>101</v>
      </c>
      <c r="C6">
        <v>0.5</v>
      </c>
      <c r="D6">
        <v>0.74</v>
      </c>
      <c r="E6">
        <v>1.03</v>
      </c>
      <c r="G6" s="27">
        <f>('Financial Statements'!B36+'Financial Statements'!B37+'Financial Statements'!B38)/'Financial Statements'!B56</f>
        <v>0.49673338442155579</v>
      </c>
      <c r="H6" s="27">
        <f>('Financial Statements'!C36+'Financial Statements'!C37+'Financial Statements'!C38)/'Financial Statements'!C56</f>
        <v>0.70860927152317876</v>
      </c>
      <c r="I6" s="27">
        <f>('Financial Statements'!D36+'Financial Statements'!D37+'Financial Statements'!D38)/'Financial Statements'!D56</f>
        <v>1.0158550933657204</v>
      </c>
      <c r="J6" s="28"/>
    </row>
    <row r="7" spans="1:15" x14ac:dyDescent="0.25">
      <c r="A7" s="18">
        <f t="shared" si="0"/>
        <v>1.3000000000000003</v>
      </c>
      <c r="B7" s="1" t="s">
        <v>102</v>
      </c>
      <c r="C7">
        <v>0.24</v>
      </c>
      <c r="D7">
        <v>0.26</v>
      </c>
      <c r="E7">
        <v>0.37</v>
      </c>
      <c r="G7" s="27">
        <f>('Financial Statements'!B36+'Financial Statements'!B37)/'Financial Statements'!B56</f>
        <v>0.31369900377966253</v>
      </c>
      <c r="H7" s="27">
        <f>('Financial Statements'!C36+'Financial Statements'!C37)/'Financial Statements'!C56</f>
        <v>0.49919111259872012</v>
      </c>
      <c r="I7" s="27">
        <f>('Financial Statements'!D36+'Financial Statements'!D37)/'Financial Statements'!D56</f>
        <v>0.86290230757552755</v>
      </c>
      <c r="J7" s="28"/>
      <c r="K7" s="27">
        <f>'Financial Statements'!B36/'Financial Statements'!B56</f>
        <v>0.15356340351469652</v>
      </c>
      <c r="L7" s="27">
        <f>'Financial Statements'!C36/'Financial Statements'!C56</f>
        <v>0.27844853005634318</v>
      </c>
      <c r="M7" s="27">
        <f>'Financial Statements'!D36/'Financial Statements'!D56</f>
        <v>0.36071049035979963</v>
      </c>
      <c r="O7" t="s">
        <v>154</v>
      </c>
    </row>
    <row r="8" spans="1:15" x14ac:dyDescent="0.25">
      <c r="A8" s="18">
        <f t="shared" si="0"/>
        <v>1.4000000000000004</v>
      </c>
      <c r="B8" s="1" t="s">
        <v>103</v>
      </c>
      <c r="C8">
        <v>10.29</v>
      </c>
      <c r="D8">
        <v>12.03</v>
      </c>
      <c r="E8">
        <v>16.32</v>
      </c>
      <c r="G8" s="27">
        <f>('Financial Statements'!B36+'Financial Statements'!B37+'Financial Statements'!B38)/('Financial Statements'!B17/365)</f>
        <v>543.73590417762193</v>
      </c>
      <c r="H8" s="27">
        <f>('Financial Statements'!C36+'Financial Statements'!C37+'Financial Statements'!C38)/('Financial Statements'!C17/365)</f>
        <v>739.50611798482464</v>
      </c>
      <c r="I8" s="27">
        <f>('Financial Statements'!D36+'Financial Statements'!D37+'Financial Statements'!D38)/('Financial Statements'!D17/365)</f>
        <v>1010.6029533464364</v>
      </c>
      <c r="J8" s="28"/>
      <c r="K8" t="s">
        <v>155</v>
      </c>
    </row>
    <row r="9" spans="1:15" x14ac:dyDescent="0.25">
      <c r="A9" s="18">
        <f t="shared" si="0"/>
        <v>1.5000000000000004</v>
      </c>
      <c r="B9" s="1" t="s">
        <v>104</v>
      </c>
      <c r="C9">
        <v>14.81</v>
      </c>
      <c r="D9">
        <v>17.760000000000002</v>
      </c>
      <c r="E9">
        <v>17.64</v>
      </c>
      <c r="G9" s="27">
        <f>('Financial Statements'!B39*365/'Financial Statements'!B12)</f>
        <v>8.0756980666171607</v>
      </c>
      <c r="H9" s="27">
        <f>('Financial Statements'!C39*365/'Financial Statements'!C12)</f>
        <v>11.27659274770989</v>
      </c>
      <c r="I9" s="27">
        <f>('Financial Statements'!D39*365/'Financial Statements'!D12)</f>
        <v>8.7418833562358831</v>
      </c>
      <c r="J9" s="28"/>
    </row>
    <row r="10" spans="1:15" x14ac:dyDescent="0.25">
      <c r="A10" s="18">
        <f t="shared" si="0"/>
        <v>1.6000000000000005</v>
      </c>
      <c r="B10" s="1" t="s">
        <v>105</v>
      </c>
      <c r="C10">
        <v>45.29</v>
      </c>
      <c r="D10">
        <v>37.64</v>
      </c>
      <c r="E10">
        <v>32.32</v>
      </c>
      <c r="G10" s="27">
        <f>'Financial Statements'!B51*365/'Financial Statements'!B12</f>
        <v>104.68527730310539</v>
      </c>
      <c r="H10" s="27">
        <f>'Financial Statements'!C51*365/'Financial Statements'!C12</f>
        <v>93.85107122231561</v>
      </c>
      <c r="I10" s="27">
        <f>'Financial Statements'!D51*365/'Financial Statements'!D12</f>
        <v>91.048189715674184</v>
      </c>
      <c r="J10" s="28"/>
    </row>
    <row r="11" spans="1:15" x14ac:dyDescent="0.25">
      <c r="A11" s="18">
        <f t="shared" si="0"/>
        <v>1.7000000000000006</v>
      </c>
      <c r="B11" s="1" t="s">
        <v>106</v>
      </c>
      <c r="C11">
        <v>25.9</v>
      </c>
      <c r="D11">
        <v>27.4</v>
      </c>
      <c r="E11">
        <v>23.54</v>
      </c>
      <c r="G11" s="27">
        <f>(AVERAGE('Financial Statements'!B38:C38)*365)/'Financial Statements'!B8</f>
        <v>25.20570438822503</v>
      </c>
      <c r="H11" s="27">
        <f>(AVERAGE('Financial Statements'!C38:D38)*365)/'Financial Statements'!C8</f>
        <v>21.151655062503931</v>
      </c>
      <c r="I11" s="27">
        <f>(AVERAGE('Financial Statements'!D38:E38)*365)/'Financial Statements'!D8</f>
        <v>21.433437152796749</v>
      </c>
      <c r="J11" s="28"/>
    </row>
    <row r="12" spans="1:15" x14ac:dyDescent="0.25">
      <c r="A12" s="18">
        <f t="shared" si="0"/>
        <v>1.8000000000000007</v>
      </c>
      <c r="B12" s="1" t="s">
        <v>107</v>
      </c>
      <c r="C12">
        <v>-4.58</v>
      </c>
      <c r="D12">
        <v>7.54</v>
      </c>
      <c r="E12">
        <v>8.86</v>
      </c>
      <c r="G12" s="27">
        <f>G9+G11-G10</f>
        <v>-71.4038748482632</v>
      </c>
      <c r="H12" s="27">
        <f>H9+H11-H10</f>
        <v>-61.422823412101792</v>
      </c>
      <c r="I12" s="27">
        <f t="shared" ref="H12:I12" si="1">I9+I11-I10</f>
        <v>-60.872869206641553</v>
      </c>
      <c r="J12" s="28"/>
    </row>
    <row r="13" spans="1:15" x14ac:dyDescent="0.25">
      <c r="A13" s="18">
        <f t="shared" si="0"/>
        <v>1.9000000000000008</v>
      </c>
      <c r="B13" s="1" t="s">
        <v>108</v>
      </c>
      <c r="C13" s="24">
        <v>0.10440000000000001</v>
      </c>
      <c r="D13" s="24">
        <v>0.12920000000000001</v>
      </c>
      <c r="E13" s="24">
        <v>0.1489</v>
      </c>
      <c r="G13" s="27">
        <f>(G14/'Financial Statements'!B8)*100</f>
        <v>-4.7110527276784806</v>
      </c>
      <c r="H13" s="27">
        <f>(H14/'Financial Statements'!C8)*100</f>
        <v>2.5572895737486232</v>
      </c>
      <c r="I13" s="27">
        <f>(I14/'Financial Statements'!D8)*100</f>
        <v>13.959528623208204</v>
      </c>
      <c r="J13" s="28"/>
    </row>
    <row r="14" spans="1:15" x14ac:dyDescent="0.25">
      <c r="A14" s="18"/>
      <c r="B14" s="3" t="s">
        <v>109</v>
      </c>
      <c r="C14" s="2">
        <v>-18577</v>
      </c>
      <c r="D14">
        <v>9355</v>
      </c>
      <c r="E14">
        <v>38321</v>
      </c>
      <c r="G14" s="27">
        <f>'Financial Statements'!B42-'Financial Statements'!B56</f>
        <v>-18577</v>
      </c>
      <c r="H14" s="27">
        <f>'Financial Statements'!C42-'Financial Statements'!C56</f>
        <v>9355</v>
      </c>
      <c r="I14" s="27">
        <f>'Financial Statements'!D42-'Financial Statements'!D56</f>
        <v>38321</v>
      </c>
      <c r="J14" s="28"/>
    </row>
    <row r="15" spans="1:15" x14ac:dyDescent="0.25">
      <c r="A15" s="18"/>
      <c r="G15" s="27"/>
      <c r="H15" s="27"/>
      <c r="I15" s="27"/>
      <c r="J15" s="28"/>
    </row>
    <row r="16" spans="1:15" x14ac:dyDescent="0.25">
      <c r="A16" s="18">
        <f>+A4+1</f>
        <v>2</v>
      </c>
      <c r="B16" s="17" t="s">
        <v>110</v>
      </c>
      <c r="G16" s="27"/>
      <c r="H16" s="27"/>
      <c r="I16" s="27"/>
      <c r="J16" s="28"/>
    </row>
    <row r="17" spans="1:11" x14ac:dyDescent="0.25">
      <c r="A17" s="18">
        <f>+A16+0.1</f>
        <v>2.1</v>
      </c>
      <c r="B17" s="1" t="s">
        <v>9</v>
      </c>
      <c r="C17" s="24">
        <v>0.43030000000000002</v>
      </c>
      <c r="D17" s="24">
        <v>0.4173</v>
      </c>
      <c r="E17" s="24">
        <v>0.3821</v>
      </c>
      <c r="G17" s="29">
        <f>('Financial Statements'!B8-'Financial Statements'!B12)/'Financial Statements'!B8</f>
        <v>0.43309630561360085</v>
      </c>
      <c r="H17" s="29">
        <f>('Financial Statements'!C8-'Financial Statements'!C12)/'Financial Statements'!C8</f>
        <v>0.41779359625167778</v>
      </c>
      <c r="I17" s="29">
        <f>('Financial Statements'!D8-'Financial Statements'!D12)/'Financial Statements'!D8</f>
        <v>0.38233247727810865</v>
      </c>
      <c r="J17" s="28"/>
    </row>
    <row r="18" spans="1:11" x14ac:dyDescent="0.25">
      <c r="A18" s="18">
        <f>+A17+0.1</f>
        <v>2.2000000000000002</v>
      </c>
      <c r="B18" s="1" t="s">
        <v>111</v>
      </c>
      <c r="C18" s="24">
        <v>0.35049999999999998</v>
      </c>
      <c r="D18" s="24">
        <v>0.34689999999999999</v>
      </c>
      <c r="E18" s="24">
        <v>0.31590000000000001</v>
      </c>
      <c r="G18" s="29">
        <f>G19/'Financial Statements'!B8</f>
        <v>0.28852123105637945</v>
      </c>
      <c r="H18" s="29">
        <f>H19/'Financial Statements'!C8</f>
        <v>0.29700916031786384</v>
      </c>
      <c r="I18" s="29">
        <f>I19/'Financial Statements'!D8</f>
        <v>0.26034642915687667</v>
      </c>
      <c r="J18" s="28"/>
    </row>
    <row r="19" spans="1:11" x14ac:dyDescent="0.25">
      <c r="A19" s="18"/>
      <c r="B19" s="3" t="s">
        <v>112</v>
      </c>
      <c r="C19">
        <v>138002</v>
      </c>
      <c r="D19">
        <v>126961</v>
      </c>
      <c r="E19">
        <v>86872</v>
      </c>
      <c r="G19" s="27">
        <f>'Financial Statements'!B76+'Financial Statements'!B79+'Financial Statements'!B114</f>
        <v>113772</v>
      </c>
      <c r="H19" s="27">
        <f>'Financial Statements'!C76+'Financial Statements'!C79+'Financial Statements'!C114</f>
        <v>108651</v>
      </c>
      <c r="I19" s="27">
        <f>'Financial Statements'!D76+'Financial Statements'!D79+'Financial Statements'!D114</f>
        <v>71469</v>
      </c>
      <c r="J19" s="28"/>
      <c r="K19" t="s">
        <v>156</v>
      </c>
    </row>
    <row r="20" spans="1:11" x14ac:dyDescent="0.25">
      <c r="A20" s="18">
        <f>+A18+0.1</f>
        <v>2.3000000000000003</v>
      </c>
      <c r="B20" s="1" t="s">
        <v>113</v>
      </c>
      <c r="C20" s="24">
        <v>0.30209999999999998</v>
      </c>
      <c r="D20" s="24">
        <v>0.29759999999999998</v>
      </c>
      <c r="E20" s="24">
        <v>0.24149999999999999</v>
      </c>
      <c r="G20" s="29">
        <f>G21/'Financial Statements'!B8</f>
        <v>0.30288744395528594</v>
      </c>
      <c r="H20" s="29">
        <f>H21/'Financial Statements'!C8</f>
        <v>0.29782377527561593</v>
      </c>
      <c r="I20" s="29">
        <f>I21/'Financial Statements'!D8</f>
        <v>0.24147314354406862</v>
      </c>
      <c r="J20" s="28"/>
    </row>
    <row r="21" spans="1:11" x14ac:dyDescent="0.25">
      <c r="A21" s="18"/>
      <c r="B21" s="3" t="s">
        <v>114</v>
      </c>
      <c r="C21">
        <v>106353</v>
      </c>
      <c r="D21">
        <v>96256</v>
      </c>
      <c r="E21">
        <v>66288</v>
      </c>
      <c r="G21" s="27">
        <f>'Financial Statements'!B8-'Financial Statements'!B12-'Financial Statements'!B17</f>
        <v>119437</v>
      </c>
      <c r="H21" s="27">
        <f>'Financial Statements'!C8-'Financial Statements'!C12-'Financial Statements'!C17</f>
        <v>108949</v>
      </c>
      <c r="I21" s="27">
        <f>'Financial Statements'!D8-'Financial Statements'!D12-'Financial Statements'!D17</f>
        <v>66288</v>
      </c>
      <c r="J21" s="28"/>
    </row>
    <row r="22" spans="1:11" x14ac:dyDescent="0.25">
      <c r="A22" s="18">
        <f>+A20+0.1</f>
        <v>2.4000000000000004</v>
      </c>
      <c r="B22" s="1" t="s">
        <v>115</v>
      </c>
      <c r="C22" s="24">
        <v>0.25319999999999998</v>
      </c>
      <c r="D22" s="24">
        <v>0.25879999999999997</v>
      </c>
      <c r="E22" s="24">
        <v>0.20930000000000001</v>
      </c>
      <c r="G22" s="29">
        <f>'Financial Statements'!B22/'Financial Statements'!B8</f>
        <v>0.25309640705199732</v>
      </c>
      <c r="H22" s="29">
        <f>'Financial Statements'!C22/'Financial Statements'!C8</f>
        <v>0.25881793355694238</v>
      </c>
      <c r="I22" s="29">
        <f>'Financial Statements'!D22/'Financial Statements'!D8</f>
        <v>0.20913611278072236</v>
      </c>
      <c r="J22" s="28"/>
    </row>
    <row r="23" spans="1:11" x14ac:dyDescent="0.25">
      <c r="A23" s="18"/>
      <c r="G23" s="27"/>
      <c r="H23" s="27"/>
      <c r="I23" s="27"/>
      <c r="J23" s="28"/>
    </row>
    <row r="24" spans="1:11" x14ac:dyDescent="0.25">
      <c r="A24" s="18">
        <f>+A16+1</f>
        <v>3</v>
      </c>
      <c r="B24" s="7" t="s">
        <v>116</v>
      </c>
      <c r="G24" s="27"/>
      <c r="H24" s="27"/>
      <c r="I24" s="27"/>
      <c r="J24" s="28"/>
    </row>
    <row r="25" spans="1:11" x14ac:dyDescent="0.25">
      <c r="A25" s="18">
        <f>+A24+0.1</f>
        <v>3.1</v>
      </c>
      <c r="B25" s="1" t="s">
        <v>117</v>
      </c>
      <c r="C25">
        <v>-2.5000000000000001E-2</v>
      </c>
      <c r="D25">
        <v>4.5599999999999996</v>
      </c>
      <c r="E25">
        <v>3.95</v>
      </c>
      <c r="G25" s="27">
        <f>'Financial Statements'!B62/'Financial Statements'!B68</f>
        <v>5.9615369434796337</v>
      </c>
      <c r="H25" s="27">
        <f>'Financial Statements'!C62/'Financial Statements'!C68</f>
        <v>4.5635124425423994</v>
      </c>
      <c r="I25" s="27">
        <f>'Financial Statements'!D62/'Financial Statements'!D68</f>
        <v>3.9570394404566951</v>
      </c>
      <c r="J25" s="28"/>
    </row>
    <row r="26" spans="1:11" x14ac:dyDescent="0.25">
      <c r="A26" s="18">
        <f t="shared" ref="A26:A30" si="2">+A25+0.1</f>
        <v>3.2</v>
      </c>
      <c r="B26" s="1" t="s">
        <v>118</v>
      </c>
      <c r="C26">
        <v>0.85</v>
      </c>
      <c r="D26">
        <v>0.82</v>
      </c>
      <c r="E26">
        <v>0.79</v>
      </c>
      <c r="G26" s="27">
        <f>'Financial Statements'!B62/'Financial Statements'!B48</f>
        <v>0.85635355983614692</v>
      </c>
      <c r="H26" s="27">
        <f>'Financial Statements'!C62/'Financial Statements'!C48</f>
        <v>0.82025743443057308</v>
      </c>
      <c r="I26" s="27">
        <f>'Financial Statements'!D62/'Financial Statements'!D48</f>
        <v>0.79826668477992391</v>
      </c>
      <c r="J26" s="28"/>
    </row>
    <row r="27" spans="1:11" x14ac:dyDescent="0.25">
      <c r="A27" s="18">
        <f t="shared" si="2"/>
        <v>3.3000000000000003</v>
      </c>
      <c r="B27" s="1" t="s">
        <v>119</v>
      </c>
      <c r="C27">
        <v>0.35</v>
      </c>
      <c r="D27">
        <v>0.64</v>
      </c>
      <c r="E27">
        <v>0.6</v>
      </c>
      <c r="G27" s="27">
        <f>'Financial Statements'!B61/('Financial Statements'!B61+'Financial Statements'!B68)</f>
        <v>0.74507604151469264</v>
      </c>
      <c r="H27" s="27">
        <f>'Financial Statements'!C61/('Financial Statements'!C61+'Financial Statements'!C68)</f>
        <v>0.72024778180302496</v>
      </c>
      <c r="I27" s="27">
        <f>'Financial Statements'!D61/('Financial Statements'!D61+'Financial Statements'!D68)</f>
        <v>0.70096020064440534</v>
      </c>
      <c r="J27" s="28"/>
    </row>
    <row r="28" spans="1:11" x14ac:dyDescent="0.25">
      <c r="A28" s="18">
        <f t="shared" si="2"/>
        <v>3.4000000000000004</v>
      </c>
      <c r="B28" s="1" t="s">
        <v>120</v>
      </c>
      <c r="C28">
        <v>98.5</v>
      </c>
      <c r="D28">
        <v>92.2</v>
      </c>
      <c r="E28">
        <v>70.599999999999994</v>
      </c>
      <c r="G28" s="27">
        <f>'List of Ratios'!G21/'Financial Statements'!B114</f>
        <v>41.68830715532286</v>
      </c>
      <c r="H28" s="27">
        <f>'List of Ratios'!H21/'Financial Statements'!C114</f>
        <v>40.546706363974693</v>
      </c>
      <c r="I28" s="27">
        <f>'List of Ratios'!I21/'Financial Statements'!D114</f>
        <v>22.081279147235175</v>
      </c>
      <c r="J28" s="28"/>
    </row>
    <row r="29" spans="1:11" x14ac:dyDescent="0.25">
      <c r="A29" s="18">
        <f t="shared" si="2"/>
        <v>3.5000000000000004</v>
      </c>
      <c r="B29" s="1" t="s">
        <v>121</v>
      </c>
      <c r="C29">
        <v>45.8</v>
      </c>
      <c r="D29">
        <v>45.6</v>
      </c>
      <c r="E29">
        <v>36.299999999999997</v>
      </c>
      <c r="G29" s="27">
        <f>(G19+9543)/('Financial Statements'!B114+9543)</f>
        <v>9.9383462282398458</v>
      </c>
      <c r="H29" s="27">
        <f>(H19+9543)/('Financial Statements'!C114+9543)</f>
        <v>9.6642681929681107</v>
      </c>
      <c r="I29" s="27">
        <f>(I19+9543)/('Financial Statements'!D114+9543)</f>
        <v>6.4577122359505781</v>
      </c>
      <c r="J29" s="28"/>
    </row>
    <row r="30" spans="1:11" x14ac:dyDescent="0.25">
      <c r="A30" s="18">
        <f t="shared" si="2"/>
        <v>3.6000000000000005</v>
      </c>
      <c r="B30" s="1" t="s">
        <v>122</v>
      </c>
      <c r="C30">
        <v>0.64</v>
      </c>
      <c r="D30">
        <v>0.56000000000000005</v>
      </c>
      <c r="E30">
        <v>0.31</v>
      </c>
      <c r="G30" s="33">
        <v>0.64</v>
      </c>
      <c r="H30" s="33">
        <v>0.56000000000000005</v>
      </c>
      <c r="I30" s="33">
        <v>0.31</v>
      </c>
      <c r="J30" s="28"/>
    </row>
    <row r="31" spans="1:11" x14ac:dyDescent="0.25">
      <c r="A31" s="18"/>
      <c r="B31" s="3" t="s">
        <v>123</v>
      </c>
      <c r="C31">
        <v>10310</v>
      </c>
      <c r="D31">
        <v>9397</v>
      </c>
      <c r="E31">
        <v>5302</v>
      </c>
      <c r="G31" s="27">
        <f>('Financial Statements'!B91-10708)+'Financial Statements'!B104</f>
        <v>116908</v>
      </c>
      <c r="H31" s="27">
        <f>('Financial Statements'!C91-11085)+'Financial Statements'!C104</f>
        <v>113346</v>
      </c>
      <c r="I31" s="27">
        <f>('Financial Statements'!D91-7309)+'Financial Statements'!D104</f>
        <v>89456</v>
      </c>
      <c r="J31" s="28"/>
    </row>
    <row r="32" spans="1:11" x14ac:dyDescent="0.25">
      <c r="A32" s="18"/>
      <c r="G32" s="27"/>
      <c r="H32" s="27"/>
      <c r="I32" s="27"/>
      <c r="J32" s="28"/>
    </row>
    <row r="33" spans="1:10" x14ac:dyDescent="0.25">
      <c r="A33" s="18">
        <f>+A24+1</f>
        <v>4</v>
      </c>
      <c r="B33" s="17" t="s">
        <v>124</v>
      </c>
      <c r="G33" s="27"/>
      <c r="H33" s="27"/>
      <c r="I33" s="27"/>
      <c r="J33" s="28"/>
    </row>
    <row r="34" spans="1:10" x14ac:dyDescent="0.25">
      <c r="A34" s="18">
        <f>+A33+0.1</f>
        <v>4.0999999999999996</v>
      </c>
      <c r="B34" s="1" t="s">
        <v>125</v>
      </c>
      <c r="C34">
        <v>1.1220000000000001</v>
      </c>
      <c r="D34">
        <v>1.044</v>
      </c>
      <c r="E34">
        <v>0.84899999999999998</v>
      </c>
      <c r="G34" s="27">
        <f>'Financial Statements'!B8/'Financial Statements'!B48</f>
        <v>1.1178523337727317</v>
      </c>
      <c r="H34" s="27">
        <f>'Financial Statements'!C8/'Financial Statements'!C48</f>
        <v>1.0422077367080529</v>
      </c>
      <c r="I34" s="27">
        <f>'Financial Statements'!D8/'Financial Statements'!D48</f>
        <v>0.84756150274168851</v>
      </c>
      <c r="J34" s="28"/>
    </row>
    <row r="35" spans="1:10" x14ac:dyDescent="0.25">
      <c r="A35" s="18">
        <f t="shared" ref="A35:A37" si="3">+A34+0.1</f>
        <v>4.1999999999999993</v>
      </c>
      <c r="B35" s="1" t="s">
        <v>126</v>
      </c>
      <c r="C35">
        <v>9.36</v>
      </c>
      <c r="D35">
        <v>9.2769999999999992</v>
      </c>
      <c r="E35">
        <v>7.4610000000000003</v>
      </c>
      <c r="G35" s="27">
        <f>'Financial Statements'!B8/(AVERAGE('Financial Statements'!B44:B46))</f>
        <v>5.4427605244996551</v>
      </c>
      <c r="H35" s="27">
        <f>'Financial Statements'!C8/(AVERAGE('Financial Statements'!C44:C46))</f>
        <v>5.0768899826984821</v>
      </c>
      <c r="I35" s="27">
        <f>'Financial Statements'!D8/(AVERAGE('Financial Statements'!D44:D46))</f>
        <v>4.5708061606771189</v>
      </c>
      <c r="J35" s="28"/>
    </row>
    <row r="36" spans="1:10" x14ac:dyDescent="0.25">
      <c r="A36" s="18">
        <f t="shared" si="3"/>
        <v>4.2999999999999989</v>
      </c>
      <c r="B36" s="1" t="s">
        <v>127</v>
      </c>
      <c r="C36">
        <v>64</v>
      </c>
      <c r="D36">
        <v>55.018999999999998</v>
      </c>
      <c r="E36">
        <v>57.344000000000001</v>
      </c>
      <c r="G36" s="27">
        <f>'Financial Statements'!B12/'Financial Statements'!B39</f>
        <v>45.197331176708452</v>
      </c>
      <c r="H36" s="27">
        <f>'Financial Statements'!C12/'Financial Statements'!C39</f>
        <v>32.367933130699086</v>
      </c>
      <c r="I36" s="27">
        <f>'Financial Statements'!D12/'Financial Statements'!D39</f>
        <v>41.753016498399411</v>
      </c>
      <c r="J36" s="28"/>
    </row>
    <row r="37" spans="1:10" x14ac:dyDescent="0.25">
      <c r="A37" s="18">
        <f t="shared" si="3"/>
        <v>4.3999999999999986</v>
      </c>
      <c r="B37" s="1" t="s">
        <v>128</v>
      </c>
      <c r="C37" s="24">
        <v>0.2833</v>
      </c>
      <c r="D37" s="24">
        <v>0.28760000000000002</v>
      </c>
      <c r="E37" s="24">
        <v>0.1772</v>
      </c>
      <c r="G37" s="29">
        <f>'Financial Statements'!B22/'Financial Statements'!B48</f>
        <v>0.28292440929256851</v>
      </c>
      <c r="H37" s="29">
        <f>'Financial Statements'!C22/'Financial Statements'!C48</f>
        <v>0.26974205275183616</v>
      </c>
      <c r="I37" s="29">
        <f>'Financial Statements'!D22/'Financial Statements'!D48</f>
        <v>0.1772557180259843</v>
      </c>
      <c r="J37" s="28"/>
    </row>
    <row r="38" spans="1:10" x14ac:dyDescent="0.25">
      <c r="A38" s="18"/>
      <c r="G38" s="27"/>
      <c r="H38" s="27"/>
      <c r="I38" s="27"/>
      <c r="J38" s="28"/>
    </row>
    <row r="39" spans="1:10" x14ac:dyDescent="0.25">
      <c r="A39" s="18">
        <f>+A33+1</f>
        <v>5</v>
      </c>
      <c r="B39" s="17" t="s">
        <v>129</v>
      </c>
      <c r="G39" s="27"/>
      <c r="H39" s="27"/>
      <c r="I39" s="27"/>
      <c r="J39" s="28"/>
    </row>
    <row r="40" spans="1:10" x14ac:dyDescent="0.25">
      <c r="A40" s="18">
        <f>+A39+0.1</f>
        <v>5.0999999999999996</v>
      </c>
      <c r="B40" s="1" t="s">
        <v>130</v>
      </c>
      <c r="C40">
        <v>31.36</v>
      </c>
      <c r="D40">
        <v>34.18</v>
      </c>
      <c r="E40">
        <v>58.36</v>
      </c>
      <c r="G40" s="33">
        <v>31.36</v>
      </c>
      <c r="H40" s="33">
        <v>34.18</v>
      </c>
      <c r="I40" s="33">
        <v>58.36</v>
      </c>
      <c r="J40" s="28"/>
    </row>
    <row r="41" spans="1:10" x14ac:dyDescent="0.25">
      <c r="A41" s="18">
        <f t="shared" ref="A41:A44" si="4">+A40+0.1</f>
        <v>5.1999999999999993</v>
      </c>
      <c r="B41" s="3" t="s">
        <v>131</v>
      </c>
      <c r="C41">
        <v>6.11</v>
      </c>
      <c r="D41">
        <v>5.61</v>
      </c>
      <c r="E41">
        <v>3.28</v>
      </c>
      <c r="G41" s="33">
        <v>6.11</v>
      </c>
      <c r="H41" s="33">
        <v>5.61</v>
      </c>
      <c r="I41" s="33">
        <v>3.28</v>
      </c>
      <c r="J41" s="28"/>
    </row>
    <row r="42" spans="1:10" x14ac:dyDescent="0.25">
      <c r="A42" s="18">
        <f t="shared" si="4"/>
        <v>5.2999999999999989</v>
      </c>
      <c r="B42" s="1" t="s">
        <v>132</v>
      </c>
      <c r="C42">
        <v>16.28</v>
      </c>
      <c r="D42">
        <v>14.44</v>
      </c>
      <c r="E42">
        <v>13.03</v>
      </c>
      <c r="G42" s="33">
        <v>16.28</v>
      </c>
      <c r="H42" s="33">
        <v>14.44</v>
      </c>
      <c r="I42" s="33">
        <v>13.03</v>
      </c>
      <c r="J42" s="28"/>
    </row>
    <row r="43" spans="1:10" x14ac:dyDescent="0.25">
      <c r="A43" s="18">
        <f t="shared" si="4"/>
        <v>5.3999999999999986</v>
      </c>
      <c r="B43" s="3" t="s">
        <v>133</v>
      </c>
      <c r="C43">
        <v>11.4</v>
      </c>
      <c r="D43">
        <v>13.27</v>
      </c>
      <c r="E43">
        <v>14.71</v>
      </c>
      <c r="G43" s="33">
        <v>11.4</v>
      </c>
      <c r="H43" s="33">
        <v>13.27</v>
      </c>
      <c r="I43" s="33">
        <v>14.71</v>
      </c>
      <c r="J43" s="28"/>
    </row>
    <row r="44" spans="1:10" x14ac:dyDescent="0.25">
      <c r="A44" s="18">
        <f t="shared" si="4"/>
        <v>5.4999999999999982</v>
      </c>
      <c r="B44" s="1" t="s">
        <v>134</v>
      </c>
      <c r="C44">
        <v>0.156</v>
      </c>
      <c r="D44">
        <v>0.16900000000000001</v>
      </c>
      <c r="E44">
        <v>0.28999999999999998</v>
      </c>
      <c r="G44" s="33">
        <v>0.156</v>
      </c>
      <c r="H44" s="33">
        <v>0.16900000000000001</v>
      </c>
      <c r="I44" s="33">
        <v>0.28999999999999998</v>
      </c>
      <c r="J44" s="28"/>
    </row>
    <row r="45" spans="1:10" x14ac:dyDescent="0.25">
      <c r="A45" s="18"/>
      <c r="B45" s="3" t="s">
        <v>135</v>
      </c>
      <c r="C45">
        <v>0.96</v>
      </c>
      <c r="D45">
        <v>0.96</v>
      </c>
      <c r="E45">
        <v>0.96</v>
      </c>
      <c r="G45" s="33">
        <v>0.96</v>
      </c>
      <c r="H45" s="33">
        <v>0.96</v>
      </c>
      <c r="I45" s="33">
        <v>0.96</v>
      </c>
      <c r="J45" s="28"/>
    </row>
    <row r="46" spans="1:10" x14ac:dyDescent="0.25">
      <c r="A46" s="18">
        <f>+A44+0.1</f>
        <v>5.5999999999999979</v>
      </c>
      <c r="B46" s="1" t="s">
        <v>136</v>
      </c>
      <c r="C46">
        <v>0.49</v>
      </c>
      <c r="D46">
        <v>0.49</v>
      </c>
      <c r="E46">
        <v>0.49</v>
      </c>
      <c r="G46" s="33">
        <v>0.49</v>
      </c>
      <c r="H46" s="33">
        <v>0.49</v>
      </c>
      <c r="I46" s="33">
        <v>0.49</v>
      </c>
      <c r="J46" s="28"/>
    </row>
    <row r="47" spans="1:10" x14ac:dyDescent="0.25">
      <c r="A47" s="18">
        <f t="shared" ref="A47:A50" si="5">+A45+0.1</f>
        <v>0.1</v>
      </c>
      <c r="B47" s="1" t="s">
        <v>137</v>
      </c>
      <c r="C47">
        <v>1.53</v>
      </c>
      <c r="D47">
        <v>1.5</v>
      </c>
      <c r="E47">
        <v>0.88</v>
      </c>
      <c r="G47" s="27">
        <f>'Financial Statements'!B22/'Financial Statements'!B68</f>
        <v>1.9695887275023682</v>
      </c>
      <c r="H47" s="27">
        <f>'Financial Statements'!C22/'Financial Statements'!C68</f>
        <v>1.5007132667617689</v>
      </c>
      <c r="I47" s="27">
        <f>'Financial Statements'!D22/'Financial Statements'!D68</f>
        <v>0.87866358530127486</v>
      </c>
      <c r="J47" s="28"/>
    </row>
    <row r="48" spans="1:10" x14ac:dyDescent="0.25">
      <c r="A48" s="18">
        <f t="shared" si="5"/>
        <v>5.6999999999999975</v>
      </c>
      <c r="B48" s="1" t="s">
        <v>138</v>
      </c>
      <c r="C48">
        <v>0.56000000000000005</v>
      </c>
      <c r="D48">
        <v>0.5</v>
      </c>
      <c r="E48">
        <v>0.37</v>
      </c>
      <c r="G48" s="27">
        <f>G21/('Financial Statements'!B48-'Financial Statements'!B56)</f>
        <v>0.60087134570590572</v>
      </c>
      <c r="H48" s="27">
        <f>H21/('Financial Statements'!C48-'Financial Statements'!C56)</f>
        <v>0.48309913489209433</v>
      </c>
      <c r="I48" s="27">
        <f>I21/('Financial Statements'!D48-'Financial Statements'!D56)</f>
        <v>0.30338312829525482</v>
      </c>
      <c r="J48" s="28"/>
    </row>
    <row r="49" spans="1:10" x14ac:dyDescent="0.25">
      <c r="A49" s="18">
        <f t="shared" si="5"/>
        <v>0.2</v>
      </c>
      <c r="B49" s="1" t="s">
        <v>128</v>
      </c>
      <c r="C49">
        <v>0.28000000000000003</v>
      </c>
      <c r="D49">
        <v>0.27</v>
      </c>
      <c r="E49">
        <v>0.18</v>
      </c>
      <c r="G49" s="27">
        <f>'Financial Statements'!B22/'Financial Statements'!B48</f>
        <v>0.28292440929256851</v>
      </c>
      <c r="H49" s="27">
        <f>'Financial Statements'!C22/'Financial Statements'!C48</f>
        <v>0.26974205275183616</v>
      </c>
      <c r="I49" s="27">
        <f>'Financial Statements'!D22/'Financial Statements'!D48</f>
        <v>0.1772557180259843</v>
      </c>
      <c r="J49" s="28"/>
    </row>
    <row r="50" spans="1:10" x14ac:dyDescent="0.25">
      <c r="A50" s="18">
        <f t="shared" si="5"/>
        <v>5.7999999999999972</v>
      </c>
      <c r="B50" s="1" t="s">
        <v>139</v>
      </c>
      <c r="C50">
        <v>25.42</v>
      </c>
      <c r="D50">
        <v>27.68</v>
      </c>
      <c r="E50">
        <v>45.1</v>
      </c>
      <c r="G50" s="33">
        <v>25.42</v>
      </c>
      <c r="H50" s="33">
        <v>27.68</v>
      </c>
      <c r="I50" s="33">
        <v>45.1</v>
      </c>
      <c r="J50" s="28"/>
    </row>
    <row r="51" spans="1:10" x14ac:dyDescent="0.25">
      <c r="A51" s="18"/>
      <c r="B51" s="3" t="s">
        <v>140</v>
      </c>
      <c r="C51">
        <v>25.42</v>
      </c>
      <c r="D51">
        <v>27.68</v>
      </c>
      <c r="E51">
        <v>45.1</v>
      </c>
      <c r="G51" s="33">
        <v>25.42</v>
      </c>
      <c r="H51" s="33">
        <v>27.68</v>
      </c>
      <c r="I51" s="33">
        <v>45.1</v>
      </c>
      <c r="J51" s="28"/>
    </row>
    <row r="52" spans="1:10" x14ac:dyDescent="0.25">
      <c r="G52" s="27"/>
      <c r="H52" s="27"/>
      <c r="I52" s="27"/>
      <c r="J52" s="28"/>
    </row>
    <row r="53" spans="1:10" x14ac:dyDescent="0.25">
      <c r="B53" s="1" t="s">
        <v>145</v>
      </c>
      <c r="G53" s="27"/>
      <c r="H53" s="27"/>
      <c r="I53" s="27"/>
      <c r="J53" s="28"/>
    </row>
    <row r="54" spans="1:10" x14ac:dyDescent="0.25">
      <c r="B54" s="1" t="s">
        <v>150</v>
      </c>
      <c r="C54">
        <v>316199</v>
      </c>
      <c r="D54">
        <v>297392</v>
      </c>
      <c r="E54">
        <v>220747</v>
      </c>
      <c r="G54" s="27">
        <f>'Financial Statements'!B6</f>
        <v>316199</v>
      </c>
      <c r="H54" s="27">
        <f>'Financial Statements'!C6</f>
        <v>297392</v>
      </c>
      <c r="I54" s="27">
        <f>'Financial Statements'!D6</f>
        <v>220747</v>
      </c>
      <c r="J54" s="28"/>
    </row>
    <row r="55" spans="1:10" x14ac:dyDescent="0.25">
      <c r="B55" s="1" t="s">
        <v>5</v>
      </c>
      <c r="C55">
        <v>78129</v>
      </c>
      <c r="D55">
        <v>68425</v>
      </c>
      <c r="E55">
        <v>53768</v>
      </c>
      <c r="G55" s="27">
        <f>'Financial Statements'!B7</f>
        <v>78129</v>
      </c>
      <c r="H55" s="27">
        <f>'Financial Statements'!C7</f>
        <v>68425</v>
      </c>
      <c r="I55" s="27">
        <f>'Financial Statements'!D7</f>
        <v>53768</v>
      </c>
      <c r="J55" s="28"/>
    </row>
    <row r="56" spans="1:10" x14ac:dyDescent="0.25">
      <c r="B56" s="1" t="s">
        <v>151</v>
      </c>
      <c r="C56">
        <v>394328</v>
      </c>
      <c r="D56">
        <v>365817</v>
      </c>
      <c r="E56">
        <v>274515</v>
      </c>
      <c r="G56" s="27">
        <f>SUM(G54:G55)</f>
        <v>394328</v>
      </c>
      <c r="H56" s="27">
        <f t="shared" ref="H56:I56" si="6">SUM(H54:H55)</f>
        <v>365817</v>
      </c>
      <c r="I56" s="27">
        <f t="shared" si="6"/>
        <v>274515</v>
      </c>
      <c r="J56" s="28"/>
    </row>
    <row r="57" spans="1:10" x14ac:dyDescent="0.25">
      <c r="B57" s="1" t="s">
        <v>89</v>
      </c>
      <c r="C57">
        <v>170782</v>
      </c>
      <c r="D57">
        <v>152836</v>
      </c>
      <c r="E57">
        <v>104956</v>
      </c>
      <c r="G57" s="27">
        <f>'Financial Statements'!B13</f>
        <v>170782</v>
      </c>
      <c r="H57" s="27">
        <f>'Financial Statements'!C13</f>
        <v>152836</v>
      </c>
      <c r="I57" s="27">
        <f>'Financial Statements'!D13</f>
        <v>104956</v>
      </c>
      <c r="J57" s="28"/>
    </row>
    <row r="58" spans="1:10" x14ac:dyDescent="0.25">
      <c r="B58" s="1" t="s">
        <v>90</v>
      </c>
      <c r="G58" s="27"/>
      <c r="H58" s="27"/>
      <c r="I58" s="27"/>
      <c r="J58" s="28"/>
    </row>
    <row r="59" spans="1:10" x14ac:dyDescent="0.25">
      <c r="B59" s="1" t="s">
        <v>11</v>
      </c>
      <c r="C59">
        <v>26251</v>
      </c>
      <c r="D59">
        <v>21914</v>
      </c>
      <c r="E59">
        <v>18752</v>
      </c>
      <c r="G59" s="27">
        <f>'Financial Statements'!B15</f>
        <v>26251</v>
      </c>
      <c r="H59" s="27">
        <f>'Financial Statements'!C15</f>
        <v>21914</v>
      </c>
      <c r="I59" s="27">
        <f>'Financial Statements'!D15</f>
        <v>18752</v>
      </c>
      <c r="J59" s="28"/>
    </row>
    <row r="60" spans="1:10" x14ac:dyDescent="0.25">
      <c r="B60" s="1" t="s">
        <v>12</v>
      </c>
      <c r="C60">
        <v>25094</v>
      </c>
      <c r="D60">
        <v>21973</v>
      </c>
      <c r="E60">
        <v>19916</v>
      </c>
      <c r="G60" s="27">
        <f>'Financial Statements'!B16</f>
        <v>25094</v>
      </c>
      <c r="H60" s="27">
        <f>'Financial Statements'!C16</f>
        <v>21973</v>
      </c>
      <c r="I60" s="27">
        <f>'Financial Statements'!D16</f>
        <v>19916</v>
      </c>
      <c r="J60" s="28"/>
    </row>
    <row r="61" spans="1:10" x14ac:dyDescent="0.25">
      <c r="B61" s="1" t="s">
        <v>91</v>
      </c>
      <c r="G61" s="27"/>
      <c r="H61" s="27"/>
      <c r="I61" s="27"/>
      <c r="J61" s="28"/>
    </row>
    <row r="62" spans="1:10" x14ac:dyDescent="0.25">
      <c r="B62" s="1" t="s">
        <v>152</v>
      </c>
      <c r="C62">
        <v>352755</v>
      </c>
      <c r="D62">
        <v>351002</v>
      </c>
      <c r="E62">
        <v>323888</v>
      </c>
      <c r="G62" s="27">
        <f>'Financial Statements'!B48</f>
        <v>352755</v>
      </c>
      <c r="H62" s="27">
        <f>'Financial Statements'!C48</f>
        <v>351002</v>
      </c>
      <c r="I62" s="27">
        <f>'Financial Statements'!D48</f>
        <v>323888</v>
      </c>
      <c r="J62" s="28"/>
    </row>
    <row r="63" spans="1:10" x14ac:dyDescent="0.25">
      <c r="B63" s="1" t="s">
        <v>41</v>
      </c>
      <c r="C63">
        <v>302083</v>
      </c>
      <c r="D63">
        <v>287912</v>
      </c>
      <c r="E63">
        <v>258549</v>
      </c>
      <c r="G63" s="27">
        <f>'Financial Statements'!B62</f>
        <v>302083</v>
      </c>
      <c r="H63" s="27">
        <f>'Financial Statements'!C62</f>
        <v>287912</v>
      </c>
      <c r="I63" s="27">
        <f>'Financial Statements'!D62</f>
        <v>258549</v>
      </c>
      <c r="J63" s="28"/>
    </row>
    <row r="64" spans="1:10" x14ac:dyDescent="0.25">
      <c r="B64" s="1"/>
      <c r="G64" s="27"/>
      <c r="H64" s="27"/>
      <c r="I64" s="27"/>
      <c r="J64" s="28"/>
    </row>
    <row r="65" spans="2:10" x14ac:dyDescent="0.25">
      <c r="B65" s="1" t="s">
        <v>146</v>
      </c>
      <c r="C65" s="24">
        <v>0.56659999999999999</v>
      </c>
      <c r="D65" s="24">
        <v>0.5827</v>
      </c>
      <c r="E65" s="24">
        <v>0.61799999999999999</v>
      </c>
      <c r="G65" s="27">
        <f>('Financial Statements'!B12/'Financial Statements'!B8)*100</f>
        <v>56.690369438639912</v>
      </c>
      <c r="H65" s="27">
        <f>('Financial Statements'!C12/'Financial Statements'!C8)*100</f>
        <v>58.220640374832222</v>
      </c>
      <c r="I65" s="27">
        <f>('Financial Statements'!D12/'Financial Statements'!D8)*100</f>
        <v>61.76675227218913</v>
      </c>
      <c r="J65" s="28"/>
    </row>
    <row r="66" spans="2:10" x14ac:dyDescent="0.25">
      <c r="B66" s="1" t="s">
        <v>89</v>
      </c>
      <c r="C66" s="24">
        <v>0.43340000000000001</v>
      </c>
      <c r="D66" s="24">
        <v>0.4173</v>
      </c>
      <c r="E66" s="24">
        <v>0.38290000000000002</v>
      </c>
      <c r="G66" s="27">
        <f>('Financial Statements'!B13/'Financial Statements'!B8)*100</f>
        <v>43.309630561360088</v>
      </c>
      <c r="H66" s="27">
        <f>('Financial Statements'!C13/'Financial Statements'!C8)*100</f>
        <v>41.779359625167778</v>
      </c>
      <c r="I66" s="27">
        <f>('Financial Statements'!D13/'Financial Statements'!D8)*100</f>
        <v>38.233247727810863</v>
      </c>
      <c r="J66" s="28"/>
    </row>
    <row r="67" spans="2:10" x14ac:dyDescent="0.25">
      <c r="B67" s="1" t="s">
        <v>90</v>
      </c>
      <c r="G67" s="27"/>
      <c r="H67" s="27"/>
      <c r="I67" s="27"/>
      <c r="J67" s="28"/>
    </row>
    <row r="68" spans="2:10" x14ac:dyDescent="0.25">
      <c r="B68" s="1" t="s">
        <v>153</v>
      </c>
      <c r="C68" s="24">
        <v>6.6600000000000006E-2</v>
      </c>
      <c r="D68" s="24">
        <v>5.9900000000000002E-2</v>
      </c>
      <c r="E68" s="24">
        <v>6.4799999999999996E-2</v>
      </c>
      <c r="G68" s="27">
        <f>('Financial Statements'!B15/'Financial Statements'!B8)*100</f>
        <v>6.6571483637986653</v>
      </c>
      <c r="H68" s="27">
        <f>('Financial Statements'!C15/'Financial Statements'!C8)*100</f>
        <v>5.9904269074427923</v>
      </c>
      <c r="I68" s="27">
        <f>('Financial Statements'!D15/'Financial Statements'!D8)*100</f>
        <v>6.8309564140393064</v>
      </c>
      <c r="J68" s="28"/>
    </row>
    <row r="69" spans="2:10" x14ac:dyDescent="0.25">
      <c r="B69" s="1" t="s">
        <v>12</v>
      </c>
      <c r="C69" s="24">
        <v>6.3600000000000004E-2</v>
      </c>
      <c r="D69" s="24">
        <v>0.06</v>
      </c>
      <c r="E69" s="24">
        <v>7.2700000000000001E-2</v>
      </c>
      <c r="G69" s="27">
        <f>('Financial Statements'!B16/'Financial Statements'!B8)*100</f>
        <v>6.3637378020328264</v>
      </c>
      <c r="H69" s="27">
        <f>('Financial Statements'!C16/'Financial Statements'!C8)*100</f>
        <v>6.0065551901633878</v>
      </c>
      <c r="I69" s="27">
        <f>('Financial Statements'!D16/'Financial Statements'!D8)*100</f>
        <v>7.254976959364698</v>
      </c>
      <c r="J69" s="28"/>
    </row>
    <row r="70" spans="2:10" x14ac:dyDescent="0.25">
      <c r="B70" s="1" t="s">
        <v>14</v>
      </c>
      <c r="C70" s="24">
        <v>0.30259999999999998</v>
      </c>
      <c r="D70" s="24">
        <v>0.2974</v>
      </c>
      <c r="E70" s="24">
        <v>0.2414</v>
      </c>
      <c r="G70" s="27">
        <f>('Financial Statements'!B18/'Financial Statements'!B8)*100</f>
        <v>30.288744395528592</v>
      </c>
      <c r="H70" s="27">
        <f>('Financial Statements'!C18/'Financial Statements'!C8)*100</f>
        <v>29.782377527561593</v>
      </c>
      <c r="I70" s="27">
        <f>('Financial Statements'!D18/'Financial Statements'!D8)*100</f>
        <v>24.147314354406863</v>
      </c>
      <c r="J70" s="28"/>
    </row>
    <row r="71" spans="2:10" x14ac:dyDescent="0.25">
      <c r="B71" s="1" t="s">
        <v>93</v>
      </c>
      <c r="C71" s="24">
        <v>0.25309999999999999</v>
      </c>
      <c r="D71" s="24">
        <v>0.25890000000000002</v>
      </c>
      <c r="E71" s="24">
        <v>0.20910000000000001</v>
      </c>
      <c r="G71" s="27">
        <f>('Financial Statements'!B22/'Financial Statements'!B8)*100</f>
        <v>25.309640705199733</v>
      </c>
      <c r="H71" s="27">
        <f>('Financial Statements'!C22/'Financial Statements'!C8)*100</f>
        <v>25.881793355694239</v>
      </c>
      <c r="I71" s="27">
        <f>('Financial Statements'!D22/'Financial Statements'!D8)*100</f>
        <v>20.913611278072235</v>
      </c>
      <c r="J71" s="28"/>
    </row>
    <row r="72" spans="2:10" x14ac:dyDescent="0.25">
      <c r="G72" s="27"/>
      <c r="H72" s="27"/>
      <c r="I72" s="27"/>
      <c r="J72" s="28"/>
    </row>
    <row r="73" spans="2:10" x14ac:dyDescent="0.25">
      <c r="B73" s="1" t="s">
        <v>94</v>
      </c>
      <c r="C73" s="24">
        <v>0.19359999999999999</v>
      </c>
      <c r="D73" s="24">
        <v>0.1535</v>
      </c>
      <c r="E73" s="24">
        <v>0.1686</v>
      </c>
      <c r="G73" s="29">
        <f>'Financial Statements'!B21/'Financial Statements'!B20</f>
        <v>0.16204461684424407</v>
      </c>
      <c r="H73" s="29">
        <f>'Financial Statements'!C21/'Financial Statements'!C20</f>
        <v>0.13302260844085087</v>
      </c>
      <c r="I73" s="29">
        <f>'Financial Statements'!D21/'Financial Statements'!D20</f>
        <v>0.14428164731484103</v>
      </c>
      <c r="J73" s="28"/>
    </row>
    <row r="74" spans="2:10" x14ac:dyDescent="0.25">
      <c r="B74" s="1" t="s">
        <v>95</v>
      </c>
      <c r="C74" s="24">
        <v>-5.67E-2</v>
      </c>
      <c r="D74" s="24">
        <v>-3.9800000000000002E-2</v>
      </c>
      <c r="E74" s="24">
        <v>-1.5599999999999999E-2</v>
      </c>
      <c r="G74" s="29">
        <f>('Financial Statements'!B96/'Financial Statements'!B8)</f>
        <v>-2.7155058732831552E-2</v>
      </c>
      <c r="H74" s="29">
        <f>('Financial Statements'!C96/'Financial Statements'!C8)</f>
        <v>-3.0302036264033657E-2</v>
      </c>
      <c r="I74" s="29">
        <f>('Financial Statements'!D96/'Financial Statements'!D8)</f>
        <v>-2.6625138881299748E-2</v>
      </c>
      <c r="J74" s="28"/>
    </row>
    <row r="75" spans="2:10" x14ac:dyDescent="0.25">
      <c r="B75" s="1" t="s">
        <v>96</v>
      </c>
      <c r="C75" s="24">
        <v>-0.10290000000000001</v>
      </c>
      <c r="D75" s="24">
        <v>-6.7299999999999999E-2</v>
      </c>
      <c r="E75" s="24">
        <v>-2.3800000000000002E-2</v>
      </c>
      <c r="G75" s="29">
        <f>('Financial Statements'!B96/'Financial Statements'!B47)</f>
        <v>-4.9266160570508394E-2</v>
      </c>
      <c r="H75" s="29">
        <f>('Financial Statements'!C96/'Financial Statements'!C47)</f>
        <v>-5.1280034788079534E-2</v>
      </c>
      <c r="I75" s="29">
        <f>('Financial Statements'!D96/'Financial Statements'!D47)</f>
        <v>-4.0566116275842931E-2</v>
      </c>
      <c r="J75" s="28"/>
    </row>
    <row r="76" spans="2:10" x14ac:dyDescent="0.25">
      <c r="G76" s="27"/>
      <c r="H76" s="27"/>
      <c r="I76" s="27"/>
      <c r="J76" s="28"/>
    </row>
    <row r="77" spans="2:10" x14ac:dyDescent="0.25">
      <c r="G77" s="27"/>
      <c r="H77" s="27"/>
      <c r="I77" s="27"/>
      <c r="J77" s="28"/>
    </row>
    <row r="78" spans="2:10" x14ac:dyDescent="0.25">
      <c r="G78" s="27"/>
      <c r="H78" s="27"/>
      <c r="I78" s="27"/>
      <c r="J78" s="28"/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Olga Kimbur</cp:lastModifiedBy>
  <cp:lastPrinted>2024-04-30T09:12:14Z</cp:lastPrinted>
  <dcterms:created xsi:type="dcterms:W3CDTF">2020-05-18T16:32:37Z</dcterms:created>
  <dcterms:modified xsi:type="dcterms:W3CDTF">2024-04-30T16:17:13Z</dcterms:modified>
</cp:coreProperties>
</file>