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y Jarvis\Documents\investement analysis\"/>
    </mc:Choice>
  </mc:AlternateContent>
  <xr:revisionPtr revIDLastSave="0" documentId="13_ncr:1_{DBB5F6A3-B5D8-4EB1-BF87-165966396337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Instructions" sheetId="1" r:id="rId1"/>
    <sheet name="Sheet1" sheetId="4" r:id="rId2"/>
    <sheet name="Sheet2" sheetId="5" r:id="rId3"/>
    <sheet name="Sheet3" sheetId="6" r:id="rId4"/>
    <sheet name="Financial Statements" sheetId="2" r:id="rId5"/>
    <sheet name="List of Ratios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" l="1"/>
  <c r="C12" i="3"/>
  <c r="D12" i="3"/>
  <c r="E49" i="3"/>
  <c r="D49" i="3"/>
  <c r="C49" i="3"/>
  <c r="E30" i="3"/>
  <c r="D30" i="3"/>
  <c r="C30" i="3"/>
  <c r="E43" i="3"/>
  <c r="D43" i="3"/>
  <c r="D42" i="3" s="1"/>
  <c r="C43" i="3"/>
  <c r="E51" i="3"/>
  <c r="D51" i="3"/>
  <c r="C51" i="3"/>
  <c r="C50" i="3" s="1"/>
  <c r="E31" i="3"/>
  <c r="D31" i="3"/>
  <c r="C31" i="3"/>
  <c r="E47" i="3"/>
  <c r="D47" i="3"/>
  <c r="C47" i="3"/>
  <c r="E48" i="3"/>
  <c r="D48" i="3"/>
  <c r="C48" i="3"/>
  <c r="E50" i="3"/>
  <c r="D50" i="3"/>
  <c r="E42" i="3"/>
  <c r="C42" i="3"/>
  <c r="E40" i="3"/>
  <c r="D40" i="3"/>
  <c r="C40" i="3"/>
  <c r="E41" i="3"/>
  <c r="D41" i="3"/>
  <c r="C41" i="3"/>
  <c r="E37" i="3"/>
  <c r="D37" i="3"/>
  <c r="C37" i="3"/>
  <c r="E36" i="3"/>
  <c r="D36" i="3"/>
  <c r="C36" i="3"/>
  <c r="E35" i="3"/>
  <c r="D35" i="3"/>
  <c r="C35" i="3"/>
  <c r="E34" i="3"/>
  <c r="D34" i="3"/>
  <c r="C34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2" i="3"/>
  <c r="D22" i="3"/>
  <c r="C22" i="3"/>
  <c r="E20" i="3"/>
  <c r="D20" i="3"/>
  <c r="C20" i="3"/>
  <c r="E21" i="3"/>
  <c r="D21" i="3"/>
  <c r="C21" i="3"/>
  <c r="E18" i="3"/>
  <c r="D18" i="3"/>
  <c r="C18" i="3"/>
  <c r="E19" i="3"/>
  <c r="D19" i="3"/>
  <c r="C19" i="3"/>
  <c r="E17" i="3"/>
  <c r="D17" i="3"/>
  <c r="C17" i="3"/>
  <c r="E13" i="3"/>
  <c r="D13" i="3"/>
  <c r="C13" i="3"/>
  <c r="E14" i="3"/>
  <c r="D14" i="3"/>
  <c r="C14" i="3"/>
  <c r="I12" i="2"/>
  <c r="I11" i="2"/>
  <c r="I10" i="2"/>
  <c r="H12" i="2"/>
  <c r="H11" i="2"/>
  <c r="H10" i="2"/>
  <c r="G12" i="2"/>
  <c r="G11" i="2"/>
  <c r="G10" i="2"/>
  <c r="E11" i="3"/>
  <c r="D11" i="3"/>
  <c r="C11" i="3"/>
  <c r="E10" i="3"/>
  <c r="D10" i="3"/>
  <c r="C10" i="3"/>
  <c r="C9" i="3"/>
  <c r="D9" i="3"/>
  <c r="E9" i="3"/>
  <c r="E8" i="3"/>
  <c r="D8" i="3"/>
  <c r="C8" i="3"/>
  <c r="E7" i="3"/>
  <c r="D7" i="3"/>
  <c r="C7" i="3"/>
  <c r="E6" i="3"/>
  <c r="D6" i="3"/>
  <c r="C6" i="3"/>
  <c r="E5" i="3"/>
  <c r="D5" i="3"/>
  <c r="C5" i="3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<sst xmlns="http://schemas.openxmlformats.org/spreadsheetml/2006/main" count="331" uniqueCount="262">
  <si>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</si>
  <si>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</si>
  <si>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</si>
  <si>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</si>
  <si>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</si>
  <si>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</si>
  <si>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</si>
  <si>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</si>
  <si>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</si>
  <si>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</si>
  <si>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</si>
  <si>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</si>
  <si>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</si>
  <si>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</si>
  <si>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</si>
  <si>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</si>
  <si>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</si>
  <si>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</si>
  <si>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</si>
  <si>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</si>
  <si>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</si>
  <si>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</si>
  <si>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</si>
  <si>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</si>
  <si>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</si>
  <si>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</si>
  <si>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</si>
  <si>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</si>
  <si>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</si>
  <si>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</si>
  <si>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</si>
  <si>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</si>
  <si>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</si>
  <si>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</si>
  <si>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</si>
  <si>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</si>
  <si>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</si>
  <si>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</si>
  <si>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</si>
  <si>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</si>
  <si>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</si>
  <si>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</si>
  <si>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</si>
  <si>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</si>
  <si>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</si>
  <si>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</si>
  <si>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</si>
  <si>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</si>
  <si>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</si>
  <si>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</si>
  <si>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</si>
  <si>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</si>
  <si>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</si>
  <si>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</si>
  <si>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</si>
  <si>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</si>
  <si>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</si>
  <si>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</si>
  <si>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</si>
  <si>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</si>
  <si>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</si>
  <si>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</si>
  <si>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</si>
  <si>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</si>
  <si>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</si>
  <si>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</si>
  <si>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</si>
  <si>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</si>
  <si>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</si>
  <si>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</si>
  <si>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</si>
  <si>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</si>
  <si>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</si>
  <si>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</si>
  <si>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</si>
  <si>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</si>
  <si>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</si>
  <si>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</si>
  <si>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</si>
  <si>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</si>
  <si>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</si>
  <si>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</si>
  <si>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</si>
  <si>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</si>
  <si>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</si>
  <si>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</si>
  <si>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</si>
  <si>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</si>
  <si>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</si>
  <si>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</si>
  <si>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</si>
  <si>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</si>
  <si>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</si>
  <si>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</si>
  <si>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</si>
  <si>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</si>
  <si>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</si>
  <si>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</si>
  <si>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</si>
  <si>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</si>
  <si>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</si>
  <si>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</si>
  <si>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</si>
  <si>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</si>
  <si>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</si>
  <si>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</si>
  <si>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</si>
  <si>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</si>
  <si>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</si>
  <si>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</si>
  <si>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</si>
  <si>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</si>
  <si>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</si>
  <si>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</si>
  <si>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</si>
  <si>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</si>
  <si>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</si>
  <si>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</si>
  <si>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</si>
  <si>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</si>
  <si>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</si>
  <si>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</si>
  <si>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</si>
  <si>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</si>
  <si>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</si>
  <si>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</si>
  <si>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</si>
  <si>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</si>
  <si>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</si>
  <si>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</si>
  <si>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</si>
  <si>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</si>
  <si>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</si>
  <si>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</si>
  <si>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</si>
  <si>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</si>
  <si>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</si>
  <si>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</si>
  <si>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</si>
  <si>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</si>
  <si>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</si>
  <si>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</si>
  <si>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</si>
  <si>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</si>
  <si>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9Yy0 !PvYv "YwYQxY0 Oel</t>
  </si>
  <si>
    <t>dfeK dfeJ dfeI</t>
  </si>
  <si>
    <t>b_. 508~-. /X_/ ? kkPtSQU ? kTktOkS ? kRltTlP</t>
  </si>
  <si>
    <t>b_. /_0,[_ /X_/ SOtjOU OltOQj kjltkkT</t>
  </si>
  <si>
    <t>H8.X V_. /X_/ kQQtPRR jUjtPPQ jPltSjj</t>
  </si>
  <si>
    <t>a5_0.[V] _*5_V/_/N</t>
  </si>
  <si>
    <t>#8/. 8^ /X_/ kkktOUT kUOtkSR kRStSUR</t>
  </si>
  <si>
    <t>-X^[XXW_V. jStjTO UTtljQ TltjUj</t>
  </si>
  <si>
    <t>H_\V8X8]} V~ 8V._V. jjtRjl jPtPUQ UStOUk</t>
  </si>
  <si>
    <t>c0Y_.[V] kltlRO kUtPkT kPtPQP</t>
  </si>
  <si>
    <t>i_V_0X V~ ~W[V[/.0.[,_ UtRQT TtUUR StjlU</t>
  </si>
  <si>
    <t>a.\_0 85_0.[V] _*5_V/_ 2[V8W_zt V_. jkT jOR jlk</t>
  </si>
  <si>
    <t>H8.X 85_0.[V] _*5_V/_/ kQUtQRl jjltTRR jRStOPk</t>
  </si>
  <si>
    <t>a5_0.[V] [V8W_ TtklR kjtTjk kTtSTk</t>
  </si>
  <si>
    <t>gV._0_/. [V8W_ jlj TTl PUj</t>
  </si>
  <si>
    <t>gV._0_/. _*5_V/_ 2PTPz 2ktTkQz 2ktRllz</t>
  </si>
  <si>
    <t>a.\_0 [V8W_ 2_*5_V/_zt V_. UTR 2kPUz jlU</t>
  </si>
  <si>
    <t>H8.X V8Vr85_0.[V] [V8W_ 2_*5_V/_z 2Ullz 2ktkRlz 2SRSz</t>
  </si>
  <si>
    <t>gV8W_ _^80_ [V8W_ .*_/ UtPlR kktjRk kUtOQR</t>
  </si>
  <si>
    <t>`08,[/[8V ^80 [V8W_ .*_/ 2QROz 2ktkOQz 2jtUQTz</t>
  </si>
  <si>
    <t>!3-[.}rW_.\8~ [V,_/.W_V. .[,[.}t V_. 8^ .* 2Tz O 2kTz</t>
  </si>
  <si>
    <t>b_. [V8W_ ? UtlUU ? kltlQU ? kktSPP</t>
  </si>
  <si>
    <t>$/[ _0V[V]/ 5_0 /\0_ ? RpUj ? jlpRP ? jUpTR</t>
  </si>
  <si>
    <t>[X-._~ _0V[V]/ 5_0 /\0_ ? RpkS ? jlpkT ? jUplk_x000D_
C_[]\._~r,_0]_ /\0_/ -/_~ [V 8W5-..[8V 8^ _0V[V]/ 5_0 /\0_N_x000D_
$/[ TPl TPQ TOT_x000D_
[X-._~ TOU Sll SlT</t>
  </si>
  <si>
    <t>SlT</t>
  </si>
  <si>
    <t>.-X^[XXW_V. jStjTO UTtljQ TltjUj</t>
  </si>
  <si>
    <t>gV8W_ ._^80_ [V8W_ .*_/ UtPlR kktjRk kUtOQR</t>
  </si>
  <si>
    <t>dfeI</t>
  </si>
  <si>
    <t>kRltTlP</t>
  </si>
  <si>
    <t>kjltkkT</t>
  </si>
  <si>
    <t>jPltSjj</t>
  </si>
  <si>
    <t>kRStSUR</t>
  </si>
  <si>
    <t>TltjUj</t>
  </si>
  <si>
    <t>UStOUk</t>
  </si>
  <si>
    <t>kPtPQP</t>
  </si>
  <si>
    <t>StjlU</t>
  </si>
  <si>
    <t>jlk</t>
  </si>
  <si>
    <t>jRStOPk</t>
  </si>
  <si>
    <t>kTtSTk</t>
  </si>
  <si>
    <t>PUj</t>
  </si>
  <si>
    <t>2ktRllz</t>
  </si>
  <si>
    <t>jlU</t>
  </si>
  <si>
    <t>2SRSz</t>
  </si>
  <si>
    <t>kUtOQR</t>
  </si>
  <si>
    <t>2jtUQTz</t>
  </si>
  <si>
    <t>2kTz</t>
  </si>
  <si>
    <t>kktSPP</t>
  </si>
  <si>
    <t>jUpTR</t>
  </si>
  <si>
    <t>jUplk</t>
  </si>
  <si>
    <t>TOT</t>
  </si>
  <si>
    <t>?</t>
  </si>
  <si>
    <t>Formulas:</t>
  </si>
  <si>
    <t>current ratio= current assets/current liabilties</t>
  </si>
  <si>
    <t>quick ratio= cash&amp;cash equivalents+accountsrecievable/current liabilities</t>
  </si>
  <si>
    <t>cash ratio= cash&amp;cash equivalents/short term liabilities</t>
  </si>
  <si>
    <t>defensive internal ratio= current assets/average daily expenditures</t>
  </si>
  <si>
    <t>inventory days= average inventory/COGS*365 days</t>
  </si>
  <si>
    <t>remove row 85 from formula, only the inventory balance in the balance sheet should be considered</t>
  </si>
  <si>
    <t>reicievable days= average accounts recievable/revenue*365 days</t>
  </si>
  <si>
    <t>remove row 88 from formula, only the payables balance in the balance sheet should be considered</t>
  </si>
  <si>
    <t>remove row 84 from formula, only the receivables balance in the balance sheet should be considered</t>
  </si>
  <si>
    <t>net trading cycle= day inventory outstanding days sales outstanding-days payable outstanding</t>
  </si>
  <si>
    <t>remove *100 and use the % formatting instead</t>
  </si>
  <si>
    <t>working capital as a % of sales= working capital/gross sales*100</t>
  </si>
  <si>
    <t>gross margin= gross profit/revenue</t>
  </si>
  <si>
    <t>EBITDA= earnings before interest, taxes, demorilisation and ammortisation</t>
  </si>
  <si>
    <t>Operating Income (in income statement) + D&amp;A in cash flow</t>
  </si>
  <si>
    <t>EBIT/Sales revenue</t>
  </si>
  <si>
    <t>EBIT= earnings before interest and tax</t>
  </si>
  <si>
    <t>Operating income in income statement</t>
  </si>
  <si>
    <t>net margin= net income/revenue</t>
  </si>
  <si>
    <t>debt to equity= total liabilities/total shareholder equity</t>
  </si>
  <si>
    <t>debt to total assets= total debts/total assets</t>
  </si>
  <si>
    <t>Term debt (under non-current liabilities)/Total shareholder equity</t>
  </si>
  <si>
    <t>long term debt to capital= long term debt/total available capital</t>
  </si>
  <si>
    <t>Term debt (under non-current liabilities)/Total assets</t>
  </si>
  <si>
    <t>times interest earned= income/total interest payable on bonds or other forms of debt</t>
  </si>
  <si>
    <t>Term debt (under non-current liabilities)/Property plant and equipment (under non-current assets)</t>
  </si>
  <si>
    <t>debt coverage= net operating income/ debt service (inc. principal and interest)</t>
  </si>
  <si>
    <t>FCFE= net income+D&amp;A-increase in NWC-CAPEX+net borrowing</t>
  </si>
  <si>
    <t>EBIT/(interest paid + debt repayment)  debt repayment can be found in cash flow statement</t>
  </si>
  <si>
    <t>free cash flow per share= free cash flow/diluted number of shares</t>
  </si>
  <si>
    <t>total asset turnover= net sales/average total assets</t>
  </si>
  <si>
    <t>change in WC can be found in cash flow and Capex is purchase of PPE in cash flow</t>
  </si>
  <si>
    <t>fixed asset turnover= net revenue/average fixed assets</t>
  </si>
  <si>
    <t>inventory turnover ratio= COGS/average inventory</t>
  </si>
  <si>
    <t>return on assets= net income/average total assets</t>
  </si>
  <si>
    <t>sales/total assets</t>
  </si>
  <si>
    <t>price to equity= current stock price/earnings per share</t>
  </si>
  <si>
    <t>sales/PPE</t>
  </si>
  <si>
    <t>COGS/Inventory</t>
  </si>
  <si>
    <t>price to book value= market capitilisation/ book value of equity</t>
  </si>
  <si>
    <t>Net income/total assets</t>
  </si>
  <si>
    <t>dividend payout ratio= dividend per share/earnings per share</t>
  </si>
  <si>
    <t xml:space="preserve"> current stock price/earnings per share</t>
  </si>
  <si>
    <t>net income/diluted number of shares (at the bottom of income statement)</t>
  </si>
  <si>
    <t>dividend yield= dividend/company share price</t>
  </si>
  <si>
    <t>EPS/ BVPS</t>
  </si>
  <si>
    <t>return on equity= net income/average total equity</t>
  </si>
  <si>
    <t>Total shareholder equity/diluted number of shares</t>
  </si>
  <si>
    <t>return on capital employed= NOPAT/average capital employed</t>
  </si>
  <si>
    <t>DPS/EPS</t>
  </si>
  <si>
    <t>return on assets= company's earnings (after tax)/total assets</t>
  </si>
  <si>
    <t>Dividend paid(can be found in cash flow)/diluted number of shares</t>
  </si>
  <si>
    <t>enterprise value to EBITDA= enterprise value/EBITDA</t>
  </si>
  <si>
    <t>DPS/Share price</t>
  </si>
  <si>
    <t>Net income/total shareholder equity</t>
  </si>
  <si>
    <t>EBIT/(term debt + shareholder equity)</t>
  </si>
  <si>
    <t>EV/EBIDTA (calculated from above)</t>
  </si>
  <si>
    <t>market cap (share price*diluted number of shares)+Term debt in balance sheet - Cash in balance sheet</t>
  </si>
  <si>
    <t>DIO</t>
  </si>
  <si>
    <t>DSO</t>
  </si>
  <si>
    <t>DPO</t>
  </si>
  <si>
    <t>Market Share Price</t>
  </si>
  <si>
    <t>Inventory Days + Receivable Days - Payable Days from the numbers calculated above</t>
  </si>
  <si>
    <t>Do not multiply by 1000 for this company</t>
  </si>
  <si>
    <t>Do not divide by 1000 for this company</t>
  </si>
  <si>
    <t>Link to Financial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</si>
</sst>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"/>
    <numFmt numFmtId="168" formatCode="_-* #,##0.0000_-;\-* #,##0.0000_-;_-* &quot;-&quot;??_-;_-@_-"/>
    <numFmt numFmtId="169" formatCode="0.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2" fontId="0" fillId="0" borderId="0" xfId="0" applyNumberFormat="1"/>
    <xf numFmtId="0" fontId="2" fillId="0" borderId="3" xfId="0" applyFont="1" applyBorder="1"/>
    <xf numFmtId="165" fontId="2" fillId="0" borderId="3" xfId="1" applyNumberFormat="1" applyFont="1" applyBorder="1"/>
    <xf numFmtId="165" fontId="2" fillId="0" borderId="0" xfId="1" applyNumberFormat="1" applyFont="1" applyBorder="1"/>
    <xf numFmtId="165" fontId="0" fillId="0" borderId="0" xfId="1" applyNumberFormat="1" applyFont="1" applyBorder="1"/>
    <xf numFmtId="3" fontId="2" fillId="0" borderId="3" xfId="0" applyNumberFormat="1" applyFont="1" applyBorder="1"/>
    <xf numFmtId="167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43" fontId="0" fillId="0" borderId="0" xfId="0" applyNumberFormat="1"/>
    <xf numFmtId="168" fontId="0" fillId="0" borderId="0" xfId="0" applyNumberFormat="1"/>
    <xf numFmtId="9" fontId="0" fillId="0" borderId="0" xfId="3" applyFont="1"/>
    <xf numFmtId="169" fontId="0" fillId="0" borderId="0" xfId="0" applyNumberFormat="1"/>
    <xf numFmtId="1" fontId="0" fillId="0" borderId="0" xfId="0" applyNumberFormat="1"/>
    <xf numFmtId="2" fontId="0" fillId="0" borderId="0" xfId="1" applyNumberFormat="1" applyFont="1"/>
    <xf numFmtId="2" fontId="2" fillId="0" borderId="0" xfId="1" applyNumberFormat="1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1" defaultTableStyle="TableStyleMedium2" defaultPivotStyle="PivotStyleLight16">
    <tableStyle name="Invisible" pivot="0" table="0" count="0" xr9:uid="{AB1195CE-99DF-4C19-97C4-7700E96AD5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63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61</v>
      </c>
    </row>
    <row r="8" spans="1:1" x14ac:dyDescent="0.3">
      <c r="A8" s="2" t="s">
        <v>62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056D5-ED99-4812-9625-B8B5D0E9100F}">
  <dimension ref="A1:A24"/>
  <sheetViews>
    <sheetView workbookViewId="0">
      <selection activeCell="E12" sqref="E12"/>
    </sheetView>
  </sheetViews>
  <sheetFormatPr defaultRowHeight="14.4" x14ac:dyDescent="0.3"/>
  <cols>
    <col min="1" max="1" width="48.44140625" bestFit="1" customWidth="1"/>
  </cols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6" spans="1:1" x14ac:dyDescent="0.3">
      <c r="A6" t="s">
        <v>149</v>
      </c>
    </row>
    <row r="7" spans="1:1" x14ac:dyDescent="0.3">
      <c r="A7" t="s">
        <v>150</v>
      </c>
    </row>
    <row r="8" spans="1:1" x14ac:dyDescent="0.3">
      <c r="A8" t="s">
        <v>151</v>
      </c>
    </row>
    <row r="9" spans="1:1" x14ac:dyDescent="0.3">
      <c r="A9" t="s">
        <v>152</v>
      </c>
    </row>
    <row r="10" spans="1:1" x14ac:dyDescent="0.3">
      <c r="A10" t="s">
        <v>153</v>
      </c>
    </row>
    <row r="11" spans="1:1" x14ac:dyDescent="0.3">
      <c r="A11" t="s">
        <v>154</v>
      </c>
    </row>
    <row r="12" spans="1:1" x14ac:dyDescent="0.3">
      <c r="A12" t="s">
        <v>155</v>
      </c>
    </row>
    <row r="13" spans="1:1" x14ac:dyDescent="0.3">
      <c r="A13" t="s">
        <v>156</v>
      </c>
    </row>
    <row r="14" spans="1:1" x14ac:dyDescent="0.3">
      <c r="A14" t="s">
        <v>157</v>
      </c>
    </row>
    <row r="15" spans="1:1" x14ac:dyDescent="0.3">
      <c r="A15" t="s">
        <v>158</v>
      </c>
    </row>
    <row r="16" spans="1:1" x14ac:dyDescent="0.3">
      <c r="A16" t="s">
        <v>159</v>
      </c>
    </row>
    <row r="17" spans="1:1" x14ac:dyDescent="0.3">
      <c r="A17" t="s">
        <v>160</v>
      </c>
    </row>
    <row r="18" spans="1:1" x14ac:dyDescent="0.3">
      <c r="A18" t="s">
        <v>161</v>
      </c>
    </row>
    <row r="19" spans="1:1" x14ac:dyDescent="0.3">
      <c r="A19" t="s">
        <v>162</v>
      </c>
    </row>
    <row r="20" spans="1:1" x14ac:dyDescent="0.3">
      <c r="A20" t="s">
        <v>163</v>
      </c>
    </row>
    <row r="21" spans="1:1" x14ac:dyDescent="0.3">
      <c r="A21" t="s">
        <v>164</v>
      </c>
    </row>
    <row r="22" spans="1:1" x14ac:dyDescent="0.3">
      <c r="A22" t="s">
        <v>165</v>
      </c>
    </row>
    <row r="23" spans="1:1" x14ac:dyDescent="0.3">
      <c r="A23" t="s">
        <v>166</v>
      </c>
    </row>
    <row r="24" spans="1:1" ht="72" x14ac:dyDescent="0.3">
      <c r="A24" s="2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08CAA-A9C5-493C-A862-5DA3E6D6805A}">
  <dimension ref="A1:A24"/>
  <sheetViews>
    <sheetView workbookViewId="0">
      <selection activeCell="A23" sqref="A23"/>
    </sheetView>
  </sheetViews>
  <sheetFormatPr defaultRowHeight="14.4" x14ac:dyDescent="0.3"/>
  <cols>
    <col min="1" max="1" width="48.44140625" bestFit="1" customWidth="1"/>
  </cols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6" spans="1:1" x14ac:dyDescent="0.3">
      <c r="A6" t="s">
        <v>149</v>
      </c>
    </row>
    <row r="7" spans="1:1" x14ac:dyDescent="0.3">
      <c r="A7" t="s">
        <v>150</v>
      </c>
    </row>
    <row r="8" spans="1:1" x14ac:dyDescent="0.3">
      <c r="A8" t="s">
        <v>169</v>
      </c>
    </row>
    <row r="9" spans="1:1" x14ac:dyDescent="0.3">
      <c r="A9" t="s">
        <v>152</v>
      </c>
    </row>
    <row r="10" spans="1:1" x14ac:dyDescent="0.3">
      <c r="A10" t="s">
        <v>153</v>
      </c>
    </row>
    <row r="11" spans="1:1" x14ac:dyDescent="0.3">
      <c r="A11" t="s">
        <v>154</v>
      </c>
    </row>
    <row r="12" spans="1:1" x14ac:dyDescent="0.3">
      <c r="A12" t="s">
        <v>155</v>
      </c>
    </row>
    <row r="13" spans="1:1" x14ac:dyDescent="0.3">
      <c r="A13" t="s">
        <v>156</v>
      </c>
    </row>
    <row r="14" spans="1:1" x14ac:dyDescent="0.3">
      <c r="A14" t="s">
        <v>157</v>
      </c>
    </row>
    <row r="15" spans="1:1" x14ac:dyDescent="0.3">
      <c r="A15" t="s">
        <v>158</v>
      </c>
    </row>
    <row r="16" spans="1:1" x14ac:dyDescent="0.3">
      <c r="A16" t="s">
        <v>159</v>
      </c>
    </row>
    <row r="17" spans="1:1" x14ac:dyDescent="0.3">
      <c r="A17" t="s">
        <v>160</v>
      </c>
    </row>
    <row r="18" spans="1:1" x14ac:dyDescent="0.3">
      <c r="A18" t="s">
        <v>161</v>
      </c>
    </row>
    <row r="19" spans="1:1" x14ac:dyDescent="0.3">
      <c r="A19" t="s">
        <v>170</v>
      </c>
    </row>
    <row r="20" spans="1:1" x14ac:dyDescent="0.3">
      <c r="A20" t="s">
        <v>163</v>
      </c>
    </row>
    <row r="21" spans="1:1" x14ac:dyDescent="0.3">
      <c r="A21" t="s">
        <v>164</v>
      </c>
    </row>
    <row r="22" spans="1:1" x14ac:dyDescent="0.3">
      <c r="A22" t="s">
        <v>165</v>
      </c>
    </row>
    <row r="23" spans="1:1" x14ac:dyDescent="0.3">
      <c r="A23" t="s">
        <v>166</v>
      </c>
    </row>
    <row r="24" spans="1:1" ht="72" x14ac:dyDescent="0.3">
      <c r="A24" s="2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7C0A8-8647-455D-8A5B-53B6627827A5}">
  <dimension ref="G1:H24"/>
  <sheetViews>
    <sheetView workbookViewId="0">
      <selection activeCell="G6" sqref="G6"/>
    </sheetView>
  </sheetViews>
  <sheetFormatPr defaultRowHeight="14.4" x14ac:dyDescent="0.3"/>
  <sheetData>
    <row r="1" spans="7:8" x14ac:dyDescent="0.3">
      <c r="G1" t="s">
        <v>171</v>
      </c>
      <c r="H1" t="s">
        <v>171</v>
      </c>
    </row>
    <row r="2" spans="7:8" x14ac:dyDescent="0.3">
      <c r="G2" t="s">
        <v>172</v>
      </c>
      <c r="H2" t="s">
        <v>172</v>
      </c>
    </row>
    <row r="3" spans="7:8" x14ac:dyDescent="0.3">
      <c r="G3" t="s">
        <v>173</v>
      </c>
      <c r="H3" t="s">
        <v>173</v>
      </c>
    </row>
    <row r="4" spans="7:8" x14ac:dyDescent="0.3">
      <c r="G4" t="s">
        <v>174</v>
      </c>
      <c r="H4" t="s">
        <v>174</v>
      </c>
    </row>
    <row r="5" spans="7:8" x14ac:dyDescent="0.3">
      <c r="G5" t="s">
        <v>175</v>
      </c>
      <c r="H5" t="s">
        <v>175</v>
      </c>
    </row>
    <row r="6" spans="7:8" x14ac:dyDescent="0.3">
      <c r="G6" t="s">
        <v>176</v>
      </c>
      <c r="H6" t="s">
        <v>176</v>
      </c>
    </row>
    <row r="7" spans="7:8" x14ac:dyDescent="0.3">
      <c r="G7" t="s">
        <v>177</v>
      </c>
      <c r="H7" t="s">
        <v>177</v>
      </c>
    </row>
    <row r="8" spans="7:8" x14ac:dyDescent="0.3">
      <c r="G8" t="s">
        <v>178</v>
      </c>
      <c r="H8" t="s">
        <v>178</v>
      </c>
    </row>
    <row r="9" spans="7:8" x14ac:dyDescent="0.3">
      <c r="G9" t="s">
        <v>179</v>
      </c>
      <c r="H9" t="s">
        <v>179</v>
      </c>
    </row>
    <row r="10" spans="7:8" x14ac:dyDescent="0.3">
      <c r="G10" t="s">
        <v>180</v>
      </c>
      <c r="H10" t="s">
        <v>180</v>
      </c>
    </row>
    <row r="11" spans="7:8" x14ac:dyDescent="0.3">
      <c r="G11" t="s">
        <v>181</v>
      </c>
      <c r="H11" t="s">
        <v>181</v>
      </c>
    </row>
    <row r="12" spans="7:8" x14ac:dyDescent="0.3">
      <c r="G12" t="s">
        <v>182</v>
      </c>
      <c r="H12" t="s">
        <v>182</v>
      </c>
    </row>
    <row r="13" spans="7:8" x14ac:dyDescent="0.3">
      <c r="G13" t="s">
        <v>183</v>
      </c>
      <c r="H13" t="s">
        <v>183</v>
      </c>
    </row>
    <row r="14" spans="7:8" x14ac:dyDescent="0.3">
      <c r="G14" t="s">
        <v>184</v>
      </c>
      <c r="H14" t="s">
        <v>184</v>
      </c>
    </row>
    <row r="15" spans="7:8" x14ac:dyDescent="0.3">
      <c r="G15" t="s">
        <v>185</v>
      </c>
      <c r="H15" t="s">
        <v>185</v>
      </c>
    </row>
    <row r="16" spans="7:8" x14ac:dyDescent="0.3">
      <c r="G16" t="s">
        <v>186</v>
      </c>
      <c r="H16" t="s">
        <v>186</v>
      </c>
    </row>
    <row r="17" spans="7:8" x14ac:dyDescent="0.3">
      <c r="G17" t="s">
        <v>187</v>
      </c>
      <c r="H17" t="s">
        <v>187</v>
      </c>
    </row>
    <row r="18" spans="7:8" x14ac:dyDescent="0.3">
      <c r="G18" t="s">
        <v>188</v>
      </c>
      <c r="H18" t="s">
        <v>188</v>
      </c>
    </row>
    <row r="19" spans="7:8" x14ac:dyDescent="0.3">
      <c r="G19" t="s">
        <v>189</v>
      </c>
      <c r="H19" t="s">
        <v>189</v>
      </c>
    </row>
    <row r="20" spans="7:8" x14ac:dyDescent="0.3">
      <c r="G20" t="s">
        <v>190</v>
      </c>
      <c r="H20" t="s">
        <v>190</v>
      </c>
    </row>
    <row r="21" spans="7:8" x14ac:dyDescent="0.3">
      <c r="G21" t="s">
        <v>191</v>
      </c>
      <c r="H21" t="s">
        <v>191</v>
      </c>
    </row>
    <row r="22" spans="7:8" x14ac:dyDescent="0.3">
      <c r="G22" t="s">
        <v>192</v>
      </c>
      <c r="H22" t="s">
        <v>192</v>
      </c>
    </row>
    <row r="23" spans="7:8" x14ac:dyDescent="0.3">
      <c r="G23" t="s">
        <v>193</v>
      </c>
      <c r="H23" t="s">
        <v>193</v>
      </c>
    </row>
    <row r="24" spans="7:8" x14ac:dyDescent="0.3">
      <c r="G24" t="s">
        <v>168</v>
      </c>
      <c r="H24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topLeftCell="A22" zoomScale="80" zoomScaleNormal="80" workbookViewId="0">
      <selection activeCell="A52" sqref="A52"/>
    </sheetView>
  </sheetViews>
  <sheetFormatPr defaultRowHeight="14.4" x14ac:dyDescent="0.3"/>
  <cols>
    <col min="1" max="1" width="144.88671875" bestFit="1" customWidth="1"/>
    <col min="2" max="3" width="11.5546875" bestFit="1" customWidth="1"/>
    <col min="4" max="4" width="11.6640625" bestFit="1" customWidth="1"/>
    <col min="6" max="6" width="9.21875" bestFit="1" customWidth="1"/>
    <col min="7" max="7" width="16.88671875" bestFit="1" customWidth="1"/>
    <col min="8" max="8" width="9.88671875" bestFit="1" customWidth="1"/>
  </cols>
  <sheetData>
    <row r="1" spans="1:10" ht="60" customHeight="1" x14ac:dyDescent="0.3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42" t="s">
        <v>10</v>
      </c>
      <c r="B2" s="42"/>
      <c r="C2" s="42"/>
      <c r="D2" s="42"/>
    </row>
    <row r="3" spans="1:10" x14ac:dyDescent="0.3">
      <c r="B3" s="41" t="s">
        <v>57</v>
      </c>
      <c r="C3" s="41"/>
      <c r="D3" s="41"/>
    </row>
    <row r="4" spans="1:10" x14ac:dyDescent="0.3">
      <c r="B4" s="9">
        <v>2019</v>
      </c>
      <c r="C4" s="9">
        <v>2018</v>
      </c>
      <c r="D4" s="9">
        <v>2017</v>
      </c>
    </row>
    <row r="5" spans="1:10" x14ac:dyDescent="0.3">
      <c r="A5" t="s">
        <v>64</v>
      </c>
    </row>
    <row r="6" spans="1:10" x14ac:dyDescent="0.3">
      <c r="A6" s="1" t="s">
        <v>65</v>
      </c>
      <c r="B6" s="10">
        <v>160408</v>
      </c>
      <c r="C6" s="10">
        <v>141915</v>
      </c>
      <c r="D6" s="10">
        <v>118573</v>
      </c>
    </row>
    <row r="7" spans="1:10" x14ac:dyDescent="0.3">
      <c r="A7" s="1" t="s">
        <v>66</v>
      </c>
      <c r="B7" s="10">
        <v>120144</v>
      </c>
      <c r="C7" s="10">
        <v>120114</v>
      </c>
      <c r="D7" s="10">
        <v>59293</v>
      </c>
    </row>
    <row r="8" spans="1:10" x14ac:dyDescent="0.3">
      <c r="A8" s="26" t="s">
        <v>67</v>
      </c>
      <c r="B8" s="30">
        <v>280552</v>
      </c>
      <c r="C8" s="27">
        <v>232887</v>
      </c>
      <c r="D8" s="27">
        <v>177866</v>
      </c>
    </row>
    <row r="9" spans="1:10" x14ac:dyDescent="0.3">
      <c r="A9" t="s">
        <v>68</v>
      </c>
      <c r="G9" t="s">
        <v>254</v>
      </c>
      <c r="H9" s="25" t="s">
        <v>255</v>
      </c>
      <c r="I9" t="s">
        <v>256</v>
      </c>
    </row>
    <row r="10" spans="1:10" x14ac:dyDescent="0.3">
      <c r="A10" s="1" t="s">
        <v>65</v>
      </c>
      <c r="B10" s="29">
        <v>165536</v>
      </c>
      <c r="C10" s="29">
        <v>139156</v>
      </c>
      <c r="D10" s="29">
        <v>111934</v>
      </c>
      <c r="F10" s="32">
        <v>2019</v>
      </c>
      <c r="G10" s="31">
        <f>(B39/B12)*365</f>
        <v>36.358447377629176</v>
      </c>
      <c r="H10" s="35">
        <f>(B38/B8)*365</f>
        <v>27.081753115287004</v>
      </c>
      <c r="I10">
        <f>(B38/B12)*365</f>
        <v>36.924303098635356</v>
      </c>
    </row>
    <row r="11" spans="1:10" x14ac:dyDescent="0.3">
      <c r="A11" s="1" t="s">
        <v>66</v>
      </c>
      <c r="B11" s="10">
        <v>40232</v>
      </c>
      <c r="C11" s="10">
        <v>34027</v>
      </c>
      <c r="D11" s="10">
        <v>25249</v>
      </c>
      <c r="F11" s="10">
        <v>2018</v>
      </c>
      <c r="G11" s="31">
        <f>(C39/C12)*365</f>
        <v>36.195873728945685</v>
      </c>
      <c r="H11" s="35">
        <f>(C38/C8)*365</f>
        <v>26.137590333509387</v>
      </c>
      <c r="I11">
        <f>(C38/C12)*365</f>
        <v>35.148397937441899</v>
      </c>
    </row>
    <row r="12" spans="1:10" x14ac:dyDescent="0.3">
      <c r="A12" s="11" t="s">
        <v>69</v>
      </c>
      <c r="B12" s="27">
        <v>205768</v>
      </c>
      <c r="C12" s="27">
        <v>173183</v>
      </c>
      <c r="D12" s="27">
        <v>137183</v>
      </c>
      <c r="F12" s="33">
        <v>2017</v>
      </c>
      <c r="G12" s="31">
        <f>(D39/D12)*365</f>
        <v>42.695924422122275</v>
      </c>
      <c r="H12" s="35">
        <f>(D38/D8)*365</f>
        <v>27.013931836326226</v>
      </c>
      <c r="I12">
        <f>(D38/D12)*365</f>
        <v>35.0251853363755</v>
      </c>
    </row>
    <row r="13" spans="1:10" x14ac:dyDescent="0.3">
      <c r="A13" s="11" t="s">
        <v>11</v>
      </c>
      <c r="B13" s="28"/>
      <c r="C13" s="28"/>
    </row>
    <row r="14" spans="1:10" x14ac:dyDescent="0.3">
      <c r="A14" t="s">
        <v>70</v>
      </c>
      <c r="B14" s="10"/>
      <c r="C14" s="10"/>
      <c r="D14" s="10"/>
    </row>
    <row r="15" spans="1:10" x14ac:dyDescent="0.3">
      <c r="A15" s="1" t="s">
        <v>71</v>
      </c>
      <c r="B15" s="10">
        <v>54809</v>
      </c>
      <c r="C15" s="10">
        <v>42021</v>
      </c>
      <c r="D15" s="10">
        <v>32689</v>
      </c>
    </row>
    <row r="16" spans="1:10" x14ac:dyDescent="0.3">
      <c r="A16" s="1" t="s">
        <v>72</v>
      </c>
      <c r="B16" s="10">
        <v>5404</v>
      </c>
      <c r="C16" s="10">
        <v>4604</v>
      </c>
      <c r="D16" s="10">
        <v>3888</v>
      </c>
    </row>
    <row r="17" spans="1:7" x14ac:dyDescent="0.3">
      <c r="A17" s="11" t="s">
        <v>73</v>
      </c>
      <c r="B17" s="12">
        <v>60213</v>
      </c>
      <c r="C17" s="30">
        <v>46625</v>
      </c>
      <c r="D17" s="30">
        <v>36577</v>
      </c>
    </row>
    <row r="18" spans="1:7" s="11" customFormat="1" x14ac:dyDescent="0.3">
      <c r="A18" s="11" t="s">
        <v>74</v>
      </c>
      <c r="B18" s="12">
        <v>14451</v>
      </c>
      <c r="C18" s="12">
        <v>12421</v>
      </c>
      <c r="D18" s="12">
        <v>4106</v>
      </c>
    </row>
    <row r="19" spans="1:7" x14ac:dyDescent="0.3">
      <c r="A19" t="s">
        <v>75</v>
      </c>
      <c r="B19" s="10">
        <v>203</v>
      </c>
      <c r="C19" s="10">
        <v>183</v>
      </c>
      <c r="D19" s="10">
        <v>346</v>
      </c>
    </row>
    <row r="20" spans="1:7" x14ac:dyDescent="0.3">
      <c r="A20" s="11" t="s">
        <v>76</v>
      </c>
      <c r="B20" s="12">
        <v>13976</v>
      </c>
      <c r="C20" s="12">
        <v>3806</v>
      </c>
      <c r="D20" s="12">
        <v>11261</v>
      </c>
      <c r="G20" t="s">
        <v>257</v>
      </c>
    </row>
    <row r="21" spans="1:7" x14ac:dyDescent="0.3">
      <c r="A21" t="s">
        <v>77</v>
      </c>
      <c r="B21" s="10">
        <v>2374</v>
      </c>
      <c r="C21" s="10">
        <v>1197</v>
      </c>
      <c r="D21" s="10">
        <v>769</v>
      </c>
      <c r="F21" s="10">
        <v>2019</v>
      </c>
      <c r="G21" s="39">
        <v>92.18</v>
      </c>
    </row>
    <row r="22" spans="1:7" ht="15" thickBot="1" x14ac:dyDescent="0.35">
      <c r="A22" s="13" t="s">
        <v>78</v>
      </c>
      <c r="B22" s="14">
        <v>11588</v>
      </c>
      <c r="C22" s="14">
        <v>10073</v>
      </c>
      <c r="D22" s="14">
        <v>3033</v>
      </c>
      <c r="F22" s="33">
        <v>2018</v>
      </c>
      <c r="G22" s="40">
        <v>74.92</v>
      </c>
    </row>
    <row r="23" spans="1:7" ht="15" thickTop="1" x14ac:dyDescent="0.3">
      <c r="A23" t="s">
        <v>79</v>
      </c>
      <c r="F23">
        <v>2017</v>
      </c>
      <c r="G23" s="25">
        <v>58.34</v>
      </c>
    </row>
    <row r="24" spans="1:7" x14ac:dyDescent="0.3">
      <c r="A24" s="1" t="s">
        <v>80</v>
      </c>
      <c r="B24" s="15">
        <v>23.46</v>
      </c>
      <c r="C24" s="15">
        <v>20.68</v>
      </c>
      <c r="D24" s="15">
        <v>6.32</v>
      </c>
    </row>
    <row r="25" spans="1:7" x14ac:dyDescent="0.3">
      <c r="A25" s="1" t="s">
        <v>81</v>
      </c>
      <c r="B25" s="15">
        <v>23.01</v>
      </c>
      <c r="C25" s="15">
        <v>20.14</v>
      </c>
      <c r="D25" s="15">
        <v>6.15</v>
      </c>
    </row>
    <row r="26" spans="1:7" x14ac:dyDescent="0.3">
      <c r="A26" t="s">
        <v>82</v>
      </c>
    </row>
    <row r="27" spans="1:7" x14ac:dyDescent="0.3">
      <c r="A27" s="1" t="s">
        <v>80</v>
      </c>
      <c r="B27" s="16">
        <v>494</v>
      </c>
      <c r="C27" s="16">
        <v>487</v>
      </c>
      <c r="D27" s="16">
        <v>480</v>
      </c>
    </row>
    <row r="28" spans="1:7" x14ac:dyDescent="0.3">
      <c r="A28" s="1" t="s">
        <v>81</v>
      </c>
      <c r="B28" s="16">
        <v>504</v>
      </c>
      <c r="C28" s="16">
        <v>500</v>
      </c>
      <c r="D28" s="16">
        <v>493</v>
      </c>
    </row>
    <row r="31" spans="1:7" x14ac:dyDescent="0.3">
      <c r="A31" s="42" t="s">
        <v>12</v>
      </c>
      <c r="B31" s="42"/>
      <c r="C31" s="42"/>
      <c r="D31" s="42"/>
    </row>
    <row r="32" spans="1:7" x14ac:dyDescent="0.3">
      <c r="B32" s="41" t="s">
        <v>58</v>
      </c>
      <c r="C32" s="41"/>
      <c r="D32" s="41"/>
    </row>
    <row r="33" spans="1:4" x14ac:dyDescent="0.3">
      <c r="B33" s="9">
        <v>2019</v>
      </c>
      <c r="C33" s="9">
        <v>2018</v>
      </c>
      <c r="D33" s="9">
        <v>2017</v>
      </c>
    </row>
    <row r="35" spans="1:4" x14ac:dyDescent="0.3">
      <c r="A35" t="s">
        <v>83</v>
      </c>
    </row>
    <row r="36" spans="1:4" x14ac:dyDescent="0.3">
      <c r="A36" s="1" t="s">
        <v>84</v>
      </c>
      <c r="B36" s="10">
        <v>36092</v>
      </c>
      <c r="C36" s="10">
        <v>31750</v>
      </c>
      <c r="D36" s="10">
        <v>20522</v>
      </c>
    </row>
    <row r="37" spans="1:4" x14ac:dyDescent="0.3">
      <c r="A37" s="1" t="s">
        <v>85</v>
      </c>
      <c r="B37" s="10">
        <v>18929</v>
      </c>
      <c r="C37" s="10">
        <v>9500</v>
      </c>
      <c r="D37" s="10">
        <v>10474</v>
      </c>
    </row>
    <row r="38" spans="1:4" x14ac:dyDescent="0.3">
      <c r="A38" s="1" t="s">
        <v>86</v>
      </c>
      <c r="B38" s="10">
        <v>20816</v>
      </c>
      <c r="C38" s="10">
        <v>16677</v>
      </c>
      <c r="D38" s="10">
        <v>13164</v>
      </c>
    </row>
    <row r="39" spans="1:4" x14ac:dyDescent="0.3">
      <c r="A39" s="1" t="s">
        <v>87</v>
      </c>
      <c r="B39" s="10">
        <v>20497</v>
      </c>
      <c r="C39" s="10">
        <v>17174</v>
      </c>
      <c r="D39" s="10">
        <v>16047</v>
      </c>
    </row>
    <row r="40" spans="1:4" x14ac:dyDescent="0.3">
      <c r="A40" s="1" t="s">
        <v>88</v>
      </c>
      <c r="B40" s="10" t="s">
        <v>194</v>
      </c>
      <c r="C40" s="10" t="s">
        <v>194</v>
      </c>
      <c r="D40" s="10" t="s">
        <v>194</v>
      </c>
    </row>
    <row r="41" spans="1:4" x14ac:dyDescent="0.3">
      <c r="A41" s="1" t="s">
        <v>89</v>
      </c>
      <c r="B41" s="10"/>
      <c r="C41" s="10"/>
      <c r="D41" s="10"/>
    </row>
    <row r="42" spans="1:4" x14ac:dyDescent="0.3">
      <c r="A42" s="11" t="s">
        <v>90</v>
      </c>
      <c r="B42" s="12">
        <v>96334</v>
      </c>
      <c r="C42" s="12">
        <v>75101</v>
      </c>
      <c r="D42" s="12">
        <v>60179</v>
      </c>
    </row>
    <row r="43" spans="1:4" x14ac:dyDescent="0.3">
      <c r="A43" t="s">
        <v>91</v>
      </c>
      <c r="B43" s="10"/>
      <c r="C43" s="10"/>
      <c r="D43" s="10"/>
    </row>
    <row r="44" spans="1:4" x14ac:dyDescent="0.3">
      <c r="A44" s="1" t="s">
        <v>85</v>
      </c>
      <c r="B44" s="10">
        <v>18929</v>
      </c>
      <c r="C44" s="10">
        <v>9500</v>
      </c>
      <c r="D44" s="10">
        <v>10474</v>
      </c>
    </row>
    <row r="45" spans="1:4" x14ac:dyDescent="0.3">
      <c r="A45" s="1" t="s">
        <v>92</v>
      </c>
      <c r="B45" s="10">
        <v>72705</v>
      </c>
      <c r="C45" s="10">
        <v>61797</v>
      </c>
      <c r="D45" s="10">
        <v>48866</v>
      </c>
    </row>
    <row r="46" spans="1:4" x14ac:dyDescent="0.3">
      <c r="A46" s="1" t="s">
        <v>93</v>
      </c>
      <c r="B46" s="10">
        <v>56209</v>
      </c>
      <c r="C46" s="10">
        <v>25750</v>
      </c>
      <c r="D46" s="10">
        <v>22247</v>
      </c>
    </row>
    <row r="47" spans="1:4" x14ac:dyDescent="0.3">
      <c r="A47" s="11" t="s">
        <v>94</v>
      </c>
      <c r="B47" s="12">
        <v>147843</v>
      </c>
      <c r="C47" s="12">
        <v>97047</v>
      </c>
      <c r="D47" s="12">
        <v>81587</v>
      </c>
    </row>
    <row r="48" spans="1:4" ht="15" thickBot="1" x14ac:dyDescent="0.35">
      <c r="A48" s="13" t="s">
        <v>95</v>
      </c>
      <c r="B48" s="14">
        <v>244177</v>
      </c>
      <c r="C48" s="14">
        <v>172748</v>
      </c>
      <c r="D48" s="14">
        <v>141766</v>
      </c>
    </row>
    <row r="49" spans="1:4" ht="15" thickTop="1" x14ac:dyDescent="0.3"/>
    <row r="50" spans="1:4" x14ac:dyDescent="0.3">
      <c r="A50" t="s">
        <v>96</v>
      </c>
    </row>
    <row r="51" spans="1:4" x14ac:dyDescent="0.3">
      <c r="A51" s="1" t="s">
        <v>97</v>
      </c>
      <c r="B51" s="10">
        <v>47183</v>
      </c>
      <c r="C51" s="10">
        <v>38192</v>
      </c>
      <c r="D51" s="10">
        <v>34616</v>
      </c>
    </row>
    <row r="52" spans="1:4" x14ac:dyDescent="0.3">
      <c r="A52" s="1" t="s">
        <v>98</v>
      </c>
      <c r="B52" s="10">
        <v>32439</v>
      </c>
      <c r="C52" s="10">
        <v>23636</v>
      </c>
      <c r="D52" s="10">
        <v>18170</v>
      </c>
    </row>
    <row r="53" spans="1:4" x14ac:dyDescent="0.3">
      <c r="A53" s="1" t="s">
        <v>99</v>
      </c>
      <c r="B53" s="10">
        <v>8190</v>
      </c>
      <c r="C53" s="10">
        <v>6536</v>
      </c>
      <c r="D53" s="10">
        <v>5079</v>
      </c>
    </row>
    <row r="54" spans="1:4" x14ac:dyDescent="0.3">
      <c r="A54" s="1" t="s">
        <v>100</v>
      </c>
      <c r="B54" s="10"/>
      <c r="C54" s="10"/>
      <c r="D54" s="10"/>
    </row>
    <row r="55" spans="1:4" x14ac:dyDescent="0.3">
      <c r="A55" s="1" t="s">
        <v>101</v>
      </c>
      <c r="B55" s="10"/>
      <c r="C55" s="10"/>
      <c r="D55" s="10"/>
    </row>
    <row r="56" spans="1:4" x14ac:dyDescent="0.3">
      <c r="A56" s="11" t="s">
        <v>102</v>
      </c>
      <c r="B56" s="12">
        <v>87812</v>
      </c>
      <c r="C56" s="12">
        <v>68424</v>
      </c>
      <c r="D56" s="12">
        <v>57865</v>
      </c>
    </row>
    <row r="57" spans="1:4" x14ac:dyDescent="0.3">
      <c r="A57" t="s">
        <v>103</v>
      </c>
      <c r="B57" s="10"/>
      <c r="C57" s="10"/>
      <c r="D57" s="10"/>
    </row>
    <row r="58" spans="1:4" x14ac:dyDescent="0.3">
      <c r="A58" s="1" t="s">
        <v>99</v>
      </c>
      <c r="B58" s="10"/>
      <c r="C58" s="10"/>
      <c r="D58" s="10"/>
    </row>
    <row r="59" spans="1:4" x14ac:dyDescent="0.3">
      <c r="A59" s="1" t="s">
        <v>101</v>
      </c>
      <c r="B59" s="10">
        <v>23414</v>
      </c>
      <c r="C59" s="10">
        <v>23495</v>
      </c>
      <c r="D59" s="10">
        <v>24713</v>
      </c>
    </row>
    <row r="60" spans="1:4" x14ac:dyDescent="0.3">
      <c r="A60" s="1" t="s">
        <v>104</v>
      </c>
      <c r="B60" s="10">
        <v>12171</v>
      </c>
      <c r="C60" s="10">
        <v>27213</v>
      </c>
      <c r="D60" s="10">
        <v>20975</v>
      </c>
    </row>
    <row r="61" spans="1:4" x14ac:dyDescent="0.3">
      <c r="A61" s="24" t="s">
        <v>105</v>
      </c>
      <c r="B61" s="27">
        <v>35585</v>
      </c>
      <c r="C61" s="27">
        <v>50708</v>
      </c>
      <c r="D61" s="27">
        <v>45688</v>
      </c>
    </row>
    <row r="62" spans="1:4" x14ac:dyDescent="0.3">
      <c r="A62" s="11" t="s">
        <v>106</v>
      </c>
      <c r="B62" s="12">
        <v>123397</v>
      </c>
      <c r="C62" s="12">
        <v>119132</v>
      </c>
      <c r="D62" s="12">
        <v>103553</v>
      </c>
    </row>
    <row r="63" spans="1:4" x14ac:dyDescent="0.3">
      <c r="B63" s="10"/>
      <c r="C63" s="10"/>
      <c r="D63" s="10"/>
    </row>
    <row r="64" spans="1:4" x14ac:dyDescent="0.3">
      <c r="A64" t="s">
        <v>107</v>
      </c>
      <c r="B64" s="10"/>
      <c r="C64" s="10"/>
      <c r="D64" s="10"/>
    </row>
    <row r="65" spans="1:4" x14ac:dyDescent="0.3">
      <c r="A65" s="1" t="s">
        <v>108</v>
      </c>
      <c r="B65" s="10">
        <v>35459</v>
      </c>
      <c r="C65" s="10">
        <v>28628</v>
      </c>
      <c r="D65" s="10">
        <v>23226</v>
      </c>
    </row>
    <row r="66" spans="1:4" x14ac:dyDescent="0.3">
      <c r="A66" s="1" t="s">
        <v>109</v>
      </c>
      <c r="B66" s="10">
        <v>31220</v>
      </c>
      <c r="C66" s="10">
        <v>19625</v>
      </c>
      <c r="D66" s="10">
        <v>8636</v>
      </c>
    </row>
    <row r="67" spans="1:4" x14ac:dyDescent="0.3">
      <c r="A67" s="1" t="s">
        <v>110</v>
      </c>
      <c r="B67" s="10">
        <v>968</v>
      </c>
      <c r="C67" s="10">
        <v>1035</v>
      </c>
      <c r="D67" s="10">
        <v>484</v>
      </c>
    </row>
    <row r="68" spans="1:4" x14ac:dyDescent="0.3">
      <c r="A68" s="11" t="s">
        <v>111</v>
      </c>
      <c r="B68" s="27">
        <v>62060</v>
      </c>
      <c r="C68" s="12">
        <v>43549</v>
      </c>
      <c r="D68" s="12">
        <v>27709</v>
      </c>
    </row>
    <row r="69" spans="1:4" ht="15" thickBot="1" x14ac:dyDescent="0.35">
      <c r="A69" s="13" t="s">
        <v>112</v>
      </c>
      <c r="B69" s="14">
        <v>225248</v>
      </c>
      <c r="C69" s="14">
        <v>162648</v>
      </c>
      <c r="D69" s="14">
        <v>131310</v>
      </c>
    </row>
    <row r="70" spans="1:4" ht="15" thickTop="1" x14ac:dyDescent="0.3"/>
    <row r="71" spans="1:4" x14ac:dyDescent="0.3">
      <c r="A71" s="42" t="s">
        <v>13</v>
      </c>
      <c r="B71" s="42"/>
      <c r="C71" s="42"/>
      <c r="D71" s="42"/>
    </row>
    <row r="72" spans="1:4" x14ac:dyDescent="0.3">
      <c r="B72" s="41" t="s">
        <v>57</v>
      </c>
      <c r="C72" s="41"/>
      <c r="D72" s="41"/>
    </row>
    <row r="73" spans="1:4" x14ac:dyDescent="0.3">
      <c r="B73" s="9">
        <v>2019</v>
      </c>
      <c r="C73" s="9">
        <v>2018</v>
      </c>
      <c r="D73" s="9">
        <v>2017</v>
      </c>
    </row>
    <row r="75" spans="1:4" x14ac:dyDescent="0.3">
      <c r="A75" s="9" t="s">
        <v>113</v>
      </c>
      <c r="B75" s="17">
        <v>32173</v>
      </c>
      <c r="C75" s="17">
        <v>21856</v>
      </c>
      <c r="D75" s="17">
        <v>19934</v>
      </c>
    </row>
    <row r="76" spans="1:4" x14ac:dyDescent="0.3">
      <c r="A76" t="s">
        <v>114</v>
      </c>
      <c r="B76" s="10"/>
      <c r="C76" s="10"/>
      <c r="D76" s="10"/>
    </row>
    <row r="77" spans="1:4" x14ac:dyDescent="0.3">
      <c r="A77" s="18" t="s">
        <v>78</v>
      </c>
      <c r="B77" s="17">
        <v>11588</v>
      </c>
      <c r="C77" s="17">
        <v>10073</v>
      </c>
      <c r="D77" s="17">
        <v>3033</v>
      </c>
    </row>
    <row r="78" spans="1:4" x14ac:dyDescent="0.3">
      <c r="A78" s="1" t="s">
        <v>115</v>
      </c>
      <c r="B78" s="10"/>
      <c r="C78" s="10"/>
      <c r="D78" s="10"/>
    </row>
    <row r="79" spans="1:4" x14ac:dyDescent="0.3">
      <c r="A79" s="19" t="s">
        <v>116</v>
      </c>
      <c r="B79" s="10">
        <v>21789</v>
      </c>
      <c r="C79">
        <v>15341</v>
      </c>
      <c r="D79" s="16">
        <v>11478</v>
      </c>
    </row>
    <row r="80" spans="1:4" x14ac:dyDescent="0.3">
      <c r="A80" s="19" t="s">
        <v>117</v>
      </c>
      <c r="B80" s="10">
        <v>6864</v>
      </c>
      <c r="C80" s="10">
        <v>5418</v>
      </c>
      <c r="D80" s="10">
        <v>4215</v>
      </c>
    </row>
    <row r="81" spans="1:4" x14ac:dyDescent="0.3">
      <c r="A81" s="19" t="s">
        <v>118</v>
      </c>
      <c r="B81" s="10">
        <v>796</v>
      </c>
      <c r="C81" s="10">
        <v>441</v>
      </c>
      <c r="D81" s="10">
        <v>-29</v>
      </c>
    </row>
    <row r="82" spans="1:4" x14ac:dyDescent="0.3">
      <c r="A82" s="19" t="s">
        <v>119</v>
      </c>
      <c r="B82" s="10">
        <v>413</v>
      </c>
      <c r="C82" s="10">
        <v>493</v>
      </c>
      <c r="D82" s="10">
        <v>494</v>
      </c>
    </row>
    <row r="83" spans="1:4" x14ac:dyDescent="0.3">
      <c r="A83" t="s">
        <v>120</v>
      </c>
      <c r="B83" s="10"/>
      <c r="C83" s="10"/>
      <c r="D83" s="10"/>
    </row>
    <row r="84" spans="1:4" x14ac:dyDescent="0.3">
      <c r="A84" s="1" t="s">
        <v>86</v>
      </c>
      <c r="B84" s="10">
        <v>-7681</v>
      </c>
      <c r="C84" s="10">
        <v>-4615</v>
      </c>
      <c r="D84" s="10">
        <v>-4780</v>
      </c>
    </row>
    <row r="85" spans="1:4" x14ac:dyDescent="0.3">
      <c r="A85" s="1" t="s">
        <v>87</v>
      </c>
      <c r="B85" s="10">
        <v>-3278</v>
      </c>
      <c r="C85" s="10">
        <v>-1314</v>
      </c>
      <c r="D85" s="10">
        <v>-3583</v>
      </c>
    </row>
    <row r="86" spans="1:4" x14ac:dyDescent="0.3">
      <c r="A86" s="1" t="s">
        <v>88</v>
      </c>
      <c r="B86" s="10"/>
      <c r="C86" s="10"/>
      <c r="D86" s="10"/>
    </row>
    <row r="87" spans="1:4" x14ac:dyDescent="0.3">
      <c r="A87" s="1" t="s">
        <v>121</v>
      </c>
      <c r="B87" s="10"/>
      <c r="C87" s="10"/>
      <c r="D87" s="10"/>
    </row>
    <row r="88" spans="1:4" x14ac:dyDescent="0.3">
      <c r="A88" s="1" t="s">
        <v>97</v>
      </c>
      <c r="B88" s="10">
        <v>7100</v>
      </c>
      <c r="C88" s="10">
        <v>3263</v>
      </c>
      <c r="D88" s="10">
        <v>8193</v>
      </c>
    </row>
    <row r="89" spans="1:4" x14ac:dyDescent="0.3">
      <c r="A89" s="1" t="s">
        <v>99</v>
      </c>
      <c r="B89" s="10">
        <v>1711</v>
      </c>
      <c r="C89" s="10">
        <v>1151</v>
      </c>
      <c r="D89" s="10">
        <v>738</v>
      </c>
    </row>
    <row r="90" spans="1:4" x14ac:dyDescent="0.3">
      <c r="A90" s="1" t="s">
        <v>122</v>
      </c>
      <c r="B90" s="10"/>
      <c r="C90" s="10"/>
      <c r="D90" s="10"/>
    </row>
    <row r="91" spans="1:4" x14ac:dyDescent="0.3">
      <c r="A91" s="11" t="s">
        <v>123</v>
      </c>
      <c r="B91" s="12">
        <v>38514</v>
      </c>
      <c r="C91" s="12">
        <v>30723</v>
      </c>
      <c r="D91" s="12">
        <v>18365</v>
      </c>
    </row>
    <row r="92" spans="1:4" x14ac:dyDescent="0.3">
      <c r="A92" s="9" t="s">
        <v>124</v>
      </c>
      <c r="B92" s="10"/>
      <c r="C92" s="10"/>
      <c r="D92" s="10"/>
    </row>
    <row r="93" spans="1:4" x14ac:dyDescent="0.3">
      <c r="A93" s="1" t="s">
        <v>125</v>
      </c>
      <c r="B93" s="10">
        <v>-31812</v>
      </c>
      <c r="C93" s="10">
        <v>-7100</v>
      </c>
      <c r="D93" s="10">
        <v>-12731</v>
      </c>
    </row>
    <row r="94" spans="1:4" x14ac:dyDescent="0.3">
      <c r="A94" s="1" t="s">
        <v>126</v>
      </c>
      <c r="B94" s="10">
        <v>22681</v>
      </c>
      <c r="C94" s="10">
        <v>8240</v>
      </c>
      <c r="D94" s="10">
        <v>9677</v>
      </c>
    </row>
    <row r="95" spans="1:4" x14ac:dyDescent="0.3">
      <c r="A95" s="1" t="s">
        <v>127</v>
      </c>
      <c r="B95" s="10">
        <v>4172</v>
      </c>
      <c r="C95" s="10">
        <v>2104</v>
      </c>
      <c r="D95" s="10">
        <v>1897</v>
      </c>
    </row>
    <row r="96" spans="1:4" x14ac:dyDescent="0.3">
      <c r="A96" s="1" t="s">
        <v>128</v>
      </c>
      <c r="B96" s="10">
        <v>-16861</v>
      </c>
      <c r="C96" s="10">
        <v>-13427</v>
      </c>
      <c r="D96" s="10">
        <v>-11955</v>
      </c>
    </row>
    <row r="97" spans="1:4" x14ac:dyDescent="0.3">
      <c r="A97" s="1" t="s">
        <v>129</v>
      </c>
      <c r="B97" s="10">
        <v>-2461</v>
      </c>
      <c r="C97" s="10">
        <v>-2186</v>
      </c>
      <c r="D97" s="10">
        <v>-13972</v>
      </c>
    </row>
    <row r="98" spans="1:4" x14ac:dyDescent="0.3">
      <c r="A98" s="1" t="s">
        <v>119</v>
      </c>
    </row>
    <row r="99" spans="1:4" x14ac:dyDescent="0.3">
      <c r="A99" s="11" t="s">
        <v>130</v>
      </c>
      <c r="B99" s="12">
        <v>24284</v>
      </c>
      <c r="C99" s="12">
        <v>12369</v>
      </c>
      <c r="D99" s="12">
        <v>27084</v>
      </c>
    </row>
    <row r="100" spans="1:4" x14ac:dyDescent="0.3">
      <c r="A100" s="9" t="s">
        <v>131</v>
      </c>
    </row>
    <row r="101" spans="1:4" x14ac:dyDescent="0.3">
      <c r="A101" s="1" t="s">
        <v>132</v>
      </c>
    </row>
    <row r="102" spans="1:4" x14ac:dyDescent="0.3">
      <c r="A102" s="1" t="s">
        <v>133</v>
      </c>
      <c r="B102" s="10"/>
      <c r="C102" s="10"/>
      <c r="D102" s="10"/>
    </row>
    <row r="103" spans="1:4" x14ac:dyDescent="0.3">
      <c r="A103" s="1" t="s">
        <v>134</v>
      </c>
      <c r="B103" s="10">
        <v>1837</v>
      </c>
      <c r="C103" s="10">
        <v>1837</v>
      </c>
      <c r="D103" s="10">
        <v>1837</v>
      </c>
    </row>
    <row r="104" spans="1:4" x14ac:dyDescent="0.3">
      <c r="A104" s="1" t="s">
        <v>135</v>
      </c>
      <c r="B104" s="10">
        <v>2273</v>
      </c>
      <c r="C104" s="10">
        <v>768</v>
      </c>
      <c r="D104" s="10">
        <v>16228</v>
      </c>
    </row>
    <row r="105" spans="1:4" x14ac:dyDescent="0.3">
      <c r="A105" s="1" t="s">
        <v>136</v>
      </c>
      <c r="B105" s="10">
        <v>-2684</v>
      </c>
      <c r="C105" s="10">
        <v>-688</v>
      </c>
      <c r="D105" s="10">
        <v>-1301</v>
      </c>
    </row>
    <row r="106" spans="1:4" x14ac:dyDescent="0.3">
      <c r="A106" s="1" t="s">
        <v>137</v>
      </c>
      <c r="B106" s="10"/>
      <c r="C106" s="10"/>
      <c r="D106" s="10"/>
    </row>
    <row r="107" spans="1:4" x14ac:dyDescent="0.3">
      <c r="A107" s="1" t="s">
        <v>119</v>
      </c>
      <c r="B107" s="10"/>
      <c r="C107" s="10"/>
      <c r="D107" s="10"/>
    </row>
    <row r="108" spans="1:4" x14ac:dyDescent="0.3">
      <c r="A108" s="11" t="s">
        <v>138</v>
      </c>
      <c r="B108" s="12">
        <v>10066</v>
      </c>
      <c r="C108" s="12">
        <v>7686</v>
      </c>
      <c r="D108" s="12">
        <v>9928</v>
      </c>
    </row>
    <row r="109" spans="1:4" x14ac:dyDescent="0.3">
      <c r="A109" s="11" t="s">
        <v>139</v>
      </c>
      <c r="B109" s="12">
        <v>4237</v>
      </c>
      <c r="C109" s="12">
        <v>10317</v>
      </c>
      <c r="D109" s="12">
        <v>1922</v>
      </c>
    </row>
    <row r="110" spans="1:4" ht="15" thickBot="1" x14ac:dyDescent="0.35">
      <c r="A110" s="13" t="s">
        <v>140</v>
      </c>
      <c r="B110" s="14">
        <v>36410</v>
      </c>
      <c r="C110" s="14">
        <v>32173</v>
      </c>
      <c r="D110" s="14">
        <v>21856</v>
      </c>
    </row>
    <row r="111" spans="1:4" ht="15" thickTop="1" x14ac:dyDescent="0.3"/>
    <row r="112" spans="1:4" x14ac:dyDescent="0.3">
      <c r="A112" t="s">
        <v>141</v>
      </c>
    </row>
    <row r="113" spans="1:4" x14ac:dyDescent="0.3">
      <c r="A113" t="s">
        <v>142</v>
      </c>
      <c r="B113">
        <v>881</v>
      </c>
      <c r="C113">
        <v>1184</v>
      </c>
      <c r="D113">
        <v>957</v>
      </c>
    </row>
    <row r="114" spans="1:4" x14ac:dyDescent="0.3">
      <c r="A114" t="s">
        <v>143</v>
      </c>
      <c r="B114" s="10">
        <v>1561</v>
      </c>
      <c r="C114" s="10">
        <v>2613</v>
      </c>
      <c r="D114" s="10">
        <v>2100</v>
      </c>
    </row>
    <row r="115" spans="1:4" x14ac:dyDescent="0.3">
      <c r="B115" s="10"/>
      <c r="C115" s="10"/>
      <c r="D115" s="10"/>
    </row>
    <row r="116" spans="1:4" x14ac:dyDescent="0.3">
      <c r="B116" s="10"/>
      <c r="C116" s="10"/>
      <c r="D116" s="10"/>
    </row>
    <row r="117" spans="1:4" x14ac:dyDescent="0.3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abSelected="1" topLeftCell="B1" workbookViewId="0">
      <selection activeCell="E13" sqref="E13"/>
    </sheetView>
  </sheetViews>
  <sheetFormatPr defaultRowHeight="14.4" x14ac:dyDescent="0.3"/>
  <cols>
    <col min="1" max="1" width="4.6640625" customWidth="1"/>
    <col min="2" max="2" width="44.88671875" customWidth="1"/>
    <col min="3" max="3" width="11.5546875" bestFit="1" customWidth="1"/>
    <col min="4" max="4" width="10.33203125" bestFit="1" customWidth="1"/>
    <col min="5" max="5" width="10.109375" bestFit="1" customWidth="1"/>
    <col min="6" max="6" width="71.21875" bestFit="1" customWidth="1"/>
    <col min="12" max="12" width="85.5546875" bestFit="1" customWidth="1"/>
    <col min="15" max="15" width="72" bestFit="1" customWidth="1"/>
  </cols>
  <sheetData>
    <row r="1" spans="1:15" ht="60" customHeight="1" x14ac:dyDescent="0.5">
      <c r="A1" s="7"/>
      <c r="B1" s="20" t="s">
        <v>59</v>
      </c>
      <c r="C1" s="21"/>
      <c r="D1" s="21"/>
      <c r="E1" s="21"/>
      <c r="F1" s="21"/>
      <c r="G1" s="21"/>
      <c r="H1" s="21"/>
      <c r="I1" s="21"/>
      <c r="J1" s="21"/>
    </row>
    <row r="2" spans="1:15" x14ac:dyDescent="0.3">
      <c r="C2" s="41" t="s">
        <v>60</v>
      </c>
      <c r="D2" s="41"/>
      <c r="E2" s="41"/>
    </row>
    <row r="3" spans="1:15" x14ac:dyDescent="0.3">
      <c r="C3" s="9">
        <v>2019</v>
      </c>
      <c r="D3" s="9">
        <v>2018</v>
      </c>
      <c r="E3" s="9">
        <v>2017</v>
      </c>
      <c r="O3" t="s">
        <v>195</v>
      </c>
    </row>
    <row r="4" spans="1:15" x14ac:dyDescent="0.3">
      <c r="A4" s="22">
        <v>1</v>
      </c>
      <c r="B4" s="9" t="s">
        <v>14</v>
      </c>
      <c r="O4" t="s">
        <v>196</v>
      </c>
    </row>
    <row r="5" spans="1:15" x14ac:dyDescent="0.3">
      <c r="A5" s="22">
        <f>+A4+0.1</f>
        <v>1.1000000000000001</v>
      </c>
      <c r="B5" s="1" t="s">
        <v>15</v>
      </c>
      <c r="C5" s="25">
        <f>'Financial Statements'!B42/'Financial Statements'!B56</f>
        <v>1.0970482394205803</v>
      </c>
      <c r="D5" s="25">
        <f>'Financial Statements'!C42/'Financial Statements'!C56</f>
        <v>1.097582719513621</v>
      </c>
      <c r="E5" s="25">
        <f>'Financial Statements'!D42/'Financial Statements'!D56</f>
        <v>1.0399896310377603</v>
      </c>
      <c r="O5" t="s">
        <v>197</v>
      </c>
    </row>
    <row r="6" spans="1:15" x14ac:dyDescent="0.3">
      <c r="A6" s="22">
        <f t="shared" ref="A6:A13" si="0">+A5+0.1</f>
        <v>1.2000000000000002</v>
      </c>
      <c r="B6" s="1" t="s">
        <v>16</v>
      </c>
      <c r="C6" s="25">
        <f>('Financial Statements'!B36+'Financial Statements'!B38)/'Financial Statements'!B56</f>
        <v>0.64806632350931537</v>
      </c>
      <c r="D6" s="25">
        <f>('Financial Statements'!C36+'Financial Statements'!C38)/'Financial Statements'!C56</f>
        <v>0.70774874313106517</v>
      </c>
      <c r="E6" s="25">
        <f>('Financial Statements'!D36+'Financial Statements'!D38)/'Financial Statements'!D56</f>
        <v>0.58214810334399036</v>
      </c>
      <c r="O6" t="s">
        <v>198</v>
      </c>
    </row>
    <row r="7" spans="1:15" x14ac:dyDescent="0.3">
      <c r="A7" s="22">
        <f t="shared" si="0"/>
        <v>1.3000000000000003</v>
      </c>
      <c r="B7" s="1" t="s">
        <v>17</v>
      </c>
      <c r="C7" s="25">
        <f>'Financial Statements'!B36/'Financial Statements'!B62</f>
        <v>0.29248685138212438</v>
      </c>
      <c r="D7" s="25">
        <f>'Financial Statements'!C36/'Financial Statements'!C62</f>
        <v>0.26651109693449282</v>
      </c>
      <c r="E7" s="25">
        <f>'Financial Statements'!D36/'Financial Statements'!D62</f>
        <v>0.19817871041881935</v>
      </c>
      <c r="O7" t="s">
        <v>199</v>
      </c>
    </row>
    <row r="8" spans="1:15" x14ac:dyDescent="0.3">
      <c r="A8" s="22">
        <f t="shared" si="0"/>
        <v>1.4000000000000004</v>
      </c>
      <c r="B8" s="1" t="s">
        <v>18</v>
      </c>
      <c r="C8" s="25">
        <f>'Financial Statements'!B42/('Financial Statements'!B12+'Financial Statements'!B17-'Financial Statements'!B79/365)</f>
        <v>0.36226507057253193</v>
      </c>
      <c r="D8" s="25">
        <f>'Financial Statements'!C42/('Financial Statements'!C12+'Financial Statements'!C17-'Financial Statements'!C79/365)</f>
        <v>0.34173170690081167</v>
      </c>
      <c r="E8" s="25">
        <f>'Financial Statements'!D42/('Financial Statements'!D12+'Financial Statements'!D17-'Financial Statements'!D79/365)</f>
        <v>0.34639671380271053</v>
      </c>
      <c r="O8" t="s">
        <v>200</v>
      </c>
    </row>
    <row r="9" spans="1:15" x14ac:dyDescent="0.3">
      <c r="A9" s="22">
        <f t="shared" si="0"/>
        <v>1.5000000000000004</v>
      </c>
      <c r="B9" s="1" t="s">
        <v>19</v>
      </c>
      <c r="C9" s="25">
        <f>'Financial Statements'!B39/'Financial Statements'!B12*365</f>
        <v>36.358447377629176</v>
      </c>
      <c r="D9" s="25">
        <f>'Financial Statements'!C39/'Financial Statements'!C12*365</f>
        <v>36.195873728945685</v>
      </c>
      <c r="E9" s="25">
        <f>'Financial Statements'!D39/'Financial Statements'!D12*365</f>
        <v>42.695924422122275</v>
      </c>
      <c r="F9" s="25"/>
      <c r="L9" t="s">
        <v>201</v>
      </c>
      <c r="O9" t="s">
        <v>202</v>
      </c>
    </row>
    <row r="10" spans="1:15" x14ac:dyDescent="0.3">
      <c r="A10" s="22">
        <f t="shared" si="0"/>
        <v>1.6000000000000005</v>
      </c>
      <c r="B10" s="1" t="s">
        <v>20</v>
      </c>
      <c r="C10" s="25">
        <f>'Financial Statements'!B51/'Financial Statements'!B12*365</f>
        <v>83.695205279732519</v>
      </c>
      <c r="D10" s="25">
        <f>'Financial Statements'!C51/'Financial Statements'!C12*365</f>
        <v>80.493350964009167</v>
      </c>
      <c r="E10" s="25">
        <f>'Financial Statements'!D51/'Financial Statements'!D12*365</f>
        <v>92.102082619566559</v>
      </c>
      <c r="L10" t="s">
        <v>203</v>
      </c>
    </row>
    <row r="11" spans="1:15" x14ac:dyDescent="0.3">
      <c r="A11" s="22">
        <f t="shared" si="0"/>
        <v>1.7000000000000006</v>
      </c>
      <c r="B11" s="1" t="s">
        <v>21</v>
      </c>
      <c r="C11" s="25">
        <f>'Financial Statements'!B38/'Financial Statements'!B8*365</f>
        <v>27.081753115287004</v>
      </c>
      <c r="D11" s="25">
        <f>'Financial Statements'!C38/'Financial Statements'!C8*365</f>
        <v>26.137590333509387</v>
      </c>
      <c r="E11" s="25">
        <f>'Financial Statements'!D38/'Financial Statements'!D8*365</f>
        <v>27.013931836326226</v>
      </c>
      <c r="L11" t="s">
        <v>204</v>
      </c>
    </row>
    <row r="12" spans="1:15" x14ac:dyDescent="0.3">
      <c r="A12" s="22">
        <f t="shared" si="0"/>
        <v>1.8000000000000007</v>
      </c>
      <c r="B12" s="1" t="s">
        <v>22</v>
      </c>
      <c r="C12" s="25">
        <f>C9+C11-C10</f>
        <v>-20.255004786816343</v>
      </c>
      <c r="D12" s="25">
        <f>D9+D11-D10</f>
        <v>-18.159886901554096</v>
      </c>
      <c r="E12" s="25">
        <f>E9+E11-E10</f>
        <v>-22.392226361118063</v>
      </c>
      <c r="F12" t="s">
        <v>258</v>
      </c>
      <c r="L12" t="s">
        <v>205</v>
      </c>
    </row>
    <row r="13" spans="1:15" x14ac:dyDescent="0.3">
      <c r="A13" s="22">
        <f t="shared" si="0"/>
        <v>1.9000000000000008</v>
      </c>
      <c r="B13" s="1" t="s">
        <v>23</v>
      </c>
      <c r="C13" s="36">
        <f>C14/'Financial Statements'!B8</f>
        <v>3.0375830505574724E-2</v>
      </c>
      <c r="D13" s="36">
        <f>D14/'Financial Statements'!C8</f>
        <v>2.8670556965395236E-2</v>
      </c>
      <c r="E13" s="36">
        <f>E14/'Financial Statements'!D8</f>
        <v>1.3009793889782196E-2</v>
      </c>
      <c r="L13" t="s">
        <v>206</v>
      </c>
    </row>
    <row r="14" spans="1:15" x14ac:dyDescent="0.3">
      <c r="A14" s="22"/>
      <c r="B14" s="19" t="s">
        <v>24</v>
      </c>
      <c r="C14">
        <f>'Financial Statements'!B42-'Financial Statements'!B56</f>
        <v>8522</v>
      </c>
      <c r="D14">
        <f>'Financial Statements'!C42-'Financial Statements'!C56</f>
        <v>6677</v>
      </c>
      <c r="E14">
        <f>'Financial Statements'!D42-'Financial Statements'!D56</f>
        <v>2314</v>
      </c>
      <c r="O14" t="s">
        <v>207</v>
      </c>
    </row>
    <row r="15" spans="1:15" x14ac:dyDescent="0.3">
      <c r="A15" s="22"/>
    </row>
    <row r="16" spans="1:15" x14ac:dyDescent="0.3">
      <c r="A16" s="22">
        <f>+A4+1</f>
        <v>2</v>
      </c>
      <c r="B16" s="23" t="s">
        <v>25</v>
      </c>
      <c r="O16" t="s">
        <v>208</v>
      </c>
    </row>
    <row r="17" spans="1:15" x14ac:dyDescent="0.3">
      <c r="A17" s="22">
        <f>+A16+0.1</f>
        <v>2.1</v>
      </c>
      <c r="B17" s="1" t="s">
        <v>11</v>
      </c>
      <c r="C17" s="36">
        <f>('Financial Statements'!B8-'Financial Statements'!B12)/'Financial Statements'!B8</f>
        <v>0.26656020987196671</v>
      </c>
      <c r="D17" s="36">
        <f>('Financial Statements'!C8-'Financial Statements'!C12)/'Financial Statements'!C8</f>
        <v>0.25636467471348767</v>
      </c>
      <c r="E17" s="36">
        <f>('Financial Statements'!D8-'Financial Statements'!D12)/'Financial Statements'!D8</f>
        <v>0.22872836854710848</v>
      </c>
    </row>
    <row r="18" spans="1:15" x14ac:dyDescent="0.3">
      <c r="A18" s="22">
        <f>+A17+0.1</f>
        <v>2.2000000000000002</v>
      </c>
      <c r="B18" s="1" t="s">
        <v>26</v>
      </c>
      <c r="C18" s="36">
        <f>C19/'Financial Statements'!B8</f>
        <v>0.12917391428327013</v>
      </c>
      <c r="D18" s="36">
        <f>D19/'Financial Statements'!C8</f>
        <v>0.11920802792770743</v>
      </c>
      <c r="E18" s="36">
        <f>E19/'Financial Statements'!D8</f>
        <v>8.7616520301800227E-2</v>
      </c>
      <c r="O18" t="s">
        <v>209</v>
      </c>
    </row>
    <row r="19" spans="1:15" x14ac:dyDescent="0.3">
      <c r="A19" s="22"/>
      <c r="B19" s="19" t="s">
        <v>27</v>
      </c>
      <c r="C19" s="10">
        <f>'Financial Statements'!B18+'Financial Statements'!B79</f>
        <v>36240</v>
      </c>
      <c r="D19" s="10">
        <f>'Financial Statements'!C18+'Financial Statements'!C79</f>
        <v>27762</v>
      </c>
      <c r="E19" s="10">
        <f>'Financial Statements'!D18+'Financial Statements'!D79</f>
        <v>15584</v>
      </c>
      <c r="L19" t="s">
        <v>210</v>
      </c>
    </row>
    <row r="20" spans="1:15" x14ac:dyDescent="0.3">
      <c r="A20" s="22">
        <f>+A18+0.1</f>
        <v>2.3000000000000003</v>
      </c>
      <c r="B20" s="1" t="s">
        <v>28</v>
      </c>
      <c r="C20" s="36">
        <f>C21/'Financial Statements'!B8</f>
        <v>5.1509167640936437E-2</v>
      </c>
      <c r="D20" s="36">
        <f>D21/'Financial Statements'!C8</f>
        <v>5.3334879147397665E-2</v>
      </c>
      <c r="E20" s="36">
        <f>E21/'Financial Statements'!D8</f>
        <v>2.3084794170892695E-2</v>
      </c>
      <c r="L20" t="s">
        <v>211</v>
      </c>
      <c r="O20" t="s">
        <v>212</v>
      </c>
    </row>
    <row r="21" spans="1:15" x14ac:dyDescent="0.3">
      <c r="A21" s="22"/>
      <c r="B21" s="19" t="s">
        <v>29</v>
      </c>
      <c r="C21" s="10">
        <f>'Financial Statements'!B18</f>
        <v>14451</v>
      </c>
      <c r="D21" s="10">
        <f>'Financial Statements'!C18</f>
        <v>12421</v>
      </c>
      <c r="E21" s="10">
        <f>'Financial Statements'!D18</f>
        <v>4106</v>
      </c>
      <c r="L21" t="s">
        <v>213</v>
      </c>
    </row>
    <row r="22" spans="1:15" x14ac:dyDescent="0.3">
      <c r="A22" s="22">
        <f>+A20+0.1</f>
        <v>2.4000000000000004</v>
      </c>
      <c r="B22" s="1" t="s">
        <v>30</v>
      </c>
      <c r="C22" s="36">
        <f>'Financial Statements'!B22/'Financial Statements'!B8</f>
        <v>4.1304285836493766E-2</v>
      </c>
      <c r="D22" s="36">
        <f>'Financial Statements'!C22/'Financial Statements'!C8</f>
        <v>4.3252736305590261E-2</v>
      </c>
      <c r="E22" s="36">
        <f>'Financial Statements'!D22/'Financial Statements'!D8</f>
        <v>1.7052162864178651E-2</v>
      </c>
      <c r="O22" t="s">
        <v>214</v>
      </c>
    </row>
    <row r="23" spans="1:15" x14ac:dyDescent="0.3">
      <c r="A23" s="22"/>
      <c r="O23" t="s">
        <v>215</v>
      </c>
    </row>
    <row r="24" spans="1:15" x14ac:dyDescent="0.3">
      <c r="A24" s="22">
        <f>+A16+1</f>
        <v>3</v>
      </c>
      <c r="B24" s="9" t="s">
        <v>31</v>
      </c>
      <c r="O24" t="s">
        <v>216</v>
      </c>
    </row>
    <row r="25" spans="1:15" x14ac:dyDescent="0.3">
      <c r="A25" s="22">
        <f>+A24+0.1</f>
        <v>3.1</v>
      </c>
      <c r="B25" s="1" t="s">
        <v>32</v>
      </c>
      <c r="C25" s="25">
        <f>'Financial Statements'!B59/'Financial Statements'!B68</f>
        <v>0.37728005156300354</v>
      </c>
      <c r="D25" s="25">
        <f>'Financial Statements'!C59/'Financial Statements'!C68</f>
        <v>0.53950722175021237</v>
      </c>
      <c r="E25" s="25">
        <f>'Financial Statements'!D59/'Financial Statements'!D68</f>
        <v>0.89187628568335198</v>
      </c>
      <c r="L25" t="s">
        <v>217</v>
      </c>
      <c r="O25" t="s">
        <v>218</v>
      </c>
    </row>
    <row r="26" spans="1:15" x14ac:dyDescent="0.3">
      <c r="A26" s="22">
        <f t="shared" ref="A26:A30" si="1">+A25+0.1</f>
        <v>3.2</v>
      </c>
      <c r="B26" s="1" t="s">
        <v>33</v>
      </c>
      <c r="C26" s="25">
        <f>'Financial Statements'!B59/'Financial Statements'!B48</f>
        <v>9.5889457237987197E-2</v>
      </c>
      <c r="D26" s="25">
        <f>'Financial Statements'!C59/'Financial Statements'!C48</f>
        <v>0.13600736332692709</v>
      </c>
      <c r="E26" s="25">
        <f>'Financial Statements'!D59/'Financial Statements'!D48</f>
        <v>0.17432247506454299</v>
      </c>
      <c r="L26" t="s">
        <v>219</v>
      </c>
      <c r="O26" t="s">
        <v>220</v>
      </c>
    </row>
    <row r="27" spans="1:15" x14ac:dyDescent="0.3">
      <c r="A27" s="22">
        <f t="shared" si="1"/>
        <v>3.3000000000000003</v>
      </c>
      <c r="B27" s="1" t="s">
        <v>34</v>
      </c>
      <c r="C27" s="25">
        <f>'Financial Statements'!B59/'Financial Statements'!B45</f>
        <v>0.32204112509456023</v>
      </c>
      <c r="D27" s="25">
        <f>'Financial Statements'!C59/'Financial Statements'!C45</f>
        <v>0.38019644966584137</v>
      </c>
      <c r="E27" s="25">
        <f>'Financial Statements'!D59/'Financial Statements'!D45</f>
        <v>0.50572995538820453</v>
      </c>
      <c r="L27" t="s">
        <v>221</v>
      </c>
      <c r="O27" t="s">
        <v>222</v>
      </c>
    </row>
    <row r="28" spans="1:15" x14ac:dyDescent="0.3">
      <c r="A28" s="22">
        <f t="shared" si="1"/>
        <v>3.4000000000000004</v>
      </c>
      <c r="B28" s="1" t="s">
        <v>35</v>
      </c>
      <c r="C28" s="25">
        <f>'Financial Statements'!B22/'Financial Statements'!B114</f>
        <v>7.4234465086483024</v>
      </c>
      <c r="D28" s="25">
        <f>'Financial Statements'!C22/'Financial Statements'!C114</f>
        <v>3.8549559892843477</v>
      </c>
      <c r="E28" s="25">
        <f>'Financial Statements'!D22/'Financial Statements'!D114</f>
        <v>1.4442857142857144</v>
      </c>
      <c r="O28" t="s">
        <v>223</v>
      </c>
    </row>
    <row r="29" spans="1:15" x14ac:dyDescent="0.3">
      <c r="A29" s="22">
        <f t="shared" si="1"/>
        <v>3.5000000000000004</v>
      </c>
      <c r="B29" s="1" t="s">
        <v>36</v>
      </c>
      <c r="C29" s="34">
        <f>C21/('Financial Statements'!B114+'Financial Statements'!B105)</f>
        <v>-12.868210151380232</v>
      </c>
      <c r="D29" s="34">
        <f>D21/('Financial Statements'!C114+'Financial Statements'!C105)</f>
        <v>6.4524675324675327</v>
      </c>
      <c r="E29" s="34">
        <f>E21/('Financial Statements'!D114+'Financial Statements'!D105)</f>
        <v>5.1389236545682104</v>
      </c>
      <c r="L29" t="s">
        <v>224</v>
      </c>
    </row>
    <row r="30" spans="1:15" x14ac:dyDescent="0.3">
      <c r="A30" s="22">
        <f t="shared" si="1"/>
        <v>3.6000000000000005</v>
      </c>
      <c r="B30" s="1" t="s">
        <v>37</v>
      </c>
      <c r="C30">
        <f>(C31/'Financial Statements'!B28)</f>
        <v>42.146825396825399</v>
      </c>
      <c r="D30">
        <f>('List of Ratios'!D31/'Financial Statements'!C28)</f>
        <v>34.752000000000002</v>
      </c>
      <c r="E30">
        <f>(E31/'Financial Statements'!D28)</f>
        <v>43.279918864097361</v>
      </c>
      <c r="F30" t="s">
        <v>259</v>
      </c>
      <c r="L30" t="s">
        <v>225</v>
      </c>
      <c r="O30" t="s">
        <v>226</v>
      </c>
    </row>
    <row r="31" spans="1:15" x14ac:dyDescent="0.3">
      <c r="A31" s="22"/>
      <c r="B31" s="19" t="s">
        <v>38</v>
      </c>
      <c r="C31">
        <f>'Financial Statements'!B91+'Financial Statements'!B96+'Financial Statements'!B104+'Financial Statements'!B105</f>
        <v>21242</v>
      </c>
      <c r="D31">
        <f>'Financial Statements'!C91+'Financial Statements'!C96+'Financial Statements'!C104+'Financial Statements'!C105</f>
        <v>17376</v>
      </c>
      <c r="E31">
        <f>'Financial Statements'!D91+'Financial Statements'!D96+'Financial Statements'!D104+'Financial Statements'!D105</f>
        <v>21337</v>
      </c>
      <c r="L31" t="s">
        <v>227</v>
      </c>
      <c r="O31" t="s">
        <v>228</v>
      </c>
    </row>
    <row r="32" spans="1:15" x14ac:dyDescent="0.3">
      <c r="A32" s="22"/>
      <c r="O32" t="s">
        <v>229</v>
      </c>
    </row>
    <row r="33" spans="1:15" x14ac:dyDescent="0.3">
      <c r="A33" s="22">
        <f>+A24+1</f>
        <v>4</v>
      </c>
      <c r="B33" s="23" t="s">
        <v>39</v>
      </c>
      <c r="O33" t="s">
        <v>230</v>
      </c>
    </row>
    <row r="34" spans="1:15" x14ac:dyDescent="0.3">
      <c r="A34" s="22">
        <f>+A33+0.1</f>
        <v>4.0999999999999996</v>
      </c>
      <c r="B34" s="1" t="s">
        <v>40</v>
      </c>
      <c r="C34" s="25">
        <f>'Financial Statements'!B8/'Financial Statements'!B48</f>
        <v>1.1489698046908594</v>
      </c>
      <c r="D34" s="25">
        <f>'Financial Statements'!C8/'Financial Statements'!C48</f>
        <v>1.3481313821288814</v>
      </c>
      <c r="E34" s="25">
        <f>'Financial Statements'!D8/'Financial Statements'!D48</f>
        <v>1.2546449783445961</v>
      </c>
      <c r="L34" t="s">
        <v>231</v>
      </c>
      <c r="O34" t="s">
        <v>232</v>
      </c>
    </row>
    <row r="35" spans="1:15" x14ac:dyDescent="0.3">
      <c r="A35" s="22">
        <f t="shared" ref="A35:A37" si="2">+A34+0.1</f>
        <v>4.1999999999999993</v>
      </c>
      <c r="B35" s="1" t="s">
        <v>41</v>
      </c>
      <c r="C35" s="25">
        <f>'Financial Statements'!B8/'Financial Statements'!B45</f>
        <v>3.8587717488480848</v>
      </c>
      <c r="D35" s="25">
        <f>'Financial Statements'!C8/'Financial Statements'!C45</f>
        <v>3.7685809990776251</v>
      </c>
      <c r="E35" s="25">
        <f>'Financial Statements'!D8/'Financial Statements'!D45</f>
        <v>3.6398723038513485</v>
      </c>
      <c r="L35" t="s">
        <v>233</v>
      </c>
    </row>
    <row r="36" spans="1:15" x14ac:dyDescent="0.3">
      <c r="A36" s="22">
        <f t="shared" si="2"/>
        <v>4.2999999999999989</v>
      </c>
      <c r="B36" s="1" t="s">
        <v>42</v>
      </c>
      <c r="C36" s="25">
        <f>'Financial Statements'!B12/'Financial Statements'!B39</f>
        <v>10.038932526711227</v>
      </c>
      <c r="D36" s="25">
        <f>'Financial Statements'!C12/'Financial Statements'!C39</f>
        <v>10.084022359380459</v>
      </c>
      <c r="E36" s="25">
        <f>'Financial Statements'!D12/'Financial Statements'!D39</f>
        <v>8.5488253256060318</v>
      </c>
      <c r="L36" t="s">
        <v>234</v>
      </c>
      <c r="O36" t="s">
        <v>235</v>
      </c>
    </row>
    <row r="37" spans="1:15" x14ac:dyDescent="0.3">
      <c r="A37" s="22">
        <f t="shared" si="2"/>
        <v>4.3999999999999986</v>
      </c>
      <c r="B37" s="1" t="s">
        <v>43</v>
      </c>
      <c r="C37" s="25">
        <f>'Financial Statements'!B22/'Financial Statements'!B48</f>
        <v>4.7457377230451681E-2</v>
      </c>
      <c r="D37" s="25">
        <f>'Financial Statements'!C22/'Financial Statements'!C48</f>
        <v>5.8310371176511451E-2</v>
      </c>
      <c r="E37" s="25">
        <f>'Financial Statements'!D22/'Financial Statements'!D48</f>
        <v>2.1394410507455948E-2</v>
      </c>
      <c r="L37" t="s">
        <v>236</v>
      </c>
    </row>
    <row r="38" spans="1:15" x14ac:dyDescent="0.3">
      <c r="A38" s="22"/>
    </row>
    <row r="39" spans="1:15" x14ac:dyDescent="0.3">
      <c r="A39" s="22">
        <f>+A33+1</f>
        <v>5</v>
      </c>
      <c r="B39" s="23" t="s">
        <v>44</v>
      </c>
      <c r="O39" t="s">
        <v>237</v>
      </c>
    </row>
    <row r="40" spans="1:15" x14ac:dyDescent="0.3">
      <c r="A40" s="22">
        <f>+A39+0.1</f>
        <v>5.0999999999999996</v>
      </c>
      <c r="B40" s="1" t="s">
        <v>45</v>
      </c>
      <c r="C40" s="37">
        <f>'Financial Statements'!G21/'List of Ratios'!C41</f>
        <v>4.0092095270969977E-3</v>
      </c>
      <c r="D40">
        <f>'Financial Statements'!G22/'List of Ratios'!D41</f>
        <v>3.7188523776432048E-3</v>
      </c>
      <c r="E40">
        <f>'Financial Statements'!G23/'List of Ratios'!E41</f>
        <v>9.4828948236069903E-3</v>
      </c>
      <c r="L40" t="s">
        <v>238</v>
      </c>
    </row>
    <row r="41" spans="1:15" x14ac:dyDescent="0.3">
      <c r="A41" s="22">
        <f t="shared" ref="A41:A44" si="3">+A40+0.1</f>
        <v>5.1999999999999993</v>
      </c>
      <c r="B41" s="19" t="s">
        <v>46</v>
      </c>
      <c r="C41" s="25">
        <f>'Financial Statements'!B22/('Financial Statements'!B28/1000)</f>
        <v>22992.063492063491</v>
      </c>
      <c r="D41" s="38">
        <f>'Financial Statements'!C22/('Financial Statements'!C28/1000)</f>
        <v>20146</v>
      </c>
      <c r="E41" s="25">
        <f>'Financial Statements'!D22/('Financial Statements'!D28/1000)</f>
        <v>6152.129817444219</v>
      </c>
      <c r="F41" t="s">
        <v>260</v>
      </c>
      <c r="L41" t="s">
        <v>239</v>
      </c>
      <c r="O41" t="s">
        <v>240</v>
      </c>
    </row>
    <row r="42" spans="1:15" x14ac:dyDescent="0.3">
      <c r="A42" s="22">
        <f t="shared" si="3"/>
        <v>5.2999999999999989</v>
      </c>
      <c r="B42" s="1" t="s">
        <v>47</v>
      </c>
      <c r="C42" s="25">
        <f>C41/C43</f>
        <v>186.72252658717369</v>
      </c>
      <c r="D42" s="25">
        <f>D41/D43</f>
        <v>231.30267055500701</v>
      </c>
      <c r="E42" s="25">
        <f>E41/E43</f>
        <v>109.45902053484429</v>
      </c>
      <c r="L42" t="s">
        <v>241</v>
      </c>
      <c r="O42" t="s">
        <v>242</v>
      </c>
    </row>
    <row r="43" spans="1:15" x14ac:dyDescent="0.3">
      <c r="A43" s="22">
        <f t="shared" si="3"/>
        <v>5.3999999999999986</v>
      </c>
      <c r="B43" s="19" t="s">
        <v>48</v>
      </c>
      <c r="C43">
        <f>'Financial Statements'!B68/'Financial Statements'!B28</f>
        <v>123.13492063492063</v>
      </c>
      <c r="D43">
        <f>'Financial Statements'!C68/'Financial Statements'!C28</f>
        <v>87.097999999999999</v>
      </c>
      <c r="E43">
        <f>'Financial Statements'!D68/'Financial Statements'!D28</f>
        <v>56.204868154158213</v>
      </c>
      <c r="F43" t="s">
        <v>260</v>
      </c>
      <c r="L43" t="s">
        <v>243</v>
      </c>
      <c r="O43" t="s">
        <v>244</v>
      </c>
    </row>
    <row r="44" spans="1:15" x14ac:dyDescent="0.3">
      <c r="A44" s="22">
        <f t="shared" si="3"/>
        <v>5.4999999999999982</v>
      </c>
      <c r="B44" s="1" t="s">
        <v>49</v>
      </c>
      <c r="L44" t="s">
        <v>245</v>
      </c>
      <c r="O44" t="s">
        <v>246</v>
      </c>
    </row>
    <row r="45" spans="1:15" x14ac:dyDescent="0.3">
      <c r="A45" s="22"/>
      <c r="B45" s="19" t="s">
        <v>50</v>
      </c>
      <c r="L45" t="s">
        <v>247</v>
      </c>
      <c r="O45" t="s">
        <v>248</v>
      </c>
    </row>
    <row r="46" spans="1:15" x14ac:dyDescent="0.3">
      <c r="A46" s="22">
        <f>+A44+0.1</f>
        <v>5.5999999999999979</v>
      </c>
      <c r="B46" s="1" t="s">
        <v>51</v>
      </c>
      <c r="L46" t="s">
        <v>249</v>
      </c>
    </row>
    <row r="47" spans="1:15" x14ac:dyDescent="0.3">
      <c r="A47" s="22">
        <f t="shared" ref="A47:A50" si="4">+A45+0.1</f>
        <v>0.1</v>
      </c>
      <c r="B47" s="1" t="s">
        <v>52</v>
      </c>
      <c r="C47" s="25">
        <f>'Financial Statements'!B22/'Financial Statements'!B68</f>
        <v>0.1867225265871737</v>
      </c>
      <c r="D47" s="25">
        <f>'Financial Statements'!C22/'Financial Statements'!C68</f>
        <v>0.231302670555007</v>
      </c>
      <c r="E47" s="25">
        <f>'Financial Statements'!D22/'Financial Statements'!D68</f>
        <v>0.10945902053484427</v>
      </c>
      <c r="L47" t="s">
        <v>250</v>
      </c>
    </row>
    <row r="48" spans="1:15" x14ac:dyDescent="0.3">
      <c r="A48" s="22">
        <f t="shared" si="4"/>
        <v>5.6999999999999975</v>
      </c>
      <c r="B48" s="1" t="s">
        <v>53</v>
      </c>
      <c r="C48" s="34">
        <f>C21/('Financial Statements'!B59+'Financial Statements'!B68)</f>
        <v>0.16906895664178581</v>
      </c>
      <c r="D48" s="34">
        <f>D21/('Financial Statements'!C59+'Financial Statements'!C68)</f>
        <v>0.1852663922200346</v>
      </c>
      <c r="E48" s="34">
        <f>E21/('Financial Statements'!D59+'Financial Statements'!D68)</f>
        <v>7.8325893708748234E-2</v>
      </c>
      <c r="L48" t="s">
        <v>251</v>
      </c>
    </row>
    <row r="49" spans="1:12" x14ac:dyDescent="0.3">
      <c r="A49" s="22">
        <f t="shared" si="4"/>
        <v>0.2</v>
      </c>
      <c r="B49" s="1" t="s">
        <v>43</v>
      </c>
      <c r="C49" s="25">
        <f>'Financial Statements'!B22/'Financial Statements'!B48</f>
        <v>4.7457377230451681E-2</v>
      </c>
      <c r="D49" s="25">
        <f>'Financial Statements'!C22/'Financial Statements'!C48</f>
        <v>5.8310371176511451E-2</v>
      </c>
      <c r="E49" s="25">
        <f>'Financial Statements'!D22/'Financial Statements'!D48</f>
        <v>2.1394410507455948E-2</v>
      </c>
      <c r="F49" t="s">
        <v>261</v>
      </c>
      <c r="L49" t="s">
        <v>236</v>
      </c>
    </row>
    <row r="50" spans="1:12" x14ac:dyDescent="0.3">
      <c r="A50" s="22">
        <f t="shared" si="4"/>
        <v>5.7999999999999972</v>
      </c>
      <c r="B50" s="1" t="s">
        <v>54</v>
      </c>
      <c r="C50" s="34">
        <f>C51/C19</f>
        <v>492.78857615894037</v>
      </c>
      <c r="D50" s="34">
        <f>D51/E19</f>
        <v>917.97645020533878</v>
      </c>
      <c r="E50" s="34">
        <f>E51/E19</f>
        <v>735.02367813141689</v>
      </c>
      <c r="L50" t="s">
        <v>252</v>
      </c>
    </row>
    <row r="51" spans="1:12" x14ac:dyDescent="0.3">
      <c r="A51" s="22"/>
      <c r="B51" s="19" t="s">
        <v>55</v>
      </c>
      <c r="C51">
        <f>('Financial Statements'!B65*'Financial Statements'!B28)+'Financial Statements'!B59-'Financial Statements'!B36</f>
        <v>17858658</v>
      </c>
      <c r="D51">
        <f>('Financial Statements'!C65*'Financial Statements'!C28)+'Financial Statements'!C59-'Financial Statements'!C36</f>
        <v>14305745</v>
      </c>
      <c r="E51">
        <f>('Financial Statements'!D65*'Financial Statements'!D28)+'Financial Statements'!D59-'Financial Statements'!D36</f>
        <v>11454609</v>
      </c>
      <c r="F51" t="s">
        <v>260</v>
      </c>
      <c r="L51" t="s">
        <v>253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Sheet1</vt:lpstr>
      <vt:lpstr>Sheet2</vt:lpstr>
      <vt:lpstr>Sheet3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Emily Jarvis</cp:lastModifiedBy>
  <dcterms:created xsi:type="dcterms:W3CDTF">2020-05-19T16:15:53Z</dcterms:created>
  <dcterms:modified xsi:type="dcterms:W3CDTF">2023-12-28T19:36:54Z</dcterms:modified>
</cp:coreProperties>
</file>