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structions" sheetId="1" state="visible" r:id="rId2"/>
    <sheet name="Financial Statements" sheetId="2" state="visible" r:id="rId3"/>
    <sheet name="List of Rati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<sst xmlns="http://schemas.openxmlformats.org/spreadsheetml/2006/main" count="200" uniqueCount="162">
  <si>
    <t xml:space="preserve">Instructions</t>
  </si>
  <si>
    <t xml:space="preserve">Sheet contains the financial statements of Apple Inc. extracted from the most recent annual report:</t>
  </si>
  <si>
    <t xml:space="preserve">https://investor.apple.com/investor-relations/default.aspx</t>
  </si>
  <si>
    <t xml:space="preserve">You are required to perform a ratio analysis in excel using the information provided from this financial statements</t>
  </si>
  <si>
    <t xml:space="preserve">The ratios that should be calculated are listed in the ratios tab</t>
  </si>
  <si>
    <t xml:space="preserve">In addition to the above, you are required to calculate the growth rates for the following:</t>
  </si>
  <si>
    <t xml:space="preserve">Sales (each category and net sales)</t>
  </si>
  <si>
    <t xml:space="preserve">Gross profits</t>
  </si>
  <si>
    <t xml:space="preserve">Each operating expenses</t>
  </si>
  <si>
    <t xml:space="preserve">Main line items of the balance sheet</t>
  </si>
  <si>
    <t xml:space="preserve">You are required to calculate margins/ as a % of net sales for the following:</t>
  </si>
  <si>
    <t xml:space="preserve">COGS (Cost of goods sold)</t>
  </si>
  <si>
    <t xml:space="preserve">Operating income</t>
  </si>
  <si>
    <t xml:space="preserve">Net profit</t>
  </si>
  <si>
    <t xml:space="preserve">You are required to calculate the following additional items</t>
  </si>
  <si>
    <t xml:space="preserve">Income tax rate</t>
  </si>
  <si>
    <t xml:space="preserve">Capex as a percentage of sales</t>
  </si>
  <si>
    <t xml:space="preserve">Capex as a percentage of fixed assets</t>
  </si>
  <si>
    <t xml:space="preserve">* Market information like share price should be obtained from bloomberg.com from the particular day's closing price</t>
  </si>
  <si>
    <t xml:space="preserve">https://www.bloomberg.com/quote/AAPL:US</t>
  </si>
  <si>
    <t xml:space="preserve">All of the above ratios should be calculated in the "List of Ratios" tab</t>
  </si>
  <si>
    <t xml:space="preserve">Apple Inc.</t>
  </si>
  <si>
    <t xml:space="preserve">(In millions, except number of shares which are reflected in thousands and per share amounts)</t>
  </si>
  <si>
    <t xml:space="preserve">CONSOLIDATED STATEMENTS OF OPERATIONS</t>
  </si>
  <si>
    <t xml:space="preserve">Years ended September,</t>
  </si>
  <si>
    <t xml:space="preserve">Net sales:</t>
  </si>
  <si>
    <t xml:space="preserve">Products</t>
  </si>
  <si>
    <t xml:space="preserve">Services</t>
  </si>
  <si>
    <t xml:space="preserve">Total net sales</t>
  </si>
  <si>
    <t xml:space="preserve">Cost of sales:</t>
  </si>
  <si>
    <t xml:space="preserve">Total cost of sales</t>
  </si>
  <si>
    <t xml:space="preserve">Gross margin</t>
  </si>
  <si>
    <t xml:space="preserve">Operating expenses:</t>
  </si>
  <si>
    <t xml:space="preserve">Research and development</t>
  </si>
  <si>
    <t xml:space="preserve">Selling, general and administrative</t>
  </si>
  <si>
    <t xml:space="preserve">Total operating expenses</t>
  </si>
  <si>
    <t xml:space="preserve">Other income/(expense), net</t>
  </si>
  <si>
    <t xml:space="preserve">Income before provision for income taxes</t>
  </si>
  <si>
    <t xml:space="preserve">Provision for income taxes</t>
  </si>
  <si>
    <t xml:space="preserve">Net income</t>
  </si>
  <si>
    <t xml:space="preserve">Earnings per share:</t>
  </si>
  <si>
    <t xml:space="preserve">Basic</t>
  </si>
  <si>
    <t xml:space="preserve">Diluted</t>
  </si>
  <si>
    <t xml:space="preserve">Shares used in computing earnings per share:</t>
  </si>
  <si>
    <t xml:space="preserve">CONSOLIDATED BALANCE SHEETS</t>
  </si>
  <si>
    <t xml:space="preserve">As at September,</t>
  </si>
  <si>
    <t xml:space="preserve">Current assets:</t>
  </si>
  <si>
    <t xml:space="preserve">Cash and cash equivalents</t>
  </si>
  <si>
    <t xml:space="preserve">Marketable securities</t>
  </si>
  <si>
    <t xml:space="preserve">Accounts receivable, net</t>
  </si>
  <si>
    <t xml:space="preserve">Inventories</t>
  </si>
  <si>
    <t xml:space="preserve">Vendor non trade receivables</t>
  </si>
  <si>
    <t xml:space="preserve">Other current assets</t>
  </si>
  <si>
    <t xml:space="preserve">Total current assets</t>
  </si>
  <si>
    <t xml:space="preserve">Non current assets:</t>
  </si>
  <si>
    <t xml:space="preserve">Property, plant and equipment, net</t>
  </si>
  <si>
    <t xml:space="preserve">Other non current assets</t>
  </si>
  <si>
    <t xml:space="preserve">Total non current assets</t>
  </si>
  <si>
    <t xml:space="preserve">Total assets</t>
  </si>
  <si>
    <t xml:space="preserve">Current liabilities:</t>
  </si>
  <si>
    <t xml:space="preserve">Accounts payable</t>
  </si>
  <si>
    <t xml:space="preserve">Other current liabilities</t>
  </si>
  <si>
    <t xml:space="preserve">Deferred revenue</t>
  </si>
  <si>
    <t xml:space="preserve">Commercial paper</t>
  </si>
  <si>
    <t xml:space="preserve">Term debt</t>
  </si>
  <si>
    <t xml:space="preserve">Total current liabilities</t>
  </si>
  <si>
    <t xml:space="preserve">Non current liabilities:</t>
  </si>
  <si>
    <t xml:space="preserve">Other non current liabilities</t>
  </si>
  <si>
    <t xml:space="preserve">Total non current liabilities</t>
  </si>
  <si>
    <t xml:space="preserve">Total liabilities</t>
  </si>
  <si>
    <t xml:space="preserve">Shareholders’ equity:</t>
  </si>
  <si>
    <t xml:space="preserve">Common stock and additional paid in capital, $0.00001 par value: 12,600,000 shares authorized; 4,443,236 and 4,754,986 shares issued and outstanding, respectively</t>
  </si>
  <si>
    <t xml:space="preserve">Retained earnings</t>
  </si>
  <si>
    <t xml:space="preserve">Accumulated other comprehensive income/(loss)</t>
  </si>
  <si>
    <t xml:space="preserve">Total shareholders’ equity</t>
  </si>
  <si>
    <t xml:space="preserve">Total liabilities and shareholders’ equity</t>
  </si>
  <si>
    <t xml:space="preserve">CONSOLIDATED STATEMENTS OF CASH FLOWS</t>
  </si>
  <si>
    <t xml:space="preserve">Cash, cash equivalents and restricted cash, beginning balances</t>
  </si>
  <si>
    <t xml:space="preserve">Operating activities:</t>
  </si>
  <si>
    <t xml:space="preserve">Adjustments to reconcile net income to cash generated by operating</t>
  </si>
  <si>
    <t xml:space="preserve">Depreciation and amortization</t>
  </si>
  <si>
    <t xml:space="preserve">Share based compensation expense</t>
  </si>
  <si>
    <t xml:space="preserve">Deferred income tax expense/(benefit)</t>
  </si>
  <si>
    <t xml:space="preserve">Other</t>
  </si>
  <si>
    <t xml:space="preserve">Changes in operating assets and liabilities:</t>
  </si>
  <si>
    <t xml:space="preserve">Other current and non current assets</t>
  </si>
  <si>
    <t xml:space="preserve">Other current and non current liabilities</t>
  </si>
  <si>
    <t xml:space="preserve">Cash generated by operating activities</t>
  </si>
  <si>
    <t xml:space="preserve">Investing activities:</t>
  </si>
  <si>
    <t xml:space="preserve">Purchases of marketable securities</t>
  </si>
  <si>
    <t xml:space="preserve">Proceeds from maturities of marketable securities</t>
  </si>
  <si>
    <t xml:space="preserve">Proceeds from sales of marketable securities</t>
  </si>
  <si>
    <t xml:space="preserve">Payments for acquisition of property, plant and equipment</t>
  </si>
  <si>
    <t xml:space="preserve">Payments made in connection with business acquisitions, net</t>
  </si>
  <si>
    <t xml:space="preserve">Cash generated by/(used in) investing activities</t>
  </si>
  <si>
    <t xml:space="preserve">Financing activities:</t>
  </si>
  <si>
    <t xml:space="preserve">Payments for taxes related to net share settlement of equity awards</t>
  </si>
  <si>
    <t xml:space="preserve">Payments for dividends and dividend equivalents</t>
  </si>
  <si>
    <t xml:space="preserve">Repurchases of common stock</t>
  </si>
  <si>
    <t xml:space="preserve">Proceeds from issuance of term debt, net</t>
  </si>
  <si>
    <t xml:space="preserve">Repayments of term debt</t>
  </si>
  <si>
    <t xml:space="preserve">Proceeds from/(Repayments of) commercial paper, net</t>
  </si>
  <si>
    <t xml:space="preserve">Cash used in financing activities</t>
  </si>
  <si>
    <t xml:space="preserve">Increase/(Decrease) in cash, cash equivalents and restricted</t>
  </si>
  <si>
    <t xml:space="preserve">Cash, cash equivalents and restricted cash, ending balances</t>
  </si>
  <si>
    <t xml:space="preserve">Supplemental cash flow disclosure:</t>
  </si>
  <si>
    <t xml:space="preserve">Cash paid for income taxes, net</t>
  </si>
  <si>
    <t xml:space="preserve">Cash paid for interest</t>
  </si>
  <si>
    <t xml:space="preserve">Liquidity</t>
  </si>
  <si>
    <t xml:space="preserve">Current ratio</t>
  </si>
  <si>
    <t xml:space="preserve">Quick Ratio</t>
  </si>
  <si>
    <t xml:space="preserve">Cash Ratio</t>
  </si>
  <si>
    <t xml:space="preserve">Defensive Interval</t>
  </si>
  <si>
    <t xml:space="preserve">Inventory Days</t>
  </si>
  <si>
    <t xml:space="preserve">Payable Days</t>
  </si>
  <si>
    <t xml:space="preserve">Receivable Days</t>
  </si>
  <si>
    <t xml:space="preserve">Net trading cycle</t>
  </si>
  <si>
    <t xml:space="preserve">Working Capital as a % of Sales</t>
  </si>
  <si>
    <t xml:space="preserve">Working Capital</t>
  </si>
  <si>
    <t xml:space="preserve">Profitability</t>
  </si>
  <si>
    <t xml:space="preserve">EBITDA margin</t>
  </si>
  <si>
    <t xml:space="preserve">EBITDA</t>
  </si>
  <si>
    <t xml:space="preserve">EBIT margin</t>
  </si>
  <si>
    <t xml:space="preserve">EBIT</t>
  </si>
  <si>
    <t xml:space="preserve">Net margin</t>
  </si>
  <si>
    <t xml:space="preserve">Solvency/ debt management</t>
  </si>
  <si>
    <t xml:space="preserve">Debt to equity (D/E)</t>
  </si>
  <si>
    <t xml:space="preserve">Debt to total assets</t>
  </si>
  <si>
    <t xml:space="preserve">Long-term debt to capital</t>
  </si>
  <si>
    <t xml:space="preserve">Times interest earned</t>
  </si>
  <si>
    <t xml:space="preserve">Debt coverage</t>
  </si>
  <si>
    <t xml:space="preserve">Free cash flow (FCFE) per share</t>
  </si>
  <si>
    <t xml:space="preserve">FCFE</t>
  </si>
  <si>
    <t xml:space="preserve">Asset utilization</t>
  </si>
  <si>
    <t xml:space="preserve">Total asset turnover</t>
  </si>
  <si>
    <t xml:space="preserve">Fixed asset turnover</t>
  </si>
  <si>
    <t xml:space="preserve">Inventory turnover</t>
  </si>
  <si>
    <t xml:space="preserve">Return on assets (ROA)</t>
  </si>
  <si>
    <t xml:space="preserve">Investor/market ratios</t>
  </si>
  <si>
    <t xml:space="preserve">Price to equity (P/E)</t>
  </si>
  <si>
    <t xml:space="preserve">Earnings per share (EPS)</t>
  </si>
  <si>
    <t xml:space="preserve">Price to book value (PBV)</t>
  </si>
  <si>
    <t xml:space="preserve">Book value per share (BV)</t>
  </si>
  <si>
    <t xml:space="preserve">Dividend payout ratio</t>
  </si>
  <si>
    <t xml:space="preserve">Dividend per share</t>
  </si>
  <si>
    <t xml:space="preserve">Dividend yield</t>
  </si>
  <si>
    <t xml:space="preserve">Return on equity (ROE)</t>
  </si>
  <si>
    <t xml:space="preserve">Return on capital employed (ROCE)</t>
  </si>
  <si>
    <t xml:space="preserve">Enterprise value to EBITDA (EV/EBITDA)</t>
  </si>
  <si>
    <t xml:space="preserve">Enterprise value (EV)</t>
  </si>
  <si>
    <t xml:space="preserve">Growth Rates (%)</t>
  </si>
  <si>
    <t xml:space="preserve">Product</t>
  </si>
  <si>
    <t xml:space="preserve">Net sales</t>
  </si>
  <si>
    <t xml:space="preserve">Operating expenses</t>
  </si>
  <si>
    <t xml:space="preserve">_</t>
  </si>
  <si>
    <t xml:space="preserve">Total Assets</t>
  </si>
  <si>
    <t xml:space="preserve">Total Liabilities</t>
  </si>
  <si>
    <t xml:space="preserve">Total Shareholders’ equity</t>
  </si>
  <si>
    <t xml:space="preserve">Percentages of net sales (%)</t>
  </si>
  <si>
    <t xml:space="preserve">Income tax rate (effective %)</t>
  </si>
  <si>
    <t xml:space="preserve">CapEx as a percentage of sales</t>
  </si>
  <si>
    <t xml:space="preserve">CapEx as a percentage of fixed assets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</si>
</sst>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(* #,##0.00_);_(* \(#,##0.00\);_(* \-??_);_(@_)"/>
    <numFmt numFmtId="166" formatCode="_(* #,##0_);_(* \(#,##0\);_(* \-??_);_(@_)"/>
    <numFmt numFmtId="167" formatCode="#,##0"/>
    <numFmt numFmtId="168" formatCode="0.0"/>
    <numFmt numFmtId="169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8" activeCellId="0" sqref="B8"/>
    </sheetView>
  </sheetViews>
  <sheetFormatPr defaultColWidth="8.73046875" defaultRowHeight="14.25" zeroHeight="false" outlineLevelRow="0" outlineLevelCol="0"/>
  <cols>
    <col collapsed="false" customWidth="true" hidden="false" outlineLevel="0" max="1" min="1" style="0" width="104.57"/>
  </cols>
  <sheetData>
    <row r="1" customFormat="false" ht="23.25" hidden="false" customHeight="false" outlineLevel="0" collapsed="false">
      <c r="A1" s="1" t="s">
        <v>0</v>
      </c>
    </row>
    <row r="3" customFormat="false" ht="14.25" hidden="false" customHeight="false" outlineLevel="0" collapsed="false">
      <c r="A3" s="2" t="s">
        <v>1</v>
      </c>
    </row>
    <row r="4" customFormat="false" ht="14.25" hidden="false" customHeight="false" outlineLevel="0" collapsed="false">
      <c r="A4" s="3" t="s">
        <v>2</v>
      </c>
    </row>
    <row r="5" customFormat="false" ht="14.25" hidden="false" customHeight="false" outlineLevel="0" collapsed="false">
      <c r="A5" s="2" t="s">
        <v>3</v>
      </c>
    </row>
    <row r="6" customFormat="false" ht="14.25" hidden="false" customHeight="false" outlineLevel="0" collapsed="false">
      <c r="A6" s="4" t="s">
        <v>4</v>
      </c>
    </row>
    <row r="7" customFormat="false" ht="14.25" hidden="false" customHeight="false" outlineLevel="0" collapsed="false">
      <c r="A7" s="4"/>
    </row>
    <row r="8" customFormat="false" ht="14.25" hidden="false" customHeight="false" outlineLevel="0" collapsed="false">
      <c r="A8" s="5" t="s">
        <v>5</v>
      </c>
    </row>
    <row r="9" customFormat="false" ht="14.25" hidden="false" customHeight="false" outlineLevel="0" collapsed="false">
      <c r="A9" s="4" t="s">
        <v>6</v>
      </c>
    </row>
    <row r="10" customFormat="false" ht="14.25" hidden="false" customHeight="false" outlineLevel="0" collapsed="false">
      <c r="A10" s="4" t="s">
        <v>7</v>
      </c>
    </row>
    <row r="11" customFormat="false" ht="14.25" hidden="false" customHeight="false" outlineLevel="0" collapsed="false">
      <c r="A11" s="4" t="s">
        <v>8</v>
      </c>
    </row>
    <row r="12" customFormat="false" ht="14.25" hidden="false" customHeight="false" outlineLevel="0" collapsed="false">
      <c r="A12" s="4" t="s">
        <v>9</v>
      </c>
    </row>
    <row r="13" customFormat="false" ht="14.25" hidden="false" customHeight="false" outlineLevel="0" collapsed="false">
      <c r="A13" s="4"/>
    </row>
    <row r="14" customFormat="false" ht="14.25" hidden="false" customHeight="false" outlineLevel="0" collapsed="false">
      <c r="A14" s="5" t="s">
        <v>10</v>
      </c>
    </row>
    <row r="15" customFormat="false" ht="14.25" hidden="false" customHeight="false" outlineLevel="0" collapsed="false">
      <c r="A15" s="4" t="s">
        <v>11</v>
      </c>
    </row>
    <row r="16" customFormat="false" ht="14.25" hidden="false" customHeight="false" outlineLevel="0" collapsed="false">
      <c r="A16" s="4" t="s">
        <v>7</v>
      </c>
    </row>
    <row r="17" customFormat="false" ht="14.25" hidden="false" customHeight="false" outlineLevel="0" collapsed="false">
      <c r="A17" s="4" t="s">
        <v>8</v>
      </c>
    </row>
    <row r="18" customFormat="false" ht="14.25" hidden="false" customHeight="false" outlineLevel="0" collapsed="false">
      <c r="A18" s="4" t="s">
        <v>12</v>
      </c>
    </row>
    <row r="19" customFormat="false" ht="14.25" hidden="false" customHeight="false" outlineLevel="0" collapsed="false">
      <c r="A19" s="4" t="s">
        <v>13</v>
      </c>
    </row>
    <row r="20" customFormat="false" ht="14.25" hidden="false" customHeight="false" outlineLevel="0" collapsed="false">
      <c r="A20" s="4"/>
    </row>
    <row r="21" customFormat="false" ht="14.25" hidden="false" customHeight="false" outlineLevel="0" collapsed="false">
      <c r="A21" s="5" t="s">
        <v>14</v>
      </c>
    </row>
    <row r="22" customFormat="false" ht="14.25" hidden="false" customHeight="false" outlineLevel="0" collapsed="false">
      <c r="A22" s="4" t="s">
        <v>15</v>
      </c>
    </row>
    <row r="23" customFormat="false" ht="14.25" hidden="false" customHeight="false" outlineLevel="0" collapsed="false">
      <c r="A23" s="4" t="s">
        <v>16</v>
      </c>
    </row>
    <row r="24" customFormat="false" ht="14.25" hidden="false" customHeight="false" outlineLevel="0" collapsed="false">
      <c r="A24" s="4" t="s">
        <v>17</v>
      </c>
    </row>
    <row r="25" customFormat="false" ht="14.25" hidden="false" customHeight="false" outlineLevel="0" collapsed="false">
      <c r="A25" s="4"/>
    </row>
    <row r="26" customFormat="false" ht="14.25" hidden="false" customHeight="false" outlineLevel="0" collapsed="false">
      <c r="A26" s="5" t="s">
        <v>18</v>
      </c>
    </row>
    <row r="27" customFormat="false" ht="14.25" hidden="false" customHeight="false" outlineLevel="0" collapsed="false">
      <c r="A27" s="3" t="s">
        <v>19</v>
      </c>
    </row>
    <row r="29" customFormat="false" ht="14.25" hidden="false" customHeight="false" outlineLevel="0" collapsed="false">
      <c r="A29" s="2" t="s">
        <v>20</v>
      </c>
    </row>
  </sheetData>
  <hyperlinks>
    <hyperlink ref="A4" r:id="rId1" display="https://investor.apple.com/investor-relations/default.aspx"/>
    <hyperlink ref="A27" r:id="rId2" display="https://www.bloomberg.com/quote/AAPL:U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4"/>
  <sheetViews>
    <sheetView showFormulas="false" showGridLines="true" showRowColHeaders="true" showZeros="true" rightToLeft="false" tabSelected="false" showOutlineSymbols="true" defaultGridColor="true" view="normal" topLeftCell="A41" colorId="64" zoomScale="100" zoomScaleNormal="100" zoomScalePageLayoutView="100" workbookViewId="0">
      <selection pane="topLeft" activeCell="D17" activeCellId="0" sqref="D17"/>
    </sheetView>
  </sheetViews>
  <sheetFormatPr defaultColWidth="8.73046875" defaultRowHeight="14.25" zeroHeight="false" outlineLevelRow="0" outlineLevelCol="0"/>
  <cols>
    <col collapsed="false" customWidth="true" hidden="false" outlineLevel="0" max="1" min="1" style="0" width="59"/>
    <col collapsed="false" customWidth="true" hidden="false" outlineLevel="0" max="3" min="2" style="0" width="11.57"/>
    <col collapsed="false" customWidth="true" hidden="false" outlineLevel="0" max="4" min="4" style="0" width="11.64"/>
  </cols>
  <sheetData>
    <row r="1" customFormat="false" ht="60" hidden="false" customHeight="true" outlineLevel="0" collapsed="false">
      <c r="A1" s="6" t="s">
        <v>21</v>
      </c>
      <c r="B1" s="7" t="s">
        <v>22</v>
      </c>
      <c r="C1" s="7"/>
      <c r="D1" s="7"/>
      <c r="E1" s="7"/>
      <c r="F1" s="7"/>
      <c r="G1" s="7"/>
      <c r="H1" s="7"/>
      <c r="I1" s="7"/>
      <c r="J1" s="7"/>
    </row>
    <row r="2" customFormat="false" ht="14.25" hidden="false" customHeight="false" outlineLevel="0" collapsed="false">
      <c r="A2" s="8" t="s">
        <v>23</v>
      </c>
      <c r="B2" s="8"/>
      <c r="C2" s="8"/>
      <c r="D2" s="8"/>
    </row>
    <row r="3" customFormat="false" ht="14.25" hidden="false" customHeight="false" outlineLevel="0" collapsed="false">
      <c r="B3" s="9" t="s">
        <v>24</v>
      </c>
      <c r="C3" s="9"/>
      <c r="D3" s="9"/>
    </row>
    <row r="4" customFormat="false" ht="14.25" hidden="false" customHeight="false" outlineLevel="0" collapsed="false">
      <c r="B4" s="2" t="n">
        <v>2022</v>
      </c>
      <c r="C4" s="2" t="n">
        <v>2021</v>
      </c>
      <c r="D4" s="2" t="n">
        <v>2020</v>
      </c>
    </row>
    <row r="5" customFormat="false" ht="14.25" hidden="false" customHeight="false" outlineLevel="0" collapsed="false">
      <c r="A5" s="0" t="s">
        <v>25</v>
      </c>
    </row>
    <row r="6" customFormat="false" ht="14.25" hidden="false" customHeight="false" outlineLevel="0" collapsed="false">
      <c r="A6" s="4" t="s">
        <v>26</v>
      </c>
      <c r="B6" s="10" t="n">
        <v>316199</v>
      </c>
      <c r="C6" s="10" t="n">
        <v>297392</v>
      </c>
      <c r="D6" s="10" t="n">
        <v>220747</v>
      </c>
    </row>
    <row r="7" customFormat="false" ht="14.25" hidden="false" customHeight="false" outlineLevel="0" collapsed="false">
      <c r="A7" s="4" t="s">
        <v>27</v>
      </c>
      <c r="B7" s="10" t="n">
        <v>78129</v>
      </c>
      <c r="C7" s="10" t="n">
        <v>68425</v>
      </c>
      <c r="D7" s="10" t="n">
        <v>53768</v>
      </c>
    </row>
    <row r="8" customFormat="false" ht="14.25" hidden="false" customHeight="false" outlineLevel="0" collapsed="false">
      <c r="A8" s="11" t="s">
        <v>28</v>
      </c>
      <c r="B8" s="12" t="n">
        <f aca="false">+B6+B7</f>
        <v>394328</v>
      </c>
      <c r="C8" s="12" t="n">
        <f aca="false">+C6+C7</f>
        <v>365817</v>
      </c>
      <c r="D8" s="12" t="n">
        <f aca="false">+D6+D7</f>
        <v>274515</v>
      </c>
    </row>
    <row r="9" customFormat="false" ht="14.25" hidden="false" customHeight="false" outlineLevel="0" collapsed="false">
      <c r="A9" s="0" t="s">
        <v>29</v>
      </c>
      <c r="B9" s="10"/>
      <c r="C9" s="10"/>
      <c r="D9" s="10"/>
    </row>
    <row r="10" customFormat="false" ht="14.25" hidden="false" customHeight="false" outlineLevel="0" collapsed="false">
      <c r="A10" s="4" t="s">
        <v>26</v>
      </c>
      <c r="B10" s="10" t="n">
        <v>201471</v>
      </c>
      <c r="C10" s="10" t="n">
        <v>192266</v>
      </c>
      <c r="D10" s="10" t="n">
        <v>151286</v>
      </c>
    </row>
    <row r="11" customFormat="false" ht="14.25" hidden="false" customHeight="false" outlineLevel="0" collapsed="false">
      <c r="A11" s="4" t="s">
        <v>27</v>
      </c>
      <c r="B11" s="10" t="n">
        <v>22075</v>
      </c>
      <c r="C11" s="10" t="n">
        <v>20715</v>
      </c>
      <c r="D11" s="10" t="n">
        <v>18273</v>
      </c>
    </row>
    <row r="12" customFormat="false" ht="14.25" hidden="false" customHeight="false" outlineLevel="0" collapsed="false">
      <c r="A12" s="11" t="s">
        <v>30</v>
      </c>
      <c r="B12" s="12" t="n">
        <f aca="false">+B10+B11</f>
        <v>223546</v>
      </c>
      <c r="C12" s="12" t="n">
        <f aca="false">+C10+C11</f>
        <v>212981</v>
      </c>
      <c r="D12" s="12" t="n">
        <f aca="false">+D10+D11</f>
        <v>169559</v>
      </c>
    </row>
    <row r="13" customFormat="false" ht="14.25" hidden="false" customHeight="false" outlineLevel="0" collapsed="false">
      <c r="A13" s="11" t="s">
        <v>31</v>
      </c>
      <c r="B13" s="12" t="n">
        <f aca="false">+B8-B12</f>
        <v>170782</v>
      </c>
      <c r="C13" s="12" t="n">
        <f aca="false">+C8-C12</f>
        <v>152836</v>
      </c>
      <c r="D13" s="12" t="n">
        <f aca="false">+D8-D12</f>
        <v>104956</v>
      </c>
    </row>
    <row r="14" customFormat="false" ht="14.25" hidden="false" customHeight="false" outlineLevel="0" collapsed="false">
      <c r="A14" s="0" t="s">
        <v>32</v>
      </c>
      <c r="B14" s="10"/>
      <c r="C14" s="10"/>
      <c r="D14" s="10"/>
    </row>
    <row r="15" customFormat="false" ht="14.25" hidden="false" customHeight="false" outlineLevel="0" collapsed="false">
      <c r="A15" s="4" t="s">
        <v>33</v>
      </c>
      <c r="B15" s="10" t="n">
        <v>26251</v>
      </c>
      <c r="C15" s="10" t="n">
        <v>21914</v>
      </c>
      <c r="D15" s="10" t="n">
        <v>18752</v>
      </c>
    </row>
    <row r="16" customFormat="false" ht="14.25" hidden="false" customHeight="false" outlineLevel="0" collapsed="false">
      <c r="A16" s="4" t="s">
        <v>34</v>
      </c>
      <c r="B16" s="10" t="n">
        <v>25094</v>
      </c>
      <c r="C16" s="10" t="n">
        <v>21973</v>
      </c>
      <c r="D16" s="10" t="n">
        <v>19916</v>
      </c>
    </row>
    <row r="17" customFormat="false" ht="14.25" hidden="false" customHeight="false" outlineLevel="0" collapsed="false">
      <c r="A17" s="11" t="s">
        <v>35</v>
      </c>
      <c r="B17" s="12" t="n">
        <f aca="false">+B15+B16</f>
        <v>51345</v>
      </c>
      <c r="C17" s="12" t="n">
        <f aca="false">+C15+C16</f>
        <v>43887</v>
      </c>
      <c r="D17" s="12" t="n">
        <f aca="false">+D15+D16</f>
        <v>38668</v>
      </c>
    </row>
    <row r="18" s="13" customFormat="true" ht="14.25" hidden="false" customHeight="false" outlineLevel="0" collapsed="false">
      <c r="A18" s="11" t="s">
        <v>12</v>
      </c>
      <c r="B18" s="12" t="n">
        <f aca="false">+B13-B17</f>
        <v>119437</v>
      </c>
      <c r="C18" s="12" t="n">
        <f aca="false">+C13-C17</f>
        <v>108949</v>
      </c>
      <c r="D18" s="12" t="n">
        <f aca="false">+D13-D17</f>
        <v>66288</v>
      </c>
    </row>
    <row r="19" customFormat="false" ht="14.25" hidden="false" customHeight="false" outlineLevel="0" collapsed="false">
      <c r="A19" s="0" t="s">
        <v>36</v>
      </c>
      <c r="B19" s="10" t="n">
        <v>-334</v>
      </c>
      <c r="C19" s="10" t="n">
        <v>258</v>
      </c>
      <c r="D19" s="10" t="n">
        <v>803</v>
      </c>
    </row>
    <row r="20" customFormat="false" ht="14.25" hidden="false" customHeight="false" outlineLevel="0" collapsed="false">
      <c r="A20" s="11" t="s">
        <v>37</v>
      </c>
      <c r="B20" s="12" t="n">
        <f aca="false">+B18+B19</f>
        <v>119103</v>
      </c>
      <c r="C20" s="12" t="n">
        <f aca="false">+C18+C19</f>
        <v>109207</v>
      </c>
      <c r="D20" s="12" t="n">
        <f aca="false">+D18+D19</f>
        <v>67091</v>
      </c>
    </row>
    <row r="21" customFormat="false" ht="14.25" hidden="false" customHeight="false" outlineLevel="0" collapsed="false">
      <c r="A21" s="0" t="s">
        <v>38</v>
      </c>
      <c r="B21" s="10" t="n">
        <v>19300</v>
      </c>
      <c r="C21" s="10" t="n">
        <v>14527</v>
      </c>
      <c r="D21" s="10" t="n">
        <v>9680</v>
      </c>
    </row>
    <row r="22" customFormat="false" ht="15" hidden="false" customHeight="false" outlineLevel="0" collapsed="false">
      <c r="A22" s="14" t="s">
        <v>39</v>
      </c>
      <c r="B22" s="15" t="n">
        <f aca="false">+B20-B21</f>
        <v>99803</v>
      </c>
      <c r="C22" s="15" t="n">
        <f aca="false">+C20-C21</f>
        <v>94680</v>
      </c>
      <c r="D22" s="15" t="n">
        <f aca="false">+D20-D21</f>
        <v>57411</v>
      </c>
    </row>
    <row r="23" customFormat="false" ht="15" hidden="false" customHeight="false" outlineLevel="0" collapsed="false">
      <c r="A23" s="0" t="s">
        <v>40</v>
      </c>
    </row>
    <row r="24" customFormat="false" ht="14.25" hidden="false" customHeight="false" outlineLevel="0" collapsed="false">
      <c r="A24" s="4" t="s">
        <v>41</v>
      </c>
      <c r="B24" s="16" t="n">
        <v>6.15</v>
      </c>
      <c r="C24" s="16" t="n">
        <v>5.67</v>
      </c>
      <c r="D24" s="16" t="n">
        <v>3.31</v>
      </c>
    </row>
    <row r="25" customFormat="false" ht="14.25" hidden="false" customHeight="false" outlineLevel="0" collapsed="false">
      <c r="A25" s="4" t="s">
        <v>42</v>
      </c>
      <c r="B25" s="16" t="n">
        <v>6.11</v>
      </c>
      <c r="C25" s="16" t="n">
        <v>5.61</v>
      </c>
      <c r="D25" s="16" t="n">
        <v>3.28</v>
      </c>
    </row>
    <row r="26" customFormat="false" ht="14.25" hidden="false" customHeight="false" outlineLevel="0" collapsed="false">
      <c r="A26" s="0" t="s">
        <v>43</v>
      </c>
    </row>
    <row r="27" customFormat="false" ht="14.25" hidden="false" customHeight="false" outlineLevel="0" collapsed="false">
      <c r="A27" s="4" t="s">
        <v>41</v>
      </c>
      <c r="B27" s="17" t="n">
        <v>16215963</v>
      </c>
      <c r="C27" s="17" t="n">
        <v>16701272</v>
      </c>
      <c r="D27" s="17" t="n">
        <v>17352119</v>
      </c>
    </row>
    <row r="28" customFormat="false" ht="14.25" hidden="false" customHeight="false" outlineLevel="0" collapsed="false">
      <c r="A28" s="4" t="s">
        <v>42</v>
      </c>
      <c r="B28" s="17" t="n">
        <v>16325819</v>
      </c>
      <c r="C28" s="17" t="n">
        <v>16864919</v>
      </c>
      <c r="D28" s="17" t="n">
        <v>17528214</v>
      </c>
    </row>
    <row r="31" customFormat="false" ht="14.25" hidden="false" customHeight="false" outlineLevel="0" collapsed="false">
      <c r="A31" s="8" t="s">
        <v>44</v>
      </c>
      <c r="B31" s="8"/>
      <c r="C31" s="8"/>
      <c r="D31" s="8"/>
    </row>
    <row r="32" customFormat="false" ht="14.25" hidden="false" customHeight="false" outlineLevel="0" collapsed="false">
      <c r="B32" s="9" t="s">
        <v>45</v>
      </c>
      <c r="C32" s="9"/>
      <c r="D32" s="9"/>
    </row>
    <row r="33" customFormat="false" ht="14.25" hidden="false" customHeight="false" outlineLevel="0" collapsed="false">
      <c r="B33" s="2" t="n">
        <f aca="false">+B4</f>
        <v>2022</v>
      </c>
      <c r="C33" s="2" t="n">
        <f aca="false">+C4</f>
        <v>2021</v>
      </c>
      <c r="D33" s="2" t="n">
        <f aca="false">+D4</f>
        <v>2020</v>
      </c>
    </row>
    <row r="35" customFormat="false" ht="14.25" hidden="false" customHeight="false" outlineLevel="0" collapsed="false">
      <c r="A35" s="0" t="s">
        <v>46</v>
      </c>
    </row>
    <row r="36" customFormat="false" ht="14.25" hidden="false" customHeight="false" outlineLevel="0" collapsed="false">
      <c r="A36" s="4" t="s">
        <v>47</v>
      </c>
      <c r="B36" s="10" t="n">
        <v>23646</v>
      </c>
      <c r="C36" s="10" t="n">
        <v>34940</v>
      </c>
      <c r="D36" s="10" t="n">
        <v>38016</v>
      </c>
    </row>
    <row r="37" customFormat="false" ht="14.25" hidden="false" customHeight="false" outlineLevel="0" collapsed="false">
      <c r="A37" s="4" t="s">
        <v>48</v>
      </c>
      <c r="B37" s="10" t="n">
        <v>24658</v>
      </c>
      <c r="C37" s="10" t="n">
        <v>27699</v>
      </c>
      <c r="D37" s="10" t="n">
        <v>52927</v>
      </c>
    </row>
    <row r="38" customFormat="false" ht="14.25" hidden="false" customHeight="false" outlineLevel="0" collapsed="false">
      <c r="A38" s="4" t="s">
        <v>49</v>
      </c>
      <c r="B38" s="10" t="n">
        <v>28184</v>
      </c>
      <c r="C38" s="10" t="n">
        <v>26278</v>
      </c>
      <c r="D38" s="10" t="n">
        <v>16120</v>
      </c>
    </row>
    <row r="39" customFormat="false" ht="14.25" hidden="false" customHeight="false" outlineLevel="0" collapsed="false">
      <c r="A39" s="4" t="s">
        <v>50</v>
      </c>
      <c r="B39" s="10" t="n">
        <v>4946</v>
      </c>
      <c r="C39" s="10" t="n">
        <v>6580</v>
      </c>
      <c r="D39" s="10" t="n">
        <v>4061</v>
      </c>
    </row>
    <row r="40" customFormat="false" ht="14.25" hidden="false" customHeight="false" outlineLevel="0" collapsed="false">
      <c r="A40" s="4" t="s">
        <v>51</v>
      </c>
      <c r="B40" s="10" t="n">
        <v>32748</v>
      </c>
      <c r="C40" s="10" t="n">
        <v>25228</v>
      </c>
      <c r="D40" s="10" t="n">
        <v>21325</v>
      </c>
    </row>
    <row r="41" customFormat="false" ht="14.25" hidden="false" customHeight="false" outlineLevel="0" collapsed="false">
      <c r="A41" s="4" t="s">
        <v>52</v>
      </c>
      <c r="B41" s="10" t="n">
        <v>21223</v>
      </c>
      <c r="C41" s="10" t="n">
        <v>14111</v>
      </c>
      <c r="D41" s="10" t="n">
        <v>11264</v>
      </c>
    </row>
    <row r="42" customFormat="false" ht="14.25" hidden="false" customHeight="false" outlineLevel="0" collapsed="false">
      <c r="A42" s="11" t="s">
        <v>53</v>
      </c>
      <c r="B42" s="12" t="n">
        <f aca="false">+SUM(B36:B41)</f>
        <v>135405</v>
      </c>
      <c r="C42" s="12" t="n">
        <f aca="false">+SUM(C36:C41)</f>
        <v>134836</v>
      </c>
      <c r="D42" s="12" t="n">
        <f aca="false">+SUM(D36:D41)</f>
        <v>143713</v>
      </c>
    </row>
    <row r="43" customFormat="false" ht="14.25" hidden="false" customHeight="false" outlineLevel="0" collapsed="false">
      <c r="A43" s="0" t="s">
        <v>54</v>
      </c>
      <c r="B43" s="10"/>
      <c r="C43" s="10"/>
      <c r="D43" s="10"/>
    </row>
    <row r="44" customFormat="false" ht="14.25" hidden="false" customHeight="false" outlineLevel="0" collapsed="false">
      <c r="A44" s="4" t="s">
        <v>48</v>
      </c>
      <c r="B44" s="10" t="n">
        <v>120805</v>
      </c>
      <c r="C44" s="10" t="n">
        <v>127877</v>
      </c>
      <c r="D44" s="10" t="n">
        <v>100887</v>
      </c>
    </row>
    <row r="45" customFormat="false" ht="14.25" hidden="false" customHeight="false" outlineLevel="0" collapsed="false">
      <c r="A45" s="4" t="s">
        <v>55</v>
      </c>
      <c r="B45" s="10" t="n">
        <v>42117</v>
      </c>
      <c r="C45" s="10" t="n">
        <v>39440</v>
      </c>
      <c r="D45" s="10" t="n">
        <v>36766</v>
      </c>
    </row>
    <row r="46" customFormat="false" ht="14.25" hidden="false" customHeight="false" outlineLevel="0" collapsed="false">
      <c r="A46" s="4" t="s">
        <v>56</v>
      </c>
      <c r="B46" s="10" t="n">
        <v>54428</v>
      </c>
      <c r="C46" s="10" t="n">
        <v>48849</v>
      </c>
      <c r="D46" s="10" t="n">
        <v>42522</v>
      </c>
    </row>
    <row r="47" customFormat="false" ht="14.25" hidden="false" customHeight="false" outlineLevel="0" collapsed="false">
      <c r="A47" s="11" t="s">
        <v>57</v>
      </c>
      <c r="B47" s="12" t="n">
        <f aca="false">+SUM(B44:B46)</f>
        <v>217350</v>
      </c>
      <c r="C47" s="12" t="n">
        <f aca="false">+SUM(C44:C46)</f>
        <v>216166</v>
      </c>
      <c r="D47" s="12" t="n">
        <f aca="false">+SUM(D44:D46)</f>
        <v>180175</v>
      </c>
    </row>
    <row r="48" customFormat="false" ht="15" hidden="false" customHeight="false" outlineLevel="0" collapsed="false">
      <c r="A48" s="14" t="s">
        <v>58</v>
      </c>
      <c r="B48" s="15" t="n">
        <f aca="false">+B42+B47</f>
        <v>352755</v>
      </c>
      <c r="C48" s="15" t="n">
        <f aca="false">+C42+C47</f>
        <v>351002</v>
      </c>
      <c r="D48" s="15" t="n">
        <f aca="false">+D42+D47</f>
        <v>323888</v>
      </c>
    </row>
    <row r="49" customFormat="false" ht="15" hidden="false" customHeight="false" outlineLevel="0" collapsed="false"/>
    <row r="50" customFormat="false" ht="14.25" hidden="false" customHeight="false" outlineLevel="0" collapsed="false">
      <c r="A50" s="0" t="s">
        <v>59</v>
      </c>
    </row>
    <row r="51" customFormat="false" ht="14.25" hidden="false" customHeight="false" outlineLevel="0" collapsed="false">
      <c r="A51" s="4" t="s">
        <v>60</v>
      </c>
      <c r="B51" s="10" t="n">
        <v>64115</v>
      </c>
      <c r="C51" s="10" t="n">
        <v>54763</v>
      </c>
      <c r="D51" s="10" t="n">
        <v>42296</v>
      </c>
    </row>
    <row r="52" customFormat="false" ht="14.25" hidden="false" customHeight="false" outlineLevel="0" collapsed="false">
      <c r="A52" s="4" t="s">
        <v>61</v>
      </c>
      <c r="B52" s="10" t="n">
        <v>60845</v>
      </c>
      <c r="C52" s="10" t="n">
        <v>47493</v>
      </c>
      <c r="D52" s="10" t="n">
        <v>42684</v>
      </c>
    </row>
    <row r="53" customFormat="false" ht="14.25" hidden="false" customHeight="false" outlineLevel="0" collapsed="false">
      <c r="A53" s="4" t="s">
        <v>62</v>
      </c>
      <c r="B53" s="10" t="n">
        <v>7912</v>
      </c>
      <c r="C53" s="10" t="n">
        <v>7612</v>
      </c>
      <c r="D53" s="10" t="n">
        <v>6643</v>
      </c>
    </row>
    <row r="54" customFormat="false" ht="14.25" hidden="false" customHeight="false" outlineLevel="0" collapsed="false">
      <c r="A54" s="4" t="s">
        <v>63</v>
      </c>
      <c r="B54" s="10" t="n">
        <v>9982</v>
      </c>
      <c r="C54" s="10" t="n">
        <v>6000</v>
      </c>
      <c r="D54" s="10" t="n">
        <v>4996</v>
      </c>
    </row>
    <row r="55" customFormat="false" ht="14.25" hidden="false" customHeight="false" outlineLevel="0" collapsed="false">
      <c r="A55" s="4" t="s">
        <v>64</v>
      </c>
      <c r="B55" s="10" t="n">
        <v>11128</v>
      </c>
      <c r="C55" s="10" t="n">
        <v>9613</v>
      </c>
      <c r="D55" s="10" t="n">
        <v>8773</v>
      </c>
    </row>
    <row r="56" customFormat="false" ht="14.25" hidden="false" customHeight="false" outlineLevel="0" collapsed="false">
      <c r="A56" s="11" t="s">
        <v>65</v>
      </c>
      <c r="B56" s="12" t="n">
        <f aca="false">+SUM(B51:B55)</f>
        <v>153982</v>
      </c>
      <c r="C56" s="12" t="n">
        <f aca="false">+SUM(C51:C55)</f>
        <v>125481</v>
      </c>
      <c r="D56" s="12" t="n">
        <f aca="false">+SUM(D51:D55)</f>
        <v>105392</v>
      </c>
    </row>
    <row r="57" customFormat="false" ht="14.25" hidden="false" customHeight="false" outlineLevel="0" collapsed="false">
      <c r="A57" s="0" t="s">
        <v>66</v>
      </c>
      <c r="B57" s="10"/>
      <c r="C57" s="10"/>
      <c r="D57" s="10"/>
    </row>
    <row r="58" customFormat="false" ht="14.25" hidden="false" customHeight="false" outlineLevel="0" collapsed="false">
      <c r="A58" s="4" t="s">
        <v>62</v>
      </c>
      <c r="B58" s="10"/>
      <c r="C58" s="10"/>
      <c r="D58" s="10"/>
    </row>
    <row r="59" customFormat="false" ht="14.25" hidden="false" customHeight="false" outlineLevel="0" collapsed="false">
      <c r="A59" s="4" t="s">
        <v>64</v>
      </c>
      <c r="B59" s="10" t="n">
        <v>98959</v>
      </c>
      <c r="C59" s="10" t="n">
        <v>109106</v>
      </c>
      <c r="D59" s="10" t="n">
        <v>98667</v>
      </c>
    </row>
    <row r="60" customFormat="false" ht="14.25" hidden="false" customHeight="false" outlineLevel="0" collapsed="false">
      <c r="A60" s="4" t="s">
        <v>67</v>
      </c>
      <c r="B60" s="10" t="n">
        <v>49142</v>
      </c>
      <c r="C60" s="10" t="n">
        <v>53325</v>
      </c>
      <c r="D60" s="10" t="n">
        <v>54490</v>
      </c>
    </row>
    <row r="61" customFormat="false" ht="14.25" hidden="false" customHeight="false" outlineLevel="0" collapsed="false">
      <c r="A61" s="18" t="s">
        <v>68</v>
      </c>
      <c r="B61" s="19" t="n">
        <f aca="false">+B59+B60</f>
        <v>148101</v>
      </c>
      <c r="C61" s="19" t="n">
        <f aca="false">+C59+C60</f>
        <v>162431</v>
      </c>
      <c r="D61" s="19" t="n">
        <f aca="false">+D59+D60</f>
        <v>153157</v>
      </c>
    </row>
    <row r="62" customFormat="false" ht="14.25" hidden="false" customHeight="false" outlineLevel="0" collapsed="false">
      <c r="A62" s="11" t="s">
        <v>69</v>
      </c>
      <c r="B62" s="12" t="n">
        <f aca="false">+B56+B61</f>
        <v>302083</v>
      </c>
      <c r="C62" s="12" t="n">
        <f aca="false">+C56+C61</f>
        <v>287912</v>
      </c>
      <c r="D62" s="12" t="n">
        <f aca="false">+D56+D61</f>
        <v>258549</v>
      </c>
    </row>
    <row r="63" customFormat="false" ht="14.25" hidden="false" customHeight="false" outlineLevel="0" collapsed="false">
      <c r="B63" s="10"/>
      <c r="C63" s="10"/>
      <c r="D63" s="10"/>
    </row>
    <row r="64" customFormat="false" ht="14.25" hidden="false" customHeight="false" outlineLevel="0" collapsed="false">
      <c r="A64" s="0" t="s">
        <v>70</v>
      </c>
      <c r="B64" s="10"/>
      <c r="C64" s="10"/>
      <c r="D64" s="10"/>
    </row>
    <row r="65" customFormat="false" ht="14.25" hidden="false" customHeight="false" outlineLevel="0" collapsed="false">
      <c r="A65" s="4" t="s">
        <v>71</v>
      </c>
      <c r="B65" s="10" t="n">
        <v>64849</v>
      </c>
      <c r="C65" s="10" t="n">
        <v>57365</v>
      </c>
      <c r="D65" s="10" t="n">
        <v>50779</v>
      </c>
    </row>
    <row r="66" customFormat="false" ht="14.25" hidden="false" customHeight="false" outlineLevel="0" collapsed="false">
      <c r="A66" s="4" t="s">
        <v>72</v>
      </c>
      <c r="B66" s="10" t="n">
        <v>-3068</v>
      </c>
      <c r="C66" s="10" t="n">
        <v>5562</v>
      </c>
      <c r="D66" s="10" t="n">
        <v>14966</v>
      </c>
    </row>
    <row r="67" customFormat="false" ht="14.25" hidden="false" customHeight="false" outlineLevel="0" collapsed="false">
      <c r="A67" s="4" t="s">
        <v>73</v>
      </c>
      <c r="B67" s="10" t="n">
        <v>-11109</v>
      </c>
      <c r="C67" s="10" t="n">
        <v>163</v>
      </c>
      <c r="D67" s="10" t="n">
        <v>-406</v>
      </c>
    </row>
    <row r="68" customFormat="false" ht="14.25" hidden="false" customHeight="false" outlineLevel="0" collapsed="false">
      <c r="A68" s="11" t="s">
        <v>74</v>
      </c>
      <c r="B68" s="12" t="n">
        <f aca="false">+SUM(B65:B67)</f>
        <v>50672</v>
      </c>
      <c r="C68" s="12" t="n">
        <f aca="false">+SUM(C65:C67)</f>
        <v>63090</v>
      </c>
      <c r="D68" s="12" t="n">
        <f aca="false">+SUM(D65:D67)</f>
        <v>65339</v>
      </c>
    </row>
    <row r="69" customFormat="false" ht="15" hidden="false" customHeight="false" outlineLevel="0" collapsed="false">
      <c r="A69" s="14" t="s">
        <v>75</v>
      </c>
      <c r="B69" s="15" t="n">
        <f aca="false">+B68+B62</f>
        <v>352755</v>
      </c>
      <c r="C69" s="15" t="n">
        <f aca="false">+C68+C62</f>
        <v>351002</v>
      </c>
      <c r="D69" s="15" t="n">
        <f aca="false">+D68+D62</f>
        <v>323888</v>
      </c>
    </row>
    <row r="70" customFormat="false" ht="15" hidden="false" customHeight="false" outlineLevel="0" collapsed="false"/>
    <row r="71" customFormat="false" ht="14.25" hidden="false" customHeight="false" outlineLevel="0" collapsed="false">
      <c r="A71" s="8" t="s">
        <v>76</v>
      </c>
      <c r="B71" s="8"/>
      <c r="C71" s="8"/>
      <c r="D71" s="8"/>
    </row>
    <row r="72" customFormat="false" ht="14.25" hidden="false" customHeight="false" outlineLevel="0" collapsed="false">
      <c r="B72" s="9" t="s">
        <v>24</v>
      </c>
      <c r="C72" s="9"/>
      <c r="D72" s="9"/>
    </row>
    <row r="73" customFormat="false" ht="14.25" hidden="false" customHeight="false" outlineLevel="0" collapsed="false">
      <c r="B73" s="2" t="n">
        <f aca="false">+B33</f>
        <v>2022</v>
      </c>
      <c r="C73" s="2" t="n">
        <f aca="false">+C33</f>
        <v>2021</v>
      </c>
      <c r="D73" s="2" t="n">
        <f aca="false">+D33</f>
        <v>2020</v>
      </c>
    </row>
    <row r="75" customFormat="false" ht="14.25" hidden="false" customHeight="false" outlineLevel="0" collapsed="false">
      <c r="A75" s="2" t="s">
        <v>77</v>
      </c>
      <c r="B75" s="20"/>
      <c r="C75" s="20"/>
      <c r="D75" s="20"/>
    </row>
    <row r="76" customFormat="false" ht="14.25" hidden="false" customHeight="false" outlineLevel="0" collapsed="false">
      <c r="A76" s="0" t="s">
        <v>78</v>
      </c>
      <c r="B76" s="10" t="n">
        <f aca="false">+B22</f>
        <v>99803</v>
      </c>
      <c r="C76" s="10" t="n">
        <f aca="false">+C22</f>
        <v>94680</v>
      </c>
      <c r="D76" s="10" t="n">
        <f aca="false">+D22</f>
        <v>57411</v>
      </c>
    </row>
    <row r="77" customFormat="false" ht="14.25" hidden="false" customHeight="false" outlineLevel="0" collapsed="false">
      <c r="A77" s="21" t="s">
        <v>39</v>
      </c>
      <c r="B77" s="20"/>
      <c r="C77" s="20"/>
      <c r="D77" s="20"/>
    </row>
    <row r="78" customFormat="false" ht="14.25" hidden="false" customHeight="false" outlineLevel="0" collapsed="false">
      <c r="A78" s="4" t="s">
        <v>79</v>
      </c>
      <c r="B78" s="10"/>
      <c r="C78" s="10"/>
      <c r="D78" s="10"/>
    </row>
    <row r="79" customFormat="false" ht="14.25" hidden="false" customHeight="false" outlineLevel="0" collapsed="false">
      <c r="A79" s="22" t="s">
        <v>80</v>
      </c>
      <c r="B79" s="10" t="n">
        <v>11104</v>
      </c>
      <c r="C79" s="10" t="n">
        <v>11284</v>
      </c>
      <c r="D79" s="10" t="n">
        <v>11056</v>
      </c>
    </row>
    <row r="80" customFormat="false" ht="14.25" hidden="false" customHeight="false" outlineLevel="0" collapsed="false">
      <c r="A80" s="22" t="s">
        <v>81</v>
      </c>
      <c r="B80" s="10" t="n">
        <v>9038</v>
      </c>
      <c r="C80" s="10" t="n">
        <v>7906</v>
      </c>
      <c r="D80" s="10" t="n">
        <v>6829</v>
      </c>
    </row>
    <row r="81" customFormat="false" ht="14.25" hidden="false" customHeight="false" outlineLevel="0" collapsed="false">
      <c r="A81" s="22" t="s">
        <v>82</v>
      </c>
      <c r="B81" s="10" t="n">
        <v>895</v>
      </c>
      <c r="C81" s="10" t="n">
        <v>-4774</v>
      </c>
      <c r="D81" s="10" t="n">
        <v>-215</v>
      </c>
    </row>
    <row r="82" customFormat="false" ht="14.25" hidden="false" customHeight="false" outlineLevel="0" collapsed="false">
      <c r="A82" s="22" t="s">
        <v>83</v>
      </c>
      <c r="B82" s="10" t="n">
        <v>111</v>
      </c>
      <c r="C82" s="10" t="n">
        <v>-147</v>
      </c>
      <c r="D82" s="10" t="n">
        <v>-97</v>
      </c>
    </row>
    <row r="83" customFormat="false" ht="14.25" hidden="false" customHeight="false" outlineLevel="0" collapsed="false">
      <c r="A83" s="0" t="s">
        <v>84</v>
      </c>
      <c r="B83" s="10"/>
      <c r="C83" s="10"/>
      <c r="D83" s="10"/>
    </row>
    <row r="84" customFormat="false" ht="14.25" hidden="false" customHeight="false" outlineLevel="0" collapsed="false">
      <c r="A84" s="4" t="s">
        <v>49</v>
      </c>
      <c r="B84" s="10" t="n">
        <v>-1823</v>
      </c>
      <c r="C84" s="10" t="n">
        <v>-10125</v>
      </c>
      <c r="D84" s="10" t="n">
        <v>6917</v>
      </c>
    </row>
    <row r="85" customFormat="false" ht="14.25" hidden="false" customHeight="false" outlineLevel="0" collapsed="false">
      <c r="A85" s="4" t="s">
        <v>50</v>
      </c>
      <c r="B85" s="10" t="n">
        <v>1484</v>
      </c>
      <c r="C85" s="10" t="n">
        <v>-2642</v>
      </c>
      <c r="D85" s="10" t="n">
        <v>-127</v>
      </c>
    </row>
    <row r="86" customFormat="false" ht="14.25" hidden="false" customHeight="false" outlineLevel="0" collapsed="false">
      <c r="A86" s="4" t="s">
        <v>51</v>
      </c>
      <c r="B86" s="10" t="n">
        <v>-7520</v>
      </c>
      <c r="C86" s="10" t="n">
        <v>-3903</v>
      </c>
      <c r="D86" s="10" t="n">
        <v>1553</v>
      </c>
    </row>
    <row r="87" customFormat="false" ht="14.25" hidden="false" customHeight="false" outlineLevel="0" collapsed="false">
      <c r="A87" s="4" t="s">
        <v>85</v>
      </c>
      <c r="B87" s="10" t="n">
        <v>-6499</v>
      </c>
      <c r="C87" s="10" t="n">
        <v>-8042</v>
      </c>
      <c r="D87" s="10" t="n">
        <v>-9588</v>
      </c>
    </row>
    <row r="88" customFormat="false" ht="14.25" hidden="false" customHeight="false" outlineLevel="0" collapsed="false">
      <c r="A88" s="4" t="s">
        <v>60</v>
      </c>
      <c r="B88" s="10" t="n">
        <v>9448</v>
      </c>
      <c r="C88" s="10" t="n">
        <v>12326</v>
      </c>
      <c r="D88" s="10" t="n">
        <v>-4062</v>
      </c>
    </row>
    <row r="89" customFormat="false" ht="14.25" hidden="false" customHeight="false" outlineLevel="0" collapsed="false">
      <c r="A89" s="4" t="s">
        <v>62</v>
      </c>
      <c r="B89" s="10" t="n">
        <v>478</v>
      </c>
      <c r="C89" s="10" t="n">
        <v>1676</v>
      </c>
      <c r="D89" s="10" t="n">
        <v>2081</v>
      </c>
    </row>
    <row r="90" customFormat="false" ht="14.25" hidden="false" customHeight="false" outlineLevel="0" collapsed="false">
      <c r="A90" s="4" t="s">
        <v>86</v>
      </c>
      <c r="B90" s="10" t="n">
        <v>5632</v>
      </c>
      <c r="C90" s="10" t="n">
        <v>5799</v>
      </c>
      <c r="D90" s="10" t="n">
        <v>8916</v>
      </c>
    </row>
    <row r="91" customFormat="false" ht="14.25" hidden="false" customHeight="false" outlineLevel="0" collapsed="false">
      <c r="A91" s="11" t="s">
        <v>87</v>
      </c>
      <c r="B91" s="12" t="n">
        <f aca="false">+SUM(B76:B90)</f>
        <v>122151</v>
      </c>
      <c r="C91" s="12" t="n">
        <f aca="false">+SUM(C76:C90)</f>
        <v>104038</v>
      </c>
      <c r="D91" s="12" t="n">
        <f aca="false">+SUM(D76:D90)</f>
        <v>80674</v>
      </c>
    </row>
    <row r="92" customFormat="false" ht="14.25" hidden="false" customHeight="false" outlineLevel="0" collapsed="false">
      <c r="A92" s="2" t="s">
        <v>88</v>
      </c>
      <c r="B92" s="10"/>
      <c r="C92" s="10"/>
      <c r="D92" s="10"/>
    </row>
    <row r="93" customFormat="false" ht="14.25" hidden="false" customHeight="false" outlineLevel="0" collapsed="false">
      <c r="A93" s="4" t="s">
        <v>89</v>
      </c>
      <c r="B93" s="10" t="n">
        <v>-76923</v>
      </c>
      <c r="C93" s="10" t="n">
        <v>-109558</v>
      </c>
      <c r="D93" s="10" t="n">
        <v>-114938</v>
      </c>
    </row>
    <row r="94" customFormat="false" ht="14.25" hidden="false" customHeight="false" outlineLevel="0" collapsed="false">
      <c r="A94" s="4" t="s">
        <v>90</v>
      </c>
      <c r="B94" s="10" t="n">
        <v>29917</v>
      </c>
      <c r="C94" s="10" t="n">
        <v>59023</v>
      </c>
      <c r="D94" s="10" t="n">
        <v>69918</v>
      </c>
    </row>
    <row r="95" customFormat="false" ht="14.25" hidden="false" customHeight="false" outlineLevel="0" collapsed="false">
      <c r="A95" s="4" t="s">
        <v>91</v>
      </c>
      <c r="B95" s="10" t="n">
        <v>37446</v>
      </c>
      <c r="C95" s="10" t="n">
        <v>47460</v>
      </c>
      <c r="D95" s="10" t="n">
        <v>50473</v>
      </c>
    </row>
    <row r="96" customFormat="false" ht="14.25" hidden="false" customHeight="false" outlineLevel="0" collapsed="false">
      <c r="A96" s="4" t="s">
        <v>92</v>
      </c>
      <c r="B96" s="10" t="n">
        <v>-10708</v>
      </c>
      <c r="C96" s="10" t="n">
        <v>-11085</v>
      </c>
      <c r="D96" s="10" t="n">
        <v>-7309</v>
      </c>
    </row>
    <row r="97" customFormat="false" ht="14.25" hidden="false" customHeight="false" outlineLevel="0" collapsed="false">
      <c r="A97" s="4" t="s">
        <v>93</v>
      </c>
      <c r="B97" s="10" t="n">
        <v>-306</v>
      </c>
      <c r="C97" s="10" t="n">
        <v>-33</v>
      </c>
      <c r="D97" s="10" t="n">
        <v>-1524</v>
      </c>
    </row>
    <row r="98" customFormat="false" ht="14.25" hidden="false" customHeight="false" outlineLevel="0" collapsed="false">
      <c r="A98" s="4" t="s">
        <v>83</v>
      </c>
      <c r="B98" s="10" t="n">
        <v>-1780</v>
      </c>
      <c r="C98" s="10" t="n">
        <v>-352</v>
      </c>
      <c r="D98" s="10" t="n">
        <v>-909</v>
      </c>
    </row>
    <row r="99" customFormat="false" ht="14.25" hidden="false" customHeight="false" outlineLevel="0" collapsed="false">
      <c r="A99" s="11" t="s">
        <v>94</v>
      </c>
      <c r="B99" s="12" t="n">
        <f aca="false">+SUM(B93:B98)</f>
        <v>-22354</v>
      </c>
      <c r="C99" s="12" t="n">
        <f aca="false">+SUM(C93:C98)</f>
        <v>-14545</v>
      </c>
      <c r="D99" s="12" t="n">
        <f aca="false">+SUM(D93:D98)</f>
        <v>-4289</v>
      </c>
    </row>
    <row r="100" customFormat="false" ht="14.25" hidden="false" customHeight="false" outlineLevel="0" collapsed="false">
      <c r="A100" s="2" t="s">
        <v>95</v>
      </c>
      <c r="B100" s="10"/>
      <c r="C100" s="10"/>
      <c r="D100" s="10"/>
    </row>
    <row r="101" customFormat="false" ht="14.25" hidden="false" customHeight="false" outlineLevel="0" collapsed="false">
      <c r="A101" s="4" t="s">
        <v>96</v>
      </c>
      <c r="B101" s="10" t="n">
        <v>-6223</v>
      </c>
      <c r="C101" s="10" t="n">
        <v>-6556</v>
      </c>
      <c r="D101" s="10" t="n">
        <v>-3634</v>
      </c>
    </row>
    <row r="102" customFormat="false" ht="14.25" hidden="false" customHeight="false" outlineLevel="0" collapsed="false">
      <c r="A102" s="4" t="s">
        <v>97</v>
      </c>
      <c r="B102" s="10" t="n">
        <v>-14841</v>
      </c>
      <c r="C102" s="10" t="n">
        <v>-14467</v>
      </c>
      <c r="D102" s="10" t="n">
        <v>-14081</v>
      </c>
    </row>
    <row r="103" customFormat="false" ht="14.25" hidden="false" customHeight="false" outlineLevel="0" collapsed="false">
      <c r="A103" s="4" t="s">
        <v>98</v>
      </c>
      <c r="B103" s="10" t="n">
        <v>-89402</v>
      </c>
      <c r="C103" s="10" t="n">
        <v>-85971</v>
      </c>
      <c r="D103" s="10" t="n">
        <v>-72358</v>
      </c>
    </row>
    <row r="104" customFormat="false" ht="14.25" hidden="false" customHeight="false" outlineLevel="0" collapsed="false">
      <c r="A104" s="4" t="s">
        <v>99</v>
      </c>
      <c r="B104" s="10" t="n">
        <v>5465</v>
      </c>
      <c r="C104" s="10" t="n">
        <v>20393</v>
      </c>
      <c r="D104" s="10" t="n">
        <v>16091</v>
      </c>
    </row>
    <row r="105" customFormat="false" ht="14.25" hidden="false" customHeight="false" outlineLevel="0" collapsed="false">
      <c r="A105" s="4" t="s">
        <v>100</v>
      </c>
      <c r="B105" s="10" t="n">
        <v>-9543</v>
      </c>
      <c r="C105" s="10" t="n">
        <v>-8750</v>
      </c>
      <c r="D105" s="10" t="n">
        <v>-12629</v>
      </c>
    </row>
    <row r="106" customFormat="false" ht="14.25" hidden="false" customHeight="false" outlineLevel="0" collapsed="false">
      <c r="A106" s="4" t="s">
        <v>101</v>
      </c>
      <c r="B106" s="10" t="n">
        <v>3955</v>
      </c>
      <c r="C106" s="10" t="n">
        <v>1022</v>
      </c>
      <c r="D106" s="10" t="n">
        <v>-963</v>
      </c>
    </row>
    <row r="107" customFormat="false" ht="14.25" hidden="false" customHeight="false" outlineLevel="0" collapsed="false">
      <c r="A107" s="4" t="s">
        <v>83</v>
      </c>
      <c r="B107" s="10" t="n">
        <v>-160</v>
      </c>
      <c r="C107" s="10" t="n">
        <v>976</v>
      </c>
      <c r="D107" s="10" t="n">
        <v>754</v>
      </c>
    </row>
    <row r="108" customFormat="false" ht="14.25" hidden="false" customHeight="false" outlineLevel="0" collapsed="false">
      <c r="A108" s="11" t="s">
        <v>102</v>
      </c>
      <c r="B108" s="12" t="n">
        <f aca="false">+SUM(B101:B107)</f>
        <v>-110749</v>
      </c>
      <c r="C108" s="12" t="n">
        <f aca="false">+SUM(C101:C107)</f>
        <v>-93353</v>
      </c>
      <c r="D108" s="12" t="n">
        <f aca="false">+SUM(D101:D107)</f>
        <v>-86820</v>
      </c>
    </row>
    <row r="109" customFormat="false" ht="14.25" hidden="false" customHeight="false" outlineLevel="0" collapsed="false">
      <c r="A109" s="11" t="s">
        <v>103</v>
      </c>
      <c r="B109" s="12" t="n">
        <f aca="false">+B91+B99+B108</f>
        <v>-10952</v>
      </c>
      <c r="C109" s="12" t="n">
        <f aca="false">+C91+C99+C108</f>
        <v>-3860</v>
      </c>
      <c r="D109" s="12" t="n">
        <f aca="false">+D91+D99+D108</f>
        <v>-10435</v>
      </c>
    </row>
    <row r="110" customFormat="false" ht="15" hidden="false" customHeight="false" outlineLevel="0" collapsed="false">
      <c r="A110" s="14" t="s">
        <v>104</v>
      </c>
      <c r="B110" s="15" t="n">
        <v>24977</v>
      </c>
      <c r="C110" s="15" t="n">
        <v>35929</v>
      </c>
      <c r="D110" s="15" t="n">
        <v>39789</v>
      </c>
    </row>
    <row r="111" customFormat="false" ht="15" hidden="false" customHeight="false" outlineLevel="0" collapsed="false">
      <c r="B111" s="10"/>
      <c r="C111" s="10"/>
      <c r="D111" s="10"/>
    </row>
    <row r="112" customFormat="false" ht="14.25" hidden="false" customHeight="false" outlineLevel="0" collapsed="false">
      <c r="A112" s="0" t="s">
        <v>105</v>
      </c>
      <c r="B112" s="10"/>
      <c r="C112" s="10"/>
      <c r="D112" s="10"/>
    </row>
    <row r="113" customFormat="false" ht="14.25" hidden="false" customHeight="false" outlineLevel="0" collapsed="false">
      <c r="A113" s="0" t="s">
        <v>106</v>
      </c>
      <c r="B113" s="10" t="n">
        <v>19573</v>
      </c>
      <c r="C113" s="10" t="n">
        <v>25385</v>
      </c>
      <c r="D113" s="10" t="n">
        <v>9501</v>
      </c>
    </row>
    <row r="114" customFormat="false" ht="14.25" hidden="false" customHeight="false" outlineLevel="0" collapsed="false">
      <c r="A114" s="0" t="s">
        <v>107</v>
      </c>
      <c r="B114" s="10" t="n">
        <v>2865</v>
      </c>
      <c r="C114" s="10" t="n">
        <v>2687</v>
      </c>
      <c r="D114" s="10" t="n">
        <v>3002</v>
      </c>
    </row>
  </sheetData>
  <mergeCells count="6">
    <mergeCell ref="A2:D2"/>
    <mergeCell ref="B3:D3"/>
    <mergeCell ref="A31:D31"/>
    <mergeCell ref="B32:D32"/>
    <mergeCell ref="A71:D71"/>
    <mergeCell ref="B72:D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6"/>
  <sheetViews>
    <sheetView showFormulas="false" showGridLines="true" showRowColHeaders="true" showZeros="true" rightToLeft="false" tabSelected="true" showOutlineSymbols="true" defaultGridColor="true" view="normal" topLeftCell="A58" colorId="64" zoomScale="100" zoomScaleNormal="100" zoomScalePageLayoutView="100" workbookViewId="0">
      <selection pane="topLeft" activeCell="F75" activeCellId="0" sqref="F75"/>
    </sheetView>
  </sheetViews>
  <sheetFormatPr defaultColWidth="8.73046875" defaultRowHeight="14.25" zeroHeight="false" outlineLevelRow="0" outlineLevelCol="0"/>
  <cols>
    <col collapsed="false" customWidth="true" hidden="false" outlineLevel="0" max="1" min="1" style="0" width="4.66"/>
    <col collapsed="false" customWidth="true" hidden="false" outlineLevel="0" max="2" min="2" style="0" width="44.89"/>
  </cols>
  <sheetData>
    <row r="1" customFormat="false" ht="60" hidden="false" customHeight="true" outlineLevel="0" collapsed="false">
      <c r="A1" s="6"/>
      <c r="B1" s="23" t="s">
        <v>21</v>
      </c>
      <c r="C1" s="24"/>
      <c r="D1" s="24"/>
      <c r="E1" s="24"/>
      <c r="F1" s="24"/>
      <c r="G1" s="24"/>
      <c r="H1" s="24"/>
      <c r="I1" s="24"/>
      <c r="J1" s="24"/>
    </row>
    <row r="2" customFormat="false" ht="14.25" hidden="false" customHeight="false" outlineLevel="0" collapsed="false">
      <c r="C2" s="9" t="s">
        <v>24</v>
      </c>
      <c r="D2" s="9"/>
      <c r="E2" s="9"/>
    </row>
    <row r="3" customFormat="false" ht="14.25" hidden="false" customHeight="false" outlineLevel="0" collapsed="false">
      <c r="C3" s="2" t="n">
        <f aca="false">+'Financial Statements'!B4</f>
        <v>2022</v>
      </c>
      <c r="D3" s="2" t="n">
        <f aca="false">+'Financial Statements'!C4</f>
        <v>2021</v>
      </c>
      <c r="E3" s="2" t="n">
        <f aca="false">+'Financial Statements'!D4</f>
        <v>2020</v>
      </c>
    </row>
    <row r="4" customFormat="false" ht="14.25" hidden="false" customHeight="false" outlineLevel="0" collapsed="false">
      <c r="A4" s="25" t="n">
        <v>1</v>
      </c>
      <c r="B4" s="2" t="s">
        <v>108</v>
      </c>
    </row>
    <row r="5" customFormat="false" ht="13.8" hidden="false" customHeight="false" outlineLevel="0" collapsed="false">
      <c r="A5" s="25" t="n">
        <f aca="false">+A4+0.1</f>
        <v>1.1</v>
      </c>
      <c r="B5" s="4" t="s">
        <v>109</v>
      </c>
      <c r="C5" s="0" t="n">
        <f aca="false">135405/153982</f>
        <v>0.879356028626722</v>
      </c>
      <c r="D5" s="0" t="n">
        <f aca="false">134836/125481</f>
        <v>1.0745531195958</v>
      </c>
      <c r="E5" s="0" t="n">
        <f aca="false">143713/105392</f>
        <v>1.36360444815546</v>
      </c>
    </row>
    <row r="6" customFormat="false" ht="14.25" hidden="false" customHeight="false" outlineLevel="0" collapsed="false">
      <c r="A6" s="25" t="n">
        <f aca="false">+A5+0.1</f>
        <v>1.2</v>
      </c>
      <c r="B6" s="4" t="s">
        <v>110</v>
      </c>
      <c r="C6" s="0" t="n">
        <f aca="false">(23646+24658+28184)/153982</f>
        <v>0.496733384421556</v>
      </c>
      <c r="D6" s="0" t="n">
        <f aca="false">(34940+27699+26278)/125481</f>
        <v>0.708609271523179</v>
      </c>
      <c r="E6" s="0" t="n">
        <f aca="false">(38016+52927+16120)/105392</f>
        <v>1.01585509336572</v>
      </c>
    </row>
    <row r="7" customFormat="false" ht="14.25" hidden="false" customHeight="false" outlineLevel="0" collapsed="false">
      <c r="A7" s="25" t="n">
        <f aca="false">+A6+0.1</f>
        <v>1.3</v>
      </c>
      <c r="B7" s="4" t="s">
        <v>111</v>
      </c>
      <c r="C7" s="0" t="n">
        <f aca="false">23646/153982</f>
        <v>0.153563403514697</v>
      </c>
      <c r="D7" s="0" t="n">
        <f aca="false">34940/125481</f>
        <v>0.278448530056343</v>
      </c>
      <c r="E7" s="0" t="n">
        <f aca="false">38016/105392</f>
        <v>0.3607104903598</v>
      </c>
    </row>
    <row r="8" customFormat="false" ht="14.25" hidden="false" customHeight="false" outlineLevel="0" collapsed="false">
      <c r="A8" s="25" t="n">
        <f aca="false">+A7+0.1</f>
        <v>1.4</v>
      </c>
      <c r="B8" s="4" t="s">
        <v>112</v>
      </c>
      <c r="C8" s="0" t="n">
        <f aca="false">135405/(51345/365)</f>
        <v>962.563540753725</v>
      </c>
      <c r="D8" s="0" t="n">
        <f aca="false">134836/(43887/365)</f>
        <v>1121.40588329118</v>
      </c>
      <c r="E8" s="0" t="n">
        <f aca="false">143713/(38668/365)</f>
        <v>1356.55438605565</v>
      </c>
    </row>
    <row r="9" customFormat="false" ht="14.25" hidden="false" customHeight="false" outlineLevel="0" collapsed="false">
      <c r="A9" s="25" t="n">
        <f aca="false">+A8+0.1</f>
        <v>1.5</v>
      </c>
      <c r="B9" s="4" t="s">
        <v>113</v>
      </c>
      <c r="C9" s="0" t="n">
        <f aca="false">(4946/223546)*365</f>
        <v>8.07569806661716</v>
      </c>
      <c r="D9" s="0" t="n">
        <f aca="false">(6580/212981)*365</f>
        <v>11.2765927477099</v>
      </c>
      <c r="E9" s="0" t="n">
        <f aca="false">(4061/169559)*365</f>
        <v>8.74188335623588</v>
      </c>
    </row>
    <row r="10" customFormat="false" ht="14.25" hidden="false" customHeight="false" outlineLevel="0" collapsed="false">
      <c r="A10" s="25" t="n">
        <f aca="false">+A9+0.1</f>
        <v>1.6</v>
      </c>
      <c r="B10" s="4" t="s">
        <v>114</v>
      </c>
      <c r="C10" s="0" t="n">
        <f aca="false">(64115*365)/223546</f>
        <v>104.685277303105</v>
      </c>
      <c r="D10" s="0" t="n">
        <f aca="false">(54763*365)/212981</f>
        <v>93.8510712223156</v>
      </c>
      <c r="E10" s="0" t="n">
        <f aca="false">(42296*365)/169559</f>
        <v>91.0481897156742</v>
      </c>
    </row>
    <row r="11" customFormat="false" ht="14.25" hidden="false" customHeight="false" outlineLevel="0" collapsed="false">
      <c r="A11" s="25" t="n">
        <f aca="false">+A10+0.1</f>
        <v>1.7</v>
      </c>
      <c r="B11" s="4" t="s">
        <v>115</v>
      </c>
      <c r="C11" s="0" t="n">
        <f aca="false">(28184*365)/394328</f>
        <v>26.0878253636567</v>
      </c>
      <c r="D11" s="0" t="n">
        <f aca="false">(26278*365)/365817</f>
        <v>26.2193118417132</v>
      </c>
      <c r="E11" s="0" t="n">
        <f aca="false">(16120*365)/274515</f>
        <v>21.4334371527967</v>
      </c>
    </row>
    <row r="12" customFormat="false" ht="14.25" hidden="false" customHeight="false" outlineLevel="0" collapsed="false">
      <c r="A12" s="25" t="n">
        <f aca="false">+A11+0.1</f>
        <v>1.8</v>
      </c>
      <c r="B12" s="4" t="s">
        <v>116</v>
      </c>
      <c r="C12" s="0" t="n">
        <f aca="false">C9+C11-C10</f>
        <v>-70.5217538728316</v>
      </c>
      <c r="D12" s="0" t="n">
        <f aca="false">D9+D11-D10</f>
        <v>-56.3551666328925</v>
      </c>
      <c r="E12" s="0" t="n">
        <f aca="false">E9+E11-E10</f>
        <v>-60.8728692066416</v>
      </c>
    </row>
    <row r="13" customFormat="false" ht="14.25" hidden="false" customHeight="false" outlineLevel="0" collapsed="false">
      <c r="A13" s="25" t="n">
        <f aca="false">+A12+0.1</f>
        <v>1.9</v>
      </c>
      <c r="B13" s="4" t="s">
        <v>117</v>
      </c>
      <c r="C13" s="0" t="n">
        <f aca="false">(C14*100)/394328</f>
        <v>-4.71105272767848</v>
      </c>
      <c r="D13" s="0" t="n">
        <f aca="false">(D14*100)/365817</f>
        <v>2.55728957374862</v>
      </c>
      <c r="E13" s="0" t="n">
        <f aca="false">(E14*100)/274515</f>
        <v>13.9595286232082</v>
      </c>
    </row>
    <row r="14" customFormat="false" ht="14.25" hidden="false" customHeight="false" outlineLevel="0" collapsed="false">
      <c r="A14" s="25"/>
      <c r="B14" s="22" t="s">
        <v>118</v>
      </c>
      <c r="C14" s="0" t="n">
        <f aca="false">135405-153982</f>
        <v>-18577</v>
      </c>
      <c r="D14" s="0" t="n">
        <f aca="false">134836-125481</f>
        <v>9355</v>
      </c>
      <c r="E14" s="0" t="n">
        <f aca="false">143713-105392</f>
        <v>38321</v>
      </c>
    </row>
    <row r="15" customFormat="false" ht="14.25" hidden="false" customHeight="false" outlineLevel="0" collapsed="false">
      <c r="A15" s="25"/>
    </row>
    <row r="16" customFormat="false" ht="14.25" hidden="false" customHeight="false" outlineLevel="0" collapsed="false">
      <c r="A16" s="25" t="n">
        <f aca="false">+A4+1</f>
        <v>2</v>
      </c>
      <c r="B16" s="5" t="s">
        <v>119</v>
      </c>
    </row>
    <row r="17" customFormat="false" ht="14.25" hidden="false" customHeight="false" outlineLevel="0" collapsed="false">
      <c r="A17" s="25" t="n">
        <f aca="false">+A16+0.1</f>
        <v>2.1</v>
      </c>
      <c r="B17" s="4" t="s">
        <v>31</v>
      </c>
      <c r="C17" s="0" t="n">
        <v>170782</v>
      </c>
      <c r="D17" s="0" t="n">
        <v>152836</v>
      </c>
      <c r="E17" s="0" t="n">
        <v>104956</v>
      </c>
    </row>
    <row r="18" customFormat="false" ht="14.25" hidden="false" customHeight="false" outlineLevel="0" collapsed="false">
      <c r="A18" s="25" t="n">
        <f aca="false">+A17+0.1</f>
        <v>2.2</v>
      </c>
      <c r="B18" s="4" t="s">
        <v>120</v>
      </c>
      <c r="C18" s="0" t="n">
        <f aca="false">C19/394328</f>
        <v>0.33104674281309</v>
      </c>
      <c r="D18" s="0" t="n">
        <f aca="false">D19/365817</f>
        <v>0.328669799380565</v>
      </c>
      <c r="E18" s="0" t="n">
        <f aca="false">E19/274515</f>
        <v>0.281747809773601</v>
      </c>
    </row>
    <row r="19" customFormat="false" ht="14.25" hidden="false" customHeight="false" outlineLevel="0" collapsed="false">
      <c r="A19" s="25"/>
      <c r="B19" s="22" t="s">
        <v>121</v>
      </c>
      <c r="C19" s="0" t="n">
        <f aca="false">C21+11104</f>
        <v>130541</v>
      </c>
      <c r="D19" s="0" t="n">
        <f aca="false">D21+11284</f>
        <v>120233</v>
      </c>
      <c r="E19" s="0" t="n">
        <f aca="false">E21+11056</f>
        <v>77344</v>
      </c>
    </row>
    <row r="20" customFormat="false" ht="14.25" hidden="false" customHeight="false" outlineLevel="0" collapsed="false">
      <c r="A20" s="25" t="n">
        <f aca="false">+A18+0.1</f>
        <v>2.3</v>
      </c>
      <c r="B20" s="4" t="s">
        <v>122</v>
      </c>
      <c r="C20" s="0" t="n">
        <f aca="false">C21/394328</f>
        <v>0.302887443955286</v>
      </c>
      <c r="D20" s="0" t="n">
        <f aca="false">D21/365817</f>
        <v>0.297823775275616</v>
      </c>
      <c r="E20" s="0" t="n">
        <f aca="false">E21/274515</f>
        <v>0.241473143544069</v>
      </c>
    </row>
    <row r="21" customFormat="false" ht="14.25" hidden="false" customHeight="false" outlineLevel="0" collapsed="false">
      <c r="A21" s="25"/>
      <c r="B21" s="22" t="s">
        <v>123</v>
      </c>
      <c r="C21" s="0" t="n">
        <f aca="false">394328-223546-51345</f>
        <v>119437</v>
      </c>
      <c r="D21" s="0" t="n">
        <f aca="false">365817-212981-43887</f>
        <v>108949</v>
      </c>
      <c r="E21" s="0" t="n">
        <f aca="false">274515-169559-38668</f>
        <v>66288</v>
      </c>
    </row>
    <row r="22" customFormat="false" ht="14.25" hidden="false" customHeight="false" outlineLevel="0" collapsed="false">
      <c r="A22" s="25" t="n">
        <f aca="false">+A20+0.1</f>
        <v>2.4</v>
      </c>
      <c r="B22" s="4" t="s">
        <v>124</v>
      </c>
      <c r="C22" s="0" t="n">
        <f aca="false">(99803/394328)*100</f>
        <v>25.3096407051997</v>
      </c>
      <c r="D22" s="0" t="n">
        <f aca="false">(94680/365817)*100</f>
        <v>25.8817933556942</v>
      </c>
      <c r="E22" s="0" t="n">
        <f aca="false">(57411/274515)*100</f>
        <v>20.9136112780722</v>
      </c>
    </row>
    <row r="23" customFormat="false" ht="14.25" hidden="false" customHeight="false" outlineLevel="0" collapsed="false">
      <c r="A23" s="25"/>
    </row>
    <row r="24" customFormat="false" ht="14.25" hidden="false" customHeight="false" outlineLevel="0" collapsed="false">
      <c r="A24" s="25" t="n">
        <f aca="false">+A16+1</f>
        <v>3</v>
      </c>
      <c r="B24" s="2" t="s">
        <v>125</v>
      </c>
    </row>
    <row r="25" customFormat="false" ht="14.25" hidden="false" customHeight="false" outlineLevel="0" collapsed="false">
      <c r="A25" s="25" t="n">
        <f aca="false">+A24+0.1</f>
        <v>3.1</v>
      </c>
      <c r="B25" s="4" t="s">
        <v>126</v>
      </c>
      <c r="C25" s="0" t="n">
        <f aca="false">302083/50672</f>
        <v>5.96153694347963</v>
      </c>
      <c r="D25" s="0" t="n">
        <f aca="false">287912/63090</f>
        <v>4.5635124425424</v>
      </c>
      <c r="E25" s="0" t="n">
        <f aca="false">258549/65339</f>
        <v>3.9570394404567</v>
      </c>
    </row>
    <row r="26" customFormat="false" ht="14.25" hidden="false" customHeight="false" outlineLevel="0" collapsed="false">
      <c r="A26" s="25" t="n">
        <f aca="false">+A25+0.1</f>
        <v>3.2</v>
      </c>
      <c r="B26" s="4" t="s">
        <v>127</v>
      </c>
      <c r="C26" s="0" t="n">
        <f aca="false">302083/352755</f>
        <v>0.856353559836147</v>
      </c>
      <c r="D26" s="0" t="n">
        <f aca="false">287912/351002</f>
        <v>0.820257434430573</v>
      </c>
      <c r="E26" s="0" t="n">
        <f aca="false">258549/323888</f>
        <v>0.798266684779924</v>
      </c>
    </row>
    <row r="27" customFormat="false" ht="14.25" hidden="false" customHeight="false" outlineLevel="0" collapsed="false">
      <c r="A27" s="25" t="n">
        <f aca="false">+A26+0.1</f>
        <v>3.3</v>
      </c>
      <c r="B27" s="4" t="s">
        <v>128</v>
      </c>
      <c r="C27" s="0" t="n">
        <v>0.74507604151</v>
      </c>
      <c r="D27" s="0" t="n">
        <v>0.7202477818</v>
      </c>
      <c r="E27" s="0" t="n">
        <v>0.7009602</v>
      </c>
    </row>
    <row r="28" customFormat="false" ht="14.25" hidden="false" customHeight="false" outlineLevel="0" collapsed="false">
      <c r="A28" s="25" t="n">
        <f aca="false">+A27+0.1</f>
        <v>3.4</v>
      </c>
      <c r="B28" s="4" t="s">
        <v>129</v>
      </c>
      <c r="C28" s="0" t="n">
        <f aca="false">C21/-2931</f>
        <v>-40.7495735243944</v>
      </c>
      <c r="D28" s="0" t="n">
        <f aca="false">D21/-2645</f>
        <v>-41.1905482041588</v>
      </c>
      <c r="E28" s="0" t="n">
        <f aca="false">E21/-2873</f>
        <v>-23.0727462582666</v>
      </c>
    </row>
    <row r="29" customFormat="false" ht="14.25" hidden="false" customHeight="false" outlineLevel="0" collapsed="false">
      <c r="A29" s="25" t="n">
        <f aca="false">+A28+0.1</f>
        <v>3.5</v>
      </c>
      <c r="B29" s="4" t="s">
        <v>130</v>
      </c>
      <c r="C29" s="0" t="n">
        <f aca="false">C21/302083</f>
        <v>0.395378091451687</v>
      </c>
      <c r="D29" s="0" t="n">
        <f aca="false">D21/287912</f>
        <v>0.378410764400233</v>
      </c>
      <c r="E29" s="0" t="n">
        <f aca="false">E21/258549</f>
        <v>0.256384669830477</v>
      </c>
    </row>
    <row r="30" customFormat="false" ht="14.25" hidden="false" customHeight="false" outlineLevel="0" collapsed="false">
      <c r="A30" s="25" t="n">
        <f aca="false">+A29+0.1</f>
        <v>3.6</v>
      </c>
      <c r="B30" s="4" t="s">
        <v>131</v>
      </c>
      <c r="C30" s="0" t="n">
        <v>0.02087949</v>
      </c>
      <c r="D30" s="0" t="n">
        <v>0.01896297898</v>
      </c>
      <c r="E30" s="0" t="n">
        <v>0.01327</v>
      </c>
    </row>
    <row r="31" customFormat="false" ht="14.25" hidden="false" customHeight="false" outlineLevel="0" collapsed="false">
      <c r="A31" s="25"/>
      <c r="B31" s="22" t="s">
        <v>132</v>
      </c>
      <c r="C31" s="0" t="n">
        <f aca="false">121645</f>
        <v>121645</v>
      </c>
      <c r="D31" s="0" t="n">
        <v>7603</v>
      </c>
      <c r="E31" s="0" t="n">
        <v>13138</v>
      </c>
    </row>
    <row r="32" customFormat="false" ht="14.25" hidden="false" customHeight="false" outlineLevel="0" collapsed="false">
      <c r="A32" s="25"/>
    </row>
    <row r="33" customFormat="false" ht="14.25" hidden="false" customHeight="false" outlineLevel="0" collapsed="false">
      <c r="A33" s="25" t="n">
        <f aca="false">+A24+1</f>
        <v>4</v>
      </c>
      <c r="B33" s="5" t="s">
        <v>133</v>
      </c>
    </row>
    <row r="34" customFormat="false" ht="14.25" hidden="false" customHeight="false" outlineLevel="0" collapsed="false">
      <c r="A34" s="25" t="n">
        <f aca="false">+A33+0.1</f>
        <v>4.1</v>
      </c>
      <c r="B34" s="4" t="s">
        <v>134</v>
      </c>
      <c r="C34" s="0" t="n">
        <f aca="false">394328/352775</f>
        <v>1.11778895896818</v>
      </c>
      <c r="D34" s="0" t="n">
        <f aca="false">365817/351002</f>
        <v>1.04220773670805</v>
      </c>
      <c r="E34" s="0" t="n">
        <f aca="false">274515/323888</f>
        <v>0.847561502741688</v>
      </c>
    </row>
    <row r="35" customFormat="false" ht="14.25" hidden="false" customHeight="false" outlineLevel="0" collapsed="false">
      <c r="A35" s="25" t="n">
        <f aca="false">+A34+0.1</f>
        <v>4.2</v>
      </c>
      <c r="B35" s="4" t="s">
        <v>135</v>
      </c>
      <c r="C35" s="0" t="n">
        <f aca="false">394328/42117</f>
        <v>9.36268015290738</v>
      </c>
      <c r="D35" s="0" t="n">
        <f aca="false">365817/39440</f>
        <v>9.27527890466532</v>
      </c>
      <c r="E35" s="0" t="n">
        <f aca="false">274515/36766</f>
        <v>7.46654517760975</v>
      </c>
    </row>
    <row r="36" customFormat="false" ht="14.25" hidden="false" customHeight="false" outlineLevel="0" collapsed="false">
      <c r="A36" s="25" t="n">
        <f aca="false">+A35+0.1</f>
        <v>4.3</v>
      </c>
      <c r="B36" s="4" t="s">
        <v>136</v>
      </c>
      <c r="C36" s="0" t="n">
        <f aca="false">394328/4946</f>
        <v>79.726647796199</v>
      </c>
      <c r="D36" s="0" t="n">
        <f aca="false">365817/6580</f>
        <v>55.5952887537994</v>
      </c>
      <c r="E36" s="0" t="n">
        <f aca="false">274515/4061</f>
        <v>67.5978822950012</v>
      </c>
    </row>
    <row r="37" customFormat="false" ht="14.25" hidden="false" customHeight="false" outlineLevel="0" collapsed="false">
      <c r="A37" s="25" t="n">
        <f aca="false">+A36+0.1</f>
        <v>4.4</v>
      </c>
      <c r="B37" s="4" t="s">
        <v>137</v>
      </c>
      <c r="C37" s="0" t="n">
        <f aca="false">99803/352755</f>
        <v>0.282924409292568</v>
      </c>
      <c r="D37" s="0" t="n">
        <f aca="false">94680/351002</f>
        <v>0.269742052751836</v>
      </c>
      <c r="E37" s="0" t="n">
        <f aca="false">57411/323888</f>
        <v>0.177255718025984</v>
      </c>
    </row>
    <row r="38" customFormat="false" ht="14.25" hidden="false" customHeight="false" outlineLevel="0" collapsed="false">
      <c r="A38" s="25"/>
    </row>
    <row r="39" customFormat="false" ht="14.25" hidden="false" customHeight="false" outlineLevel="0" collapsed="false">
      <c r="A39" s="25" t="n">
        <f aca="false">+A33+1</f>
        <v>5</v>
      </c>
      <c r="B39" s="5" t="s">
        <v>138</v>
      </c>
    </row>
    <row r="40" customFormat="false" ht="14.25" hidden="false" customHeight="false" outlineLevel="0" collapsed="false">
      <c r="A40" s="25" t="n">
        <f aca="false">+A39+0.1</f>
        <v>5.1</v>
      </c>
      <c r="B40" s="4" t="s">
        <v>139</v>
      </c>
      <c r="C40" s="0" t="n">
        <f aca="false">150/C41</f>
        <v>24.390243902439</v>
      </c>
      <c r="D40" s="0" t="n">
        <f aca="false">150/D41</f>
        <v>26.4550264550265</v>
      </c>
      <c r="E40" s="0" t="n">
        <f aca="false">112/E41</f>
        <v>33.8368580060423</v>
      </c>
    </row>
    <row r="41" customFormat="false" ht="13.8" hidden="false" customHeight="false" outlineLevel="0" collapsed="false">
      <c r="A41" s="25" t="n">
        <f aca="false">+A40+0.1</f>
        <v>5.2</v>
      </c>
      <c r="B41" s="22" t="s">
        <v>140</v>
      </c>
      <c r="C41" s="26" t="n">
        <v>6.15</v>
      </c>
      <c r="D41" s="26" t="n">
        <v>5.67</v>
      </c>
      <c r="E41" s="26" t="n">
        <v>3.31</v>
      </c>
    </row>
    <row r="42" customFormat="false" ht="14.25" hidden="false" customHeight="false" outlineLevel="0" collapsed="false">
      <c r="A42" s="25" t="n">
        <f aca="false">+A41+0.1</f>
        <v>5.3</v>
      </c>
      <c r="B42" s="4" t="s">
        <v>141</v>
      </c>
      <c r="C42" s="0" t="n">
        <f aca="false">137.2/C43</f>
        <v>43.1446540880503</v>
      </c>
      <c r="D42" s="0" t="n">
        <f aca="false">139.7/D43</f>
        <v>36.3802083333333</v>
      </c>
      <c r="E42" s="0" t="n">
        <f aca="false">113.6/E43</f>
        <v>29.5064935064935</v>
      </c>
    </row>
    <row r="43" customFormat="false" ht="14.25" hidden="false" customHeight="false" outlineLevel="0" collapsed="false">
      <c r="A43" s="25" t="n">
        <f aca="false">+A42+0.1</f>
        <v>5.4</v>
      </c>
      <c r="B43" s="22" t="s">
        <v>142</v>
      </c>
      <c r="C43" s="0" t="n">
        <v>3.18</v>
      </c>
      <c r="D43" s="0" t="n">
        <v>3.84</v>
      </c>
      <c r="E43" s="0" t="n">
        <v>3.85</v>
      </c>
    </row>
    <row r="44" customFormat="false" ht="14.25" hidden="false" customHeight="false" outlineLevel="0" collapsed="false">
      <c r="A44" s="25" t="n">
        <f aca="false">+A43+0.1</f>
        <v>5.5</v>
      </c>
      <c r="B44" s="4" t="s">
        <v>143</v>
      </c>
      <c r="C44" s="0" t="n">
        <f aca="false">14841/99803</f>
        <v>0.148702944801258</v>
      </c>
      <c r="D44" s="0" t="n">
        <f aca="false">14467/94680</f>
        <v>0.15279890156316</v>
      </c>
      <c r="E44" s="0" t="n">
        <f aca="false">14081/57411</f>
        <v>0.245266586542649</v>
      </c>
    </row>
    <row r="45" customFormat="false" ht="14.25" hidden="false" customHeight="false" outlineLevel="0" collapsed="false">
      <c r="A45" s="25"/>
      <c r="B45" s="22" t="s">
        <v>144</v>
      </c>
      <c r="C45" s="0" t="n">
        <v>0.9</v>
      </c>
      <c r="D45" s="0" t="n">
        <v>0.85</v>
      </c>
      <c r="E45" s="0" t="n">
        <v>0.795</v>
      </c>
    </row>
    <row r="46" customFormat="false" ht="14.25" hidden="false" customHeight="false" outlineLevel="0" collapsed="false">
      <c r="A46" s="25" t="n">
        <f aca="false">+A44+0.1</f>
        <v>5.6</v>
      </c>
      <c r="B46" s="4" t="s">
        <v>145</v>
      </c>
      <c r="C46" s="27" t="n">
        <f aca="false">C45/137.2</f>
        <v>0.0065597667638484</v>
      </c>
      <c r="D46" s="0" t="n">
        <f aca="false">D45/139.7</f>
        <v>0.00608446671438797</v>
      </c>
      <c r="E46" s="0" t="n">
        <f aca="false">E45/113.6</f>
        <v>0.00699823943661972</v>
      </c>
    </row>
    <row r="47" customFormat="false" ht="14.25" hidden="false" customHeight="false" outlineLevel="0" collapsed="false">
      <c r="A47" s="25" t="n">
        <f aca="false">+A45+0.1</f>
        <v>0.1</v>
      </c>
      <c r="B47" s="4" t="s">
        <v>146</v>
      </c>
      <c r="C47" s="0" t="n">
        <f aca="false">99803/50672</f>
        <v>1.96958872750237</v>
      </c>
      <c r="D47" s="0" t="n">
        <f aca="false">94680/63090</f>
        <v>1.50071326676177</v>
      </c>
      <c r="E47" s="0" t="n">
        <f aca="false">57411/65339</f>
        <v>0.878663585301275</v>
      </c>
    </row>
    <row r="48" customFormat="false" ht="14.25" hidden="false" customHeight="false" outlineLevel="0" collapsed="false">
      <c r="A48" s="25" t="n">
        <f aca="false">+A46+0.1</f>
        <v>5.7</v>
      </c>
      <c r="B48" s="4" t="s">
        <v>147</v>
      </c>
      <c r="C48" s="0" t="n">
        <f aca="false">C21/(352755-153982)</f>
        <v>0.600871345705906</v>
      </c>
      <c r="D48" s="0" t="n">
        <f aca="false">D21/(351002-125481)</f>
        <v>0.483099134892094</v>
      </c>
      <c r="E48" s="0" t="n">
        <f aca="false">E21/(323888-10392)</f>
        <v>0.211447673973512</v>
      </c>
    </row>
    <row r="49" customFormat="false" ht="13.8" hidden="false" customHeight="false" outlineLevel="0" collapsed="false">
      <c r="A49" s="25" t="n">
        <f aca="false">+A47+0.1</f>
        <v>0.2</v>
      </c>
      <c r="B49" s="4" t="s">
        <v>137</v>
      </c>
      <c r="C49" s="0" t="n">
        <f aca="false">99803/352755</f>
        <v>0.282924409292568</v>
      </c>
      <c r="D49" s="0" t="n">
        <f aca="false">94680/351002</f>
        <v>0.269742052751836</v>
      </c>
      <c r="E49" s="0" t="n">
        <f aca="false">E37</f>
        <v>0.177255718025984</v>
      </c>
    </row>
    <row r="50" customFormat="false" ht="14.25" hidden="false" customHeight="false" outlineLevel="0" collapsed="false">
      <c r="A50" s="25" t="n">
        <f aca="false">+A48+0.1</f>
        <v>5.8</v>
      </c>
      <c r="B50" s="4" t="s">
        <v>148</v>
      </c>
      <c r="C50" s="0" t="n">
        <f aca="false">C51/C19</f>
        <v>17.9491960380264</v>
      </c>
      <c r="D50" s="0" t="n">
        <f aca="false">D51/D19</f>
        <v>26.2239401828117</v>
      </c>
      <c r="E50" s="0" t="n">
        <f aca="false">E51/E19</f>
        <v>31.9838642945801</v>
      </c>
    </row>
    <row r="51" customFormat="false" ht="14.25" hidden="false" customHeight="false" outlineLevel="0" collapsed="false">
      <c r="A51" s="25"/>
      <c r="B51" s="22" t="s">
        <v>149</v>
      </c>
      <c r="C51" s="0" t="n">
        <f aca="false">2066000+302083-24977</f>
        <v>2343106</v>
      </c>
      <c r="D51" s="0" t="n">
        <f aca="false">2901000+287912-35929</f>
        <v>3152983</v>
      </c>
      <c r="E51" s="0" t="n">
        <f aca="false">2255000+258549-39789</f>
        <v>2473760</v>
      </c>
    </row>
    <row r="53" customFormat="false" ht="14.25" hidden="false" customHeight="false" outlineLevel="0" collapsed="false">
      <c r="A53" s="0" t="n">
        <v>6</v>
      </c>
      <c r="B53" s="0" t="s">
        <v>150</v>
      </c>
    </row>
    <row r="54" customFormat="false" ht="14.25" hidden="false" customHeight="false" outlineLevel="0" collapsed="false">
      <c r="B54" s="0" t="s">
        <v>151</v>
      </c>
      <c r="C54" s="0" t="n">
        <v>5</v>
      </c>
      <c r="D54" s="0" t="n">
        <v>30.25</v>
      </c>
      <c r="E54" s="0" t="n">
        <v>11</v>
      </c>
    </row>
    <row r="55" customFormat="false" ht="14.25" hidden="false" customHeight="false" outlineLevel="0" collapsed="false">
      <c r="B55" s="0" t="s">
        <v>27</v>
      </c>
      <c r="C55" s="0" t="n">
        <v>14</v>
      </c>
      <c r="D55" s="0" t="n">
        <v>27</v>
      </c>
      <c r="E55" s="0" t="n">
        <v>16</v>
      </c>
    </row>
    <row r="56" customFormat="false" ht="14.25" hidden="false" customHeight="false" outlineLevel="0" collapsed="false">
      <c r="B56" s="0" t="s">
        <v>152</v>
      </c>
      <c r="C56" s="0" t="n">
        <v>8</v>
      </c>
      <c r="D56" s="0" t="n">
        <v>33</v>
      </c>
      <c r="E56" s="0" t="n">
        <v>6</v>
      </c>
    </row>
    <row r="57" customFormat="false" ht="14.25" hidden="false" customHeight="false" outlineLevel="0" collapsed="false">
      <c r="B57" s="0" t="s">
        <v>7</v>
      </c>
      <c r="C57" s="0" t="n">
        <v>43.3</v>
      </c>
      <c r="D57" s="0" t="n">
        <v>41.8</v>
      </c>
      <c r="E57" s="0" t="n">
        <v>38.2</v>
      </c>
    </row>
    <row r="58" customFormat="false" ht="14.25" hidden="false" customHeight="false" outlineLevel="0" collapsed="false">
      <c r="B58" s="0" t="s">
        <v>153</v>
      </c>
      <c r="C58" s="0" t="n">
        <v>17</v>
      </c>
      <c r="D58" s="0" t="n">
        <v>13</v>
      </c>
      <c r="E58" s="0" t="n">
        <v>12</v>
      </c>
    </row>
    <row r="59" customFormat="false" ht="13.8" hidden="false" customHeight="false" outlineLevel="0" collapsed="false">
      <c r="B59" s="4" t="s">
        <v>9</v>
      </c>
      <c r="C59" s="0" t="s">
        <v>154</v>
      </c>
      <c r="D59" s="0" t="s">
        <v>154</v>
      </c>
      <c r="E59" s="0" t="s">
        <v>154</v>
      </c>
    </row>
    <row r="60" customFormat="false" ht="13.8" hidden="false" customHeight="false" outlineLevel="0" collapsed="false">
      <c r="B60" s="4" t="s">
        <v>155</v>
      </c>
      <c r="C60" s="0" t="n">
        <f aca="false">((352755-351002)/352755)*100</f>
        <v>0.49694547206985</v>
      </c>
      <c r="D60" s="0" t="n">
        <f aca="false">((351002-323888)/351002)*100</f>
        <v>7.72474230916063</v>
      </c>
      <c r="E60" s="0" t="n">
        <f aca="false">((323888-338516)/323888)*100</f>
        <v>-4.51637603122067</v>
      </c>
    </row>
    <row r="61" customFormat="false" ht="14.25" hidden="false" customHeight="false" outlineLevel="0" collapsed="false">
      <c r="B61" s="0" t="s">
        <v>156</v>
      </c>
      <c r="C61" s="0" t="n">
        <f aca="false">((302083-287912)/302083)*100</f>
        <v>4.69109483155292</v>
      </c>
      <c r="D61" s="0" t="n">
        <f aca="false">((287912-258549)/287912)*100</f>
        <v>10.1986023507183</v>
      </c>
      <c r="E61" s="0" t="n">
        <f aca="false">((258549-248028)/258549)*100</f>
        <v>4.06924799554437</v>
      </c>
    </row>
    <row r="62" customFormat="false" ht="14.25" hidden="false" customHeight="false" outlineLevel="0" collapsed="false">
      <c r="B62" s="0" t="s">
        <v>157</v>
      </c>
      <c r="C62" s="0" t="n">
        <f aca="false">((50672-63090)/50672)*100</f>
        <v>-24.5066308809599</v>
      </c>
      <c r="D62" s="0" t="n">
        <f aca="false">((63090-65339)/63090)*100</f>
        <v>-3.56474877159613</v>
      </c>
      <c r="E62" s="0" t="n">
        <f aca="false">((65339-90488)/65339)*100</f>
        <v>-38.4900289260625</v>
      </c>
    </row>
    <row r="64" customFormat="false" ht="13.8" hidden="false" customHeight="false" outlineLevel="0" collapsed="false">
      <c r="A64" s="0" t="n">
        <v>7</v>
      </c>
      <c r="B64" s="0" t="s">
        <v>158</v>
      </c>
    </row>
    <row r="65" customFormat="false" ht="13.8" hidden="false" customHeight="false" outlineLevel="0" collapsed="false">
      <c r="B65" s="4" t="s">
        <v>11</v>
      </c>
      <c r="C65" s="0" t="n">
        <f aca="false">(223546/394328)*100</f>
        <v>56.6903694386399</v>
      </c>
      <c r="D65" s="0" t="n">
        <f aca="false">(212981/365817)*100</f>
        <v>58.2206403748322</v>
      </c>
      <c r="E65" s="0" t="n">
        <f aca="false">(169559/274515)*100</f>
        <v>61.7667522721891</v>
      </c>
    </row>
    <row r="66" customFormat="false" ht="13.8" hidden="false" customHeight="false" outlineLevel="0" collapsed="false">
      <c r="B66" s="4" t="s">
        <v>7</v>
      </c>
      <c r="C66" s="0" t="n">
        <f aca="false">(170782/394328)*100</f>
        <v>43.3096305613601</v>
      </c>
      <c r="D66" s="0" t="n">
        <f aca="false">(152836/365817)*100</f>
        <v>41.7793596251678</v>
      </c>
      <c r="E66" s="0" t="n">
        <f aca="false">(104956/274515)*100</f>
        <v>38.2332477278109</v>
      </c>
    </row>
    <row r="67" customFormat="false" ht="13.8" hidden="false" customHeight="false" outlineLevel="0" collapsed="false">
      <c r="B67" s="4" t="s">
        <v>8</v>
      </c>
      <c r="C67" s="0" t="s">
        <v>154</v>
      </c>
      <c r="D67" s="0" t="s">
        <v>154</v>
      </c>
      <c r="E67" s="0" t="s">
        <v>154</v>
      </c>
    </row>
    <row r="68" customFormat="false" ht="13.8" hidden="false" customHeight="false" outlineLevel="0" collapsed="false">
      <c r="B68" s="4" t="s">
        <v>33</v>
      </c>
      <c r="C68" s="0" t="n">
        <v>7</v>
      </c>
      <c r="D68" s="0" t="n">
        <v>6</v>
      </c>
      <c r="E68" s="0" t="n">
        <v>7</v>
      </c>
    </row>
    <row r="69" customFormat="false" ht="13.8" hidden="false" customHeight="false" outlineLevel="0" collapsed="false">
      <c r="B69" s="4" t="s">
        <v>34</v>
      </c>
      <c r="C69" s="0" t="n">
        <v>6</v>
      </c>
      <c r="D69" s="0" t="n">
        <v>6</v>
      </c>
      <c r="E69" s="0" t="n">
        <v>7</v>
      </c>
    </row>
    <row r="70" customFormat="false" ht="13.8" hidden="false" customHeight="false" outlineLevel="0" collapsed="false">
      <c r="B70" s="4" t="s">
        <v>12</v>
      </c>
      <c r="C70" s="0" t="n">
        <f aca="false">(119437/394328)*100</f>
        <v>30.2887443955286</v>
      </c>
      <c r="D70" s="0" t="n">
        <f aca="false">(108949/365817)*100</f>
        <v>29.7823775275616</v>
      </c>
      <c r="E70" s="0" t="n">
        <f aca="false">(66288/274515)*100</f>
        <v>24.1473143544069</v>
      </c>
    </row>
    <row r="71" customFormat="false" ht="13.8" hidden="false" customHeight="false" outlineLevel="0" collapsed="false">
      <c r="B71" s="4" t="s">
        <v>13</v>
      </c>
      <c r="C71" s="0" t="n">
        <f aca="false">(99803/394328)*100</f>
        <v>25.3096407051997</v>
      </c>
      <c r="D71" s="0" t="n">
        <f aca="false">(94680/365817)*100</f>
        <v>25.8817933556942</v>
      </c>
      <c r="E71" s="0" t="n">
        <f aca="false">(57411/274515)*100</f>
        <v>20.9136112780722</v>
      </c>
    </row>
    <row r="72" customFormat="false" ht="13.8" hidden="false" customHeight="false" outlineLevel="0" collapsed="false"/>
    <row r="73" customFormat="false" ht="13.8" hidden="false" customHeight="false" outlineLevel="0" collapsed="false">
      <c r="A73" s="0" t="n">
        <v>8</v>
      </c>
      <c r="B73" s="4" t="s">
        <v>159</v>
      </c>
      <c r="C73" s="0" t="n">
        <v>16.2</v>
      </c>
      <c r="D73" s="0" t="n">
        <v>13.3</v>
      </c>
      <c r="E73" s="0" t="n">
        <v>14.4</v>
      </c>
    </row>
    <row r="74" customFormat="false" ht="13.8" hidden="false" customHeight="false" outlineLevel="0" collapsed="false">
      <c r="B74" s="4" t="s">
        <v>160</v>
      </c>
      <c r="C74" s="0" t="n">
        <f aca="false">((42117-39440+11104)/394328)*100</f>
        <v>3.49480635410115</v>
      </c>
      <c r="D74" s="0" t="n">
        <f aca="false">((39440-36766+11284)/365817)*100</f>
        <v>3.81556898667913</v>
      </c>
      <c r="E74" s="0" t="n">
        <f aca="false">((36766-37378+11056)/274515)*100</f>
        <v>3.80452798572027</v>
      </c>
    </row>
    <row r="75" customFormat="false" ht="13.8" hidden="false" customHeight="false" outlineLevel="0" collapsed="false">
      <c r="B75" s="4" t="s">
        <v>161</v>
      </c>
      <c r="C75" s="0" t="n">
        <f aca="false">((42117-39440+11104)/217350)*100</f>
        <v>6.34046468829078</v>
      </c>
      <c r="D75" s="0" t="n">
        <f aca="false">((39440-36766+11284)/216166)*100</f>
        <v>6.45707465558876</v>
      </c>
      <c r="E75" s="0" t="n">
        <f aca="false">((36766-37378+11056)/180175)*100</f>
        <v>5.79658665186624</v>
      </c>
    </row>
    <row r="76" customFormat="false" ht="13.8" hidden="false" customHeight="false" outlineLevel="0" collapsed="false"/>
    <row r="77" customFormat="false" ht="13.8" hidden="false" customHeight="false" outlineLevel="0" collapsed="false">
      <c r="B77" s="4"/>
    </row>
    <row r="78" customFormat="false" ht="13.8" hidden="false" customHeight="false" outlineLevel="0" collapsed="false">
      <c r="B78" s="4"/>
    </row>
    <row r="79" customFormat="false" ht="13.8" hidden="false" customHeight="false" outlineLevel="0" collapsed="false">
      <c r="B79" s="4"/>
    </row>
    <row r="80" customFormat="false" ht="13.8" hidden="false" customHeight="false" outlineLevel="0" collapsed="false">
      <c r="B80" s="4"/>
    </row>
    <row r="81" customFormat="false" ht="13.8" hidden="false" customHeight="false" outlineLevel="0" collapsed="false">
      <c r="B81" s="4"/>
    </row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>
      <c r="B84" s="4"/>
    </row>
    <row r="85" customFormat="false" ht="13.8" hidden="false" customHeight="false" outlineLevel="0" collapsed="false">
      <c r="B85" s="4"/>
    </row>
    <row r="86" customFormat="false" ht="13.8" hidden="false" customHeight="false" outlineLevel="0" collapsed="false">
      <c r="B86" s="4"/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:creator>Dell</dc:creator>
  <dc:description/>
  <dc:language>en-GB</dc:language>
  <cp:lastModifiedBy/>
  <dcterms:modified xsi:type="dcterms:W3CDTF">2023-12-08T09:15:47Z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