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<sst xmlns="http://schemas.openxmlformats.org/spreadsheetml/2006/main" count="162" uniqueCount="143">
  <si>
    <t xml:space="preserve">Instructions</t>
  </si>
  <si>
    <t xml:space="preserve">Perform a management report, analyzing the financial health of Amazon Inc. based on its recent two annual reports (2022 &amp; 2021).</t>
  </si>
  <si>
    <t xml:space="preserve">Please refer to the below website in order to download the company financial statements:</t>
  </si>
  <si>
    <t xml:space="preserve">https://ir.aboutamazon.com/annual-reports-proxies-and-shareholder-letters/default.aspx</t>
  </si>
  <si>
    <t xml:space="preserve">Please input the three financial statements in the format from previous task, attached here in the second tab</t>
  </si>
  <si>
    <t xml:space="preserve">Perform the calculations on tab three similar to previous task.</t>
  </si>
  <si>
    <t xml:space="preserve">You are required write up a 1-2 page report commenting on the financial health of Amazon Inc. based on the ratios you have calculated, addressing the five key topics mentioned in the ratios tab.</t>
  </si>
  <si>
    <t xml:space="preserve">You are free to use any additional publicly available information/ news articles whilst mentioning the sources at the end page</t>
  </si>
  <si>
    <t xml:space="preserve">However make sure you have covered the five key topics in the ratio analysis</t>
  </si>
  <si>
    <t xml:space="preserve">Formats:</t>
  </si>
  <si>
    <t xml:space="preserve">The report should be submitted as a word document</t>
  </si>
  <si>
    <t xml:space="preserve">The supporting calculations should be submitted in excel document as same as the previous task.</t>
  </si>
  <si>
    <t xml:space="preserve">Amazon Inc.</t>
  </si>
  <si>
    <t xml:space="preserve">(In millions)</t>
  </si>
  <si>
    <t xml:space="preserve">CONSOLIDATED STATEMENTS OF OPERATIONS</t>
  </si>
  <si>
    <t xml:space="preserve">Years ended </t>
  </si>
  <si>
    <t xml:space="preserve">Net sales:</t>
  </si>
  <si>
    <t xml:space="preserve">Products</t>
  </si>
  <si>
    <t xml:space="preserve">Services</t>
  </si>
  <si>
    <t xml:space="preserve">Total net sales</t>
  </si>
  <si>
    <t xml:space="preserve">Cost of sales:</t>
  </si>
  <si>
    <t xml:space="preserve">Total cost of sales</t>
  </si>
  <si>
    <t xml:space="preserve">Gross margin</t>
  </si>
  <si>
    <t xml:space="preserve">Operating expenses:</t>
  </si>
  <si>
    <t xml:space="preserve">Research and development</t>
  </si>
  <si>
    <t xml:space="preserve">Selling, general and administrative</t>
  </si>
  <si>
    <t xml:space="preserve">Total operating expenses</t>
  </si>
  <si>
    <t xml:space="preserve">Operating income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</si>
  <si>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</si>
  <si>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</si>
  <si>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</si>
  <si>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</si>
  <si>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</si>
  <si>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</si>
  <si>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</si>
  <si>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</si>
  <si>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</si>
  <si>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</si>
  <si>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</si>
  <si>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</si>
  <si>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</si>
  <si>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</si>
  <si>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</si>
  <si>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</si>
  <si>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</si>
  <si>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</si>
  <si>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</si>
  <si>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</si>
  <si>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</si>
  <si>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</si>
  <si>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</si>
  <si>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</si>
  <si>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</si>
  <si>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</si>
  <si>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</si>
  <si>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</si>
  <si>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</si>
  <si>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</si>
  <si>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</si>
  <si>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</si>
  <si>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</si>
  <si>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</si>
  <si>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($0.01 par value; 100,000 shares authorized; 10,644 and 10,757 shares issued; 10,175 and 10,242 shares outstanding)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</si>
  <si>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</si>
  <si>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</si>
  <si>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</si>
  <si>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</si>
  <si>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</si>
  <si>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</si>
  <si>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</si>
  <si>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operating: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</si>
  <si>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</si>
  <si>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</si>
  <si>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</si>
  <si>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</si>
  <si>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</si>
  <si>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</si>
  <si>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</si>
  <si>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</si>
  <si>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</si>
  <si>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</si>
  <si>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</si>
  <si>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</si>
  <si>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</si>
  <si>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</si>
  <si>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</si>
  <si>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</si>
  <si>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</si>
  <si>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</si>
  <si>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</si>
  <si>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</si>
  <si>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</si>
  <si>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</si>
  <si>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</si>
  <si>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</si>
  <si>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</si>
  <si>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</si>
  <si>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</si>
  <si>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</si>
  <si>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Years ended ,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</si>
  <si>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</si>
  <si>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</si>
  <si>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</si>
  <si>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</si>
  <si>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</si>
  <si>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</si>
  <si>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</si>
  <si>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</si>
  <si>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</si>
  <si>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</si>
  <si>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</si>
  <si>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</si>
  <si>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</si>
  <si>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EBITDA</t>
  </si>
  <si>
    <t xml:space="preserve">EBIT margin</t>
  </si>
  <si>
    <t xml:space="preserve">EBIT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</si>
  <si>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</si>
  <si>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</si>
  <si>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</si>
  <si>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</si>
  <si>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</si>
  <si>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</si>
  <si>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</si>
  <si>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</si>
  <si>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</si>
  <si>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</si>
  <si>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</si>
  <si>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</si>
  <si>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</si>
  <si>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</si>
  <si>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</si>
  <si>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</si>
  <si>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</si>
  <si>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</si>
  <si>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</si>
  <si>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</si>
  <si>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</si>
  <si>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</si>
  <si>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</si>
  <si>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</si>
  <si>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Return on assets (ROA), 4.4</t>
  </si>
  <si>
    <t xml:space="preserve">Enterprise value to EBITDA (EV/EBITDA)</t>
  </si>
  <si>
    <t xml:space="preserve">Enterprise value (EV)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</si>
</sst>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* #,##0.00_);_(* \(#,##0.00\);_(* \-??_);_(@_)"/>
    <numFmt numFmtId="166" formatCode="_(* #,##0_);_(* \(#,##0\);_(* \-??_);_(@_)"/>
    <numFmt numFmtId="167" formatCode="#,##0"/>
    <numFmt numFmtId="168" formatCode="0.0"/>
    <numFmt numFmtId="169" formatCode="0.00"/>
    <numFmt numFmtId="170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</font>
    <font>
      <sz val="20"/>
      <color rgb="FFFFFFFF"/>
      <name val="Calibri"/>
      <family val="2"/>
      <charset val="1"/>
    </font>
    <font>
      <sz val="11"/>
      <color rgb="FFC9211E"/>
      <name val="Calibri"/>
      <family val="2"/>
    </font>
    <font>
      <sz val="11"/>
      <color rgb="FFC9211E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0" borderId="0" xfId="2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0" xfId="15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0" activeCellId="0" sqref="A10"/>
    </sheetView>
  </sheetViews>
  <sheetFormatPr defaultColWidth="8.6875" defaultRowHeight="14.25" zeroHeight="false" outlineLevelRow="0" outlineLevelCol="0"/>
  <cols>
    <col collapsed="false" customWidth="true" hidden="false" outlineLevel="0" max="1" min="1" style="1" width="157.89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1" t="s">
        <v>1</v>
      </c>
    </row>
    <row r="4" customFormat="false" ht="14.25" hidden="false" customHeight="false" outlineLevel="0" collapsed="false">
      <c r="A4" s="3" t="s">
        <v>2</v>
      </c>
    </row>
    <row r="5" customFormat="false" ht="14.25" hidden="false" customHeight="false" outlineLevel="0" collapsed="false">
      <c r="A5" s="4" t="s">
        <v>3</v>
      </c>
    </row>
    <row r="7" customFormat="false" ht="14.25" hidden="false" customHeight="false" outlineLevel="0" collapsed="false">
      <c r="A7" s="1" t="s">
        <v>4</v>
      </c>
    </row>
    <row r="8" customFormat="false" ht="14.25" hidden="false" customHeight="false" outlineLevel="0" collapsed="false">
      <c r="A8" s="1" t="s">
        <v>5</v>
      </c>
    </row>
    <row r="9" customFormat="false" ht="28.5" hidden="false" customHeight="false" outlineLevel="0" collapsed="false">
      <c r="A9" s="1" t="s">
        <v>6</v>
      </c>
    </row>
    <row r="10" customFormat="false" ht="14.25" hidden="false" customHeight="false" outlineLevel="0" collapsed="false">
      <c r="A10" s="1" t="s">
        <v>7</v>
      </c>
    </row>
    <row r="11" customFormat="false" ht="14.25" hidden="false" customHeight="false" outlineLevel="0" collapsed="false">
      <c r="A11" s="1" t="s">
        <v>8</v>
      </c>
    </row>
    <row r="13" customFormat="false" ht="14.25" hidden="false" customHeight="false" outlineLevel="0" collapsed="false">
      <c r="A13" s="5" t="s">
        <v>9</v>
      </c>
    </row>
    <row r="14" customFormat="false" ht="14.25" hidden="false" customHeight="false" outlineLevel="0" collapsed="false">
      <c r="A14" s="1" t="s">
        <v>10</v>
      </c>
    </row>
    <row r="15" customFormat="false" ht="14.25" hidden="false" customHeight="false" outlineLevel="0" collapsed="false">
      <c r="A15" s="1" t="s">
        <v>11</v>
      </c>
    </row>
  </sheetData>
  <hyperlinks>
    <hyperlink ref="A5" r:id="rId1" display="https://ir.aboutamazon.com/annual-reports-proxies-and-shareholder-letters/default.aspx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14" activeCellId="0" sqref="A114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59.74"/>
    <col collapsed="false" customWidth="true" hidden="false" outlineLevel="0" max="3" min="2" style="0" width="11.56"/>
    <col collapsed="false" customWidth="true" hidden="false" outlineLevel="0" max="4" min="4" style="0" width="11.66"/>
  </cols>
  <sheetData>
    <row r="1" customFormat="false" ht="60" hidden="false" customHeight="true" outlineLevel="0" collapsed="false">
      <c r="A1" s="6" t="s">
        <v>12</v>
      </c>
      <c r="B1" s="7" t="s">
        <v>13</v>
      </c>
      <c r="C1" s="7"/>
      <c r="D1" s="7"/>
      <c r="E1" s="7"/>
      <c r="F1" s="7"/>
      <c r="G1" s="7"/>
      <c r="H1" s="7"/>
      <c r="I1" s="7"/>
      <c r="J1" s="7"/>
    </row>
    <row r="2" customFormat="false" ht="14.25" hidden="false" customHeight="false" outlineLevel="0" collapsed="false">
      <c r="A2" s="8" t="s">
        <v>14</v>
      </c>
      <c r="B2" s="8"/>
      <c r="C2" s="8"/>
      <c r="D2" s="8"/>
    </row>
    <row r="3" customFormat="false" ht="14.25" hidden="false" customHeight="false" outlineLevel="0" collapsed="false">
      <c r="B3" s="9" t="s">
        <v>15</v>
      </c>
      <c r="C3" s="9"/>
      <c r="D3" s="9"/>
    </row>
    <row r="4" customFormat="false" ht="13.8" hidden="false" customHeight="false" outlineLevel="0" collapsed="false">
      <c r="B4" s="10" t="n">
        <v>2022</v>
      </c>
      <c r="C4" s="10" t="n">
        <v>2021</v>
      </c>
      <c r="D4" s="10"/>
    </row>
    <row r="5" customFormat="false" ht="13.8" hidden="false" customHeight="false" outlineLevel="0" collapsed="false">
      <c r="A5" s="11" t="s">
        <v>16</v>
      </c>
    </row>
    <row r="6" customFormat="false" ht="13.8" hidden="false" customHeight="false" outlineLevel="0" collapsed="false">
      <c r="A6" s="12" t="s">
        <v>17</v>
      </c>
      <c r="B6" s="13" t="n">
        <v>242901</v>
      </c>
      <c r="C6" s="13" t="n">
        <v>241787</v>
      </c>
      <c r="D6" s="14"/>
    </row>
    <row r="7" customFormat="false" ht="13.8" hidden="false" customHeight="false" outlineLevel="0" collapsed="false">
      <c r="A7" s="12" t="s">
        <v>18</v>
      </c>
      <c r="B7" s="13" t="n">
        <v>271082</v>
      </c>
      <c r="C7" s="13" t="n">
        <v>228035</v>
      </c>
      <c r="D7" s="14"/>
    </row>
    <row r="8" customFormat="false" ht="13.8" hidden="false" customHeight="false" outlineLevel="0" collapsed="false">
      <c r="A8" s="15" t="s">
        <v>19</v>
      </c>
      <c r="B8" s="13" t="n">
        <v>513983</v>
      </c>
      <c r="C8" s="13" t="n">
        <v>469822</v>
      </c>
      <c r="D8" s="16"/>
    </row>
    <row r="9" customFormat="false" ht="13.8" hidden="false" customHeight="false" outlineLevel="0" collapsed="false">
      <c r="A9" s="11" t="s">
        <v>20</v>
      </c>
      <c r="B9" s="14"/>
      <c r="C9" s="14"/>
      <c r="D9" s="14"/>
    </row>
    <row r="10" customFormat="false" ht="13.8" hidden="false" customHeight="false" outlineLevel="0" collapsed="false">
      <c r="A10" s="12" t="s">
        <v>17</v>
      </c>
      <c r="B10" s="14" t="n">
        <f aca="false">0.55*B12</f>
        <v>158857.05</v>
      </c>
      <c r="C10" s="17" t="n">
        <f aca="false">0.55*C12</f>
        <v>149789.2</v>
      </c>
      <c r="D10" s="14"/>
    </row>
    <row r="11" customFormat="false" ht="13.8" hidden="false" customHeight="false" outlineLevel="0" collapsed="false">
      <c r="A11" s="12" t="s">
        <v>18</v>
      </c>
      <c r="B11" s="14" t="n">
        <f aca="false">B12-B10</f>
        <v>129973.95</v>
      </c>
      <c r="C11" s="14" t="n">
        <f aca="false">C12-C10</f>
        <v>122554.8</v>
      </c>
      <c r="D11" s="14"/>
    </row>
    <row r="12" customFormat="false" ht="13.8" hidden="false" customHeight="false" outlineLevel="0" collapsed="false">
      <c r="A12" s="15" t="s">
        <v>21</v>
      </c>
      <c r="B12" s="13" t="n">
        <v>288831</v>
      </c>
      <c r="C12" s="13" t="n">
        <v>272344</v>
      </c>
      <c r="D12" s="16"/>
    </row>
    <row r="13" customFormat="false" ht="13.8" hidden="false" customHeight="false" outlineLevel="0" collapsed="false">
      <c r="A13" s="15" t="s">
        <v>22</v>
      </c>
      <c r="B13" s="16" t="n">
        <f aca="false">+B8-B12</f>
        <v>225152</v>
      </c>
      <c r="C13" s="16" t="n">
        <f aca="false">+C8-C12</f>
        <v>197478</v>
      </c>
      <c r="D13" s="16"/>
    </row>
    <row r="14" customFormat="false" ht="13.8" hidden="false" customHeight="false" outlineLevel="0" collapsed="false">
      <c r="A14" s="11" t="s">
        <v>23</v>
      </c>
      <c r="B14" s="14"/>
      <c r="C14" s="14"/>
      <c r="D14" s="14"/>
    </row>
    <row r="15" customFormat="false" ht="13.8" hidden="false" customHeight="false" outlineLevel="0" collapsed="false">
      <c r="A15" s="12" t="s">
        <v>24</v>
      </c>
      <c r="B15" s="13" t="n">
        <v>6824</v>
      </c>
      <c r="C15" s="14" t="n">
        <v>0</v>
      </c>
      <c r="D15" s="14"/>
    </row>
    <row r="16" customFormat="false" ht="13.8" hidden="false" customHeight="false" outlineLevel="0" collapsed="false">
      <c r="A16" s="12" t="s">
        <v>25</v>
      </c>
      <c r="B16" s="13" t="n">
        <v>11891</v>
      </c>
      <c r="C16" s="17" t="n">
        <v>8823</v>
      </c>
      <c r="D16" s="14"/>
    </row>
    <row r="17" customFormat="false" ht="13.8" hidden="false" customHeight="false" outlineLevel="0" collapsed="false">
      <c r="A17" s="15" t="s">
        <v>26</v>
      </c>
      <c r="B17" s="13" t="n">
        <v>501735</v>
      </c>
      <c r="C17" s="13" t="n">
        <v>444943</v>
      </c>
      <c r="D17" s="16"/>
    </row>
    <row r="18" s="15" customFormat="true" ht="13.8" hidden="false" customHeight="false" outlineLevel="0" collapsed="false">
      <c r="A18" s="15" t="s">
        <v>27</v>
      </c>
      <c r="B18" s="13" t="n">
        <v>12248</v>
      </c>
      <c r="C18" s="13" t="n">
        <v>24879</v>
      </c>
      <c r="D18" s="16"/>
    </row>
    <row r="19" customFormat="false" ht="13.8" hidden="false" customHeight="false" outlineLevel="0" collapsed="false">
      <c r="A19" s="11" t="s">
        <v>28</v>
      </c>
      <c r="B19" s="13" t="n">
        <v>-16806</v>
      </c>
      <c r="C19" s="13" t="n">
        <v>14633</v>
      </c>
      <c r="D19" s="14"/>
    </row>
    <row r="20" customFormat="false" ht="13.8" hidden="false" customHeight="false" outlineLevel="0" collapsed="false">
      <c r="A20" s="15" t="s">
        <v>29</v>
      </c>
      <c r="B20" s="18"/>
      <c r="C20" s="18"/>
      <c r="D20" s="16"/>
    </row>
    <row r="21" customFormat="false" ht="13.8" hidden="false" customHeight="false" outlineLevel="0" collapsed="false">
      <c r="A21" s="11" t="s">
        <v>30</v>
      </c>
      <c r="B21" s="19"/>
      <c r="C21" s="19"/>
      <c r="D21" s="14"/>
    </row>
    <row r="22" customFormat="false" ht="13.8" hidden="false" customHeight="false" outlineLevel="0" collapsed="false">
      <c r="A22" s="20" t="s">
        <v>31</v>
      </c>
      <c r="B22" s="13" t="n">
        <v>-2722</v>
      </c>
      <c r="C22" s="13" t="n">
        <v>33364</v>
      </c>
      <c r="D22" s="21"/>
    </row>
    <row r="23" customFormat="false" ht="13.8" hidden="false" customHeight="false" outlineLevel="0" collapsed="false">
      <c r="A23" s="11" t="s">
        <v>32</v>
      </c>
    </row>
    <row r="24" customFormat="false" ht="13.8" hidden="false" customHeight="false" outlineLevel="0" collapsed="false">
      <c r="A24" s="12" t="s">
        <v>33</v>
      </c>
      <c r="B24" s="22" t="n">
        <v>-0.27</v>
      </c>
      <c r="C24" s="22" t="n">
        <v>3.3</v>
      </c>
      <c r="D24" s="22"/>
    </row>
    <row r="25" customFormat="false" ht="13.8" hidden="false" customHeight="false" outlineLevel="0" collapsed="false">
      <c r="A25" s="12" t="s">
        <v>34</v>
      </c>
      <c r="B25" s="22" t="n">
        <v>-0.27</v>
      </c>
      <c r="C25" s="22" t="n">
        <v>3.24</v>
      </c>
      <c r="D25" s="22"/>
    </row>
    <row r="26" customFormat="false" ht="13.8" hidden="false" customHeight="false" outlineLevel="0" collapsed="false">
      <c r="A26" s="11" t="s">
        <v>35</v>
      </c>
    </row>
    <row r="27" customFormat="false" ht="13.8" hidden="false" customHeight="false" outlineLevel="0" collapsed="false">
      <c r="A27" s="12" t="s">
        <v>33</v>
      </c>
      <c r="B27" s="23" t="n">
        <v>10189</v>
      </c>
      <c r="C27" s="23" t="n">
        <v>10117</v>
      </c>
      <c r="D27" s="23"/>
    </row>
    <row r="28" customFormat="false" ht="13.8" hidden="false" customHeight="false" outlineLevel="0" collapsed="false">
      <c r="A28" s="12" t="s">
        <v>34</v>
      </c>
      <c r="B28" s="23" t="n">
        <v>10189</v>
      </c>
      <c r="C28" s="23" t="n">
        <v>10296</v>
      </c>
      <c r="D28" s="23"/>
    </row>
    <row r="29" customFormat="false" ht="13.8" hidden="false" customHeight="false" outlineLevel="0" collapsed="false">
      <c r="A29" s="11"/>
    </row>
    <row r="30" customFormat="false" ht="13.8" hidden="false" customHeight="false" outlineLevel="0" collapsed="false">
      <c r="A30" s="11"/>
    </row>
    <row r="31" customFormat="false" ht="13.8" hidden="false" customHeight="false" outlineLevel="0" collapsed="false">
      <c r="A31" s="8" t="s">
        <v>36</v>
      </c>
      <c r="B31" s="8"/>
      <c r="C31" s="8"/>
      <c r="D31" s="8"/>
    </row>
    <row r="32" customFormat="false" ht="13.8" hidden="false" customHeight="false" outlineLevel="0" collapsed="false">
      <c r="A32" s="11"/>
      <c r="B32" s="9" t="s">
        <v>15</v>
      </c>
      <c r="C32" s="9"/>
      <c r="D32" s="9"/>
    </row>
    <row r="33" customFormat="false" ht="13.8" hidden="false" customHeight="false" outlineLevel="0" collapsed="false">
      <c r="A33" s="11"/>
      <c r="B33" s="10" t="n">
        <v>2022</v>
      </c>
      <c r="C33" s="10" t="n">
        <v>2021</v>
      </c>
      <c r="D33" s="10"/>
    </row>
    <row r="34" customFormat="false" ht="13.8" hidden="false" customHeight="false" outlineLevel="0" collapsed="false">
      <c r="A34" s="11"/>
    </row>
    <row r="35" customFormat="false" ht="13.8" hidden="false" customHeight="false" outlineLevel="0" collapsed="false">
      <c r="A35" s="11" t="s">
        <v>37</v>
      </c>
    </row>
    <row r="36" customFormat="false" ht="13.8" hidden="false" customHeight="false" outlineLevel="0" collapsed="false">
      <c r="A36" s="12" t="s">
        <v>38</v>
      </c>
      <c r="B36" s="13" t="n">
        <v>53888</v>
      </c>
      <c r="C36" s="17" t="n">
        <v>36220</v>
      </c>
      <c r="D36" s="14"/>
    </row>
    <row r="37" customFormat="false" ht="13.8" hidden="false" customHeight="false" outlineLevel="0" collapsed="false">
      <c r="A37" s="12" t="s">
        <v>39</v>
      </c>
      <c r="B37" s="13" t="n">
        <v>16138</v>
      </c>
      <c r="C37" s="13" t="n">
        <v>59829</v>
      </c>
      <c r="D37" s="14"/>
    </row>
    <row r="38" customFormat="false" ht="13.8" hidden="false" customHeight="false" outlineLevel="0" collapsed="false">
      <c r="A38" s="12" t="s">
        <v>40</v>
      </c>
      <c r="B38" s="13" t="n">
        <v>42360</v>
      </c>
      <c r="C38" s="13" t="n">
        <v>32891</v>
      </c>
      <c r="D38" s="14"/>
    </row>
    <row r="39" customFormat="false" ht="13.8" hidden="false" customHeight="false" outlineLevel="0" collapsed="false">
      <c r="A39" s="12" t="s">
        <v>41</v>
      </c>
      <c r="B39" s="13" t="n">
        <v>34405</v>
      </c>
      <c r="C39" s="13" t="n">
        <v>32640</v>
      </c>
      <c r="D39" s="14"/>
    </row>
    <row r="40" customFormat="false" ht="13.8" hidden="false" customHeight="false" outlineLevel="0" collapsed="false">
      <c r="A40" s="12" t="s">
        <v>42</v>
      </c>
      <c r="B40" s="14" t="n">
        <v>0</v>
      </c>
      <c r="C40" s="14" t="n">
        <v>0</v>
      </c>
      <c r="D40" s="14"/>
    </row>
    <row r="41" customFormat="false" ht="13.8" hidden="false" customHeight="false" outlineLevel="0" collapsed="false">
      <c r="A41" s="12" t="s">
        <v>43</v>
      </c>
      <c r="B41" s="14" t="n">
        <v>0</v>
      </c>
      <c r="C41" s="14" t="n">
        <v>0</v>
      </c>
      <c r="D41" s="14"/>
    </row>
    <row r="42" customFormat="false" ht="13.8" hidden="false" customHeight="false" outlineLevel="0" collapsed="false">
      <c r="A42" s="15" t="s">
        <v>44</v>
      </c>
      <c r="B42" s="13" t="n">
        <v>146791</v>
      </c>
      <c r="C42" s="13" t="n">
        <v>161580</v>
      </c>
      <c r="D42" s="16"/>
    </row>
    <row r="43" customFormat="false" ht="13.8" hidden="false" customHeight="false" outlineLevel="0" collapsed="false">
      <c r="A43" s="11" t="s">
        <v>45</v>
      </c>
      <c r="B43" s="14"/>
      <c r="C43" s="14"/>
      <c r="D43" s="14"/>
    </row>
    <row r="44" customFormat="false" ht="13.8" hidden="false" customHeight="false" outlineLevel="0" collapsed="false">
      <c r="A44" s="12" t="s">
        <v>39</v>
      </c>
      <c r="B44" s="14" t="n">
        <v>86411</v>
      </c>
      <c r="C44" s="14" t="n">
        <v>71453</v>
      </c>
      <c r="D44" s="14"/>
    </row>
    <row r="45" customFormat="false" ht="13.8" hidden="false" customHeight="false" outlineLevel="0" collapsed="false">
      <c r="A45" s="12" t="s">
        <v>46</v>
      </c>
      <c r="B45" s="13" t="n">
        <v>186715</v>
      </c>
      <c r="C45" s="13" t="n">
        <v>160281</v>
      </c>
      <c r="D45" s="14"/>
    </row>
    <row r="46" customFormat="false" ht="13.8" hidden="false" customHeight="false" outlineLevel="0" collapsed="false">
      <c r="A46" s="12" t="s">
        <v>47</v>
      </c>
      <c r="B46" s="13" t="n">
        <v>42758</v>
      </c>
      <c r="C46" s="13" t="n">
        <v>27235</v>
      </c>
      <c r="D46" s="14"/>
    </row>
    <row r="47" customFormat="false" ht="13.8" hidden="false" customHeight="false" outlineLevel="0" collapsed="false">
      <c r="A47" s="15" t="s">
        <v>48</v>
      </c>
      <c r="B47" s="13" t="n">
        <f aca="false">462675-146791</f>
        <v>315884</v>
      </c>
      <c r="C47" s="13" t="n">
        <f aca="false">420549-161580</f>
        <v>258969</v>
      </c>
      <c r="D47" s="16"/>
    </row>
    <row r="48" customFormat="false" ht="13.8" hidden="false" customHeight="false" outlineLevel="0" collapsed="false">
      <c r="A48" s="20" t="s">
        <v>49</v>
      </c>
      <c r="B48" s="13" t="n">
        <v>462675</v>
      </c>
      <c r="C48" s="13" t="n">
        <v>420549</v>
      </c>
      <c r="D48" s="21"/>
    </row>
    <row r="49" customFormat="false" ht="13.8" hidden="false" customHeight="false" outlineLevel="0" collapsed="false">
      <c r="A49" s="11"/>
    </row>
    <row r="50" customFormat="false" ht="13.8" hidden="false" customHeight="false" outlineLevel="0" collapsed="false">
      <c r="A50" s="11" t="s">
        <v>50</v>
      </c>
    </row>
    <row r="51" customFormat="false" ht="13.8" hidden="false" customHeight="false" outlineLevel="0" collapsed="false">
      <c r="A51" s="12" t="s">
        <v>51</v>
      </c>
      <c r="B51" s="13" t="n">
        <v>79600</v>
      </c>
      <c r="C51" s="13" t="n">
        <v>78664</v>
      </c>
      <c r="D51" s="14"/>
    </row>
    <row r="52" customFormat="false" ht="13.8" hidden="false" customHeight="false" outlineLevel="0" collapsed="false">
      <c r="A52" s="12" t="s">
        <v>52</v>
      </c>
      <c r="B52" s="13" t="n">
        <v>62566</v>
      </c>
      <c r="C52" s="13" t="n">
        <v>51775</v>
      </c>
      <c r="D52" s="14"/>
    </row>
    <row r="53" customFormat="false" ht="13.8" hidden="false" customHeight="false" outlineLevel="0" collapsed="false">
      <c r="A53" s="12" t="s">
        <v>53</v>
      </c>
      <c r="B53" s="13" t="n">
        <v>13227</v>
      </c>
      <c r="C53" s="13" t="n">
        <v>11827</v>
      </c>
      <c r="D53" s="14"/>
    </row>
    <row r="54" customFormat="false" ht="13.8" hidden="false" customHeight="false" outlineLevel="0" collapsed="false">
      <c r="A54" s="12" t="s">
        <v>54</v>
      </c>
      <c r="B54" s="14" t="n">
        <v>725</v>
      </c>
      <c r="C54" s="14" t="n">
        <v>6800</v>
      </c>
      <c r="D54" s="14"/>
    </row>
    <row r="55" customFormat="false" ht="13.8" hidden="false" customHeight="false" outlineLevel="0" collapsed="false">
      <c r="A55" s="12" t="s">
        <v>55</v>
      </c>
      <c r="B55" s="14" t="n">
        <v>0</v>
      </c>
      <c r="C55" s="14" t="n">
        <v>0</v>
      </c>
      <c r="D55" s="14"/>
    </row>
    <row r="56" customFormat="false" ht="13.8" hidden="false" customHeight="false" outlineLevel="0" collapsed="false">
      <c r="A56" s="15" t="s">
        <v>56</v>
      </c>
      <c r="B56" s="13" t="n">
        <v>155393</v>
      </c>
      <c r="C56" s="13" t="n">
        <v>142266</v>
      </c>
      <c r="D56" s="16"/>
    </row>
    <row r="57" customFormat="false" ht="13.8" hidden="false" customHeight="false" outlineLevel="0" collapsed="false">
      <c r="A57" s="11" t="s">
        <v>57</v>
      </c>
      <c r="B57" s="14"/>
      <c r="C57" s="14"/>
      <c r="D57" s="14"/>
    </row>
    <row r="58" customFormat="false" ht="13.8" hidden="false" customHeight="false" outlineLevel="0" collapsed="false">
      <c r="A58" s="12" t="s">
        <v>53</v>
      </c>
      <c r="B58" s="14" t="n">
        <f aca="false">161239-21121-67150</f>
        <v>72968</v>
      </c>
      <c r="C58" s="14" t="n">
        <f aca="false">140038-23643-48744</f>
        <v>67651</v>
      </c>
      <c r="D58" s="14"/>
    </row>
    <row r="59" customFormat="false" ht="13.8" hidden="false" customHeight="false" outlineLevel="0" collapsed="false">
      <c r="A59" s="12" t="s">
        <v>55</v>
      </c>
      <c r="B59" s="13" t="n">
        <v>67150</v>
      </c>
      <c r="C59" s="13" t="n">
        <v>48744</v>
      </c>
      <c r="D59" s="14"/>
    </row>
    <row r="60" customFormat="false" ht="13.8" hidden="false" customHeight="false" outlineLevel="0" collapsed="false">
      <c r="A60" s="12" t="s">
        <v>58</v>
      </c>
      <c r="B60" s="13" t="n">
        <v>21121</v>
      </c>
      <c r="C60" s="13" t="n">
        <v>23643</v>
      </c>
      <c r="D60" s="14"/>
    </row>
    <row r="61" customFormat="false" ht="13.8" hidden="false" customHeight="false" outlineLevel="0" collapsed="false">
      <c r="A61" s="24" t="s">
        <v>59</v>
      </c>
      <c r="B61" s="13" t="n">
        <f aca="false">316632-155393</f>
        <v>161239</v>
      </c>
      <c r="C61" s="13" t="n">
        <f aca="false">282304-142266</f>
        <v>140038</v>
      </c>
      <c r="D61" s="14"/>
    </row>
    <row r="62" customFormat="false" ht="13.8" hidden="false" customHeight="false" outlineLevel="0" collapsed="false">
      <c r="A62" s="15" t="s">
        <v>60</v>
      </c>
      <c r="B62" s="16" t="n">
        <f aca="false">462675-146043</f>
        <v>316632</v>
      </c>
      <c r="C62" s="16" t="n">
        <f aca="false">420549-138245</f>
        <v>282304</v>
      </c>
      <c r="D62" s="16"/>
    </row>
    <row r="63" customFormat="false" ht="13.8" hidden="false" customHeight="false" outlineLevel="0" collapsed="false">
      <c r="A63" s="11"/>
      <c r="B63" s="14"/>
      <c r="C63" s="14"/>
      <c r="D63" s="14"/>
    </row>
    <row r="64" customFormat="false" ht="13.8" hidden="false" customHeight="false" outlineLevel="0" collapsed="false">
      <c r="A64" s="11" t="s">
        <v>61</v>
      </c>
      <c r="B64" s="14"/>
      <c r="C64" s="14"/>
      <c r="D64" s="14"/>
    </row>
    <row r="65" customFormat="false" ht="13.8" hidden="false" customHeight="false" outlineLevel="0" collapsed="false">
      <c r="A65" s="12" t="s">
        <v>62</v>
      </c>
      <c r="B65" s="14" t="n">
        <v>106</v>
      </c>
      <c r="C65" s="14" t="n">
        <v>108</v>
      </c>
      <c r="D65" s="14"/>
    </row>
    <row r="66" customFormat="false" ht="13.8" hidden="false" customHeight="false" outlineLevel="0" collapsed="false">
      <c r="A66" s="12" t="s">
        <v>63</v>
      </c>
      <c r="B66" s="13" t="n">
        <v>83193</v>
      </c>
      <c r="C66" s="13" t="n">
        <v>85915</v>
      </c>
      <c r="D66" s="14"/>
    </row>
    <row r="67" customFormat="false" ht="13.8" hidden="false" customHeight="false" outlineLevel="0" collapsed="false">
      <c r="A67" s="12" t="s">
        <v>64</v>
      </c>
      <c r="B67" s="13" t="n">
        <v>-4487</v>
      </c>
      <c r="C67" s="13" t="n">
        <v>-1376</v>
      </c>
      <c r="D67" s="14"/>
    </row>
    <row r="68" customFormat="false" ht="13.8" hidden="false" customHeight="false" outlineLevel="0" collapsed="false">
      <c r="A68" s="15" t="s">
        <v>65</v>
      </c>
      <c r="B68" s="13" t="n">
        <v>146043</v>
      </c>
      <c r="C68" s="13" t="n">
        <v>138245</v>
      </c>
      <c r="D68" s="16"/>
    </row>
    <row r="69" customFormat="false" ht="13.8" hidden="false" customHeight="false" outlineLevel="0" collapsed="false">
      <c r="A69" s="20" t="s">
        <v>66</v>
      </c>
      <c r="B69" s="13" t="n">
        <v>462675</v>
      </c>
      <c r="C69" s="13" t="n">
        <v>420549</v>
      </c>
      <c r="D69" s="21"/>
    </row>
    <row r="70" customFormat="false" ht="13.8" hidden="false" customHeight="false" outlineLevel="0" collapsed="false">
      <c r="A70" s="11"/>
    </row>
    <row r="71" customFormat="false" ht="13.8" hidden="false" customHeight="false" outlineLevel="0" collapsed="false">
      <c r="A71" s="8" t="s">
        <v>67</v>
      </c>
      <c r="B71" s="8"/>
      <c r="C71" s="8"/>
      <c r="D71" s="8"/>
    </row>
    <row r="72" customFormat="false" ht="13.8" hidden="false" customHeight="false" outlineLevel="0" collapsed="false">
      <c r="A72" s="11"/>
      <c r="B72" s="9" t="s">
        <v>15</v>
      </c>
      <c r="C72" s="9"/>
      <c r="D72" s="9"/>
    </row>
    <row r="73" customFormat="false" ht="13.8" hidden="false" customHeight="false" outlineLevel="0" collapsed="false">
      <c r="A73" s="11"/>
      <c r="B73" s="10" t="n">
        <v>2022</v>
      </c>
      <c r="C73" s="10" t="n">
        <v>2021</v>
      </c>
      <c r="D73" s="10"/>
    </row>
    <row r="74" customFormat="false" ht="13.8" hidden="false" customHeight="false" outlineLevel="0" collapsed="false">
      <c r="A74" s="11"/>
    </row>
    <row r="75" customFormat="false" ht="13.8" hidden="false" customHeight="false" outlineLevel="0" collapsed="false">
      <c r="A75" s="10" t="s">
        <v>68</v>
      </c>
      <c r="B75" s="13" t="n">
        <v>36477</v>
      </c>
      <c r="C75" s="13" t="n">
        <v>42377</v>
      </c>
      <c r="D75" s="25"/>
    </row>
    <row r="76" customFormat="false" ht="13.8" hidden="false" customHeight="false" outlineLevel="0" collapsed="false">
      <c r="A76" s="11" t="s">
        <v>69</v>
      </c>
      <c r="B76" s="14"/>
      <c r="C76" s="14"/>
      <c r="D76" s="14"/>
    </row>
    <row r="77" customFormat="false" ht="13.8" hidden="false" customHeight="false" outlineLevel="0" collapsed="false">
      <c r="A77" s="26" t="s">
        <v>31</v>
      </c>
      <c r="B77" s="14" t="n">
        <v>-2722</v>
      </c>
      <c r="C77" s="13" t="n">
        <v>33364</v>
      </c>
      <c r="D77" s="25"/>
    </row>
    <row r="78" customFormat="false" ht="13.8" hidden="false" customHeight="false" outlineLevel="0" collapsed="false">
      <c r="A78" s="27" t="s">
        <v>70</v>
      </c>
      <c r="B78" s="14"/>
      <c r="C78" s="14"/>
      <c r="D78" s="14"/>
    </row>
    <row r="79" customFormat="false" ht="13.8" hidden="false" customHeight="false" outlineLevel="0" collapsed="false">
      <c r="A79" s="28" t="s">
        <v>71</v>
      </c>
      <c r="B79" s="13" t="n">
        <v>41921</v>
      </c>
      <c r="C79" s="13" t="n">
        <v>34433</v>
      </c>
      <c r="D79" s="14"/>
    </row>
    <row r="80" customFormat="false" ht="13.8" hidden="false" customHeight="false" outlineLevel="0" collapsed="false">
      <c r="A80" s="28" t="s">
        <v>72</v>
      </c>
      <c r="B80" s="13" t="n">
        <v>19621</v>
      </c>
      <c r="C80" s="13" t="n">
        <v>12757</v>
      </c>
      <c r="D80" s="14"/>
    </row>
    <row r="81" customFormat="false" ht="13.8" hidden="false" customHeight="false" outlineLevel="0" collapsed="false">
      <c r="A81" s="28" t="s">
        <v>73</v>
      </c>
      <c r="B81" s="13" t="n">
        <v>-8148</v>
      </c>
      <c r="C81" s="13" t="n">
        <v>-310</v>
      </c>
      <c r="D81" s="14"/>
      <c r="G81" s="13"/>
      <c r="H81" s="13"/>
      <c r="I81" s="13"/>
    </row>
    <row r="82" customFormat="false" ht="13.8" hidden="false" customHeight="false" outlineLevel="0" collapsed="false">
      <c r="A82" s="28" t="s">
        <v>74</v>
      </c>
      <c r="B82" s="14" t="n">
        <v>0</v>
      </c>
      <c r="C82" s="14" t="n">
        <v>0</v>
      </c>
      <c r="D82" s="14"/>
    </row>
    <row r="83" customFormat="false" ht="13.8" hidden="false" customHeight="false" outlineLevel="0" collapsed="false">
      <c r="A83" s="11" t="s">
        <v>75</v>
      </c>
      <c r="B83" s="14"/>
      <c r="C83" s="14"/>
      <c r="D83" s="14"/>
    </row>
    <row r="84" customFormat="false" ht="13.8" hidden="false" customHeight="false" outlineLevel="0" collapsed="false">
      <c r="A84" s="12" t="s">
        <v>40</v>
      </c>
      <c r="B84" s="13" t="n">
        <v>-21897</v>
      </c>
      <c r="C84" s="13" t="n">
        <v>-18163</v>
      </c>
      <c r="D84" s="14"/>
    </row>
    <row r="85" customFormat="false" ht="13.8" hidden="false" customHeight="false" outlineLevel="0" collapsed="false">
      <c r="A85" s="12" t="s">
        <v>41</v>
      </c>
      <c r="B85" s="13" t="n">
        <v>-2592</v>
      </c>
      <c r="C85" s="13" t="n">
        <v>-9487</v>
      </c>
      <c r="D85" s="14"/>
    </row>
    <row r="86" customFormat="false" ht="13.8" hidden="false" customHeight="false" outlineLevel="0" collapsed="false">
      <c r="A86" s="12" t="s">
        <v>42</v>
      </c>
      <c r="B86" s="19"/>
      <c r="C86" s="19"/>
      <c r="D86" s="14"/>
    </row>
    <row r="87" customFormat="false" ht="13.8" hidden="false" customHeight="false" outlineLevel="0" collapsed="false">
      <c r="A87" s="12" t="s">
        <v>76</v>
      </c>
      <c r="B87" s="19"/>
      <c r="C87" s="19"/>
      <c r="D87" s="14"/>
    </row>
    <row r="88" customFormat="false" ht="13.8" hidden="false" customHeight="false" outlineLevel="0" collapsed="false">
      <c r="A88" s="12" t="s">
        <v>51</v>
      </c>
      <c r="B88" s="13" t="n">
        <v>2945</v>
      </c>
      <c r="C88" s="13" t="n">
        <v>3602</v>
      </c>
      <c r="D88" s="14"/>
    </row>
    <row r="89" customFormat="false" ht="13.8" hidden="false" customHeight="false" outlineLevel="0" collapsed="false">
      <c r="A89" s="12" t="s">
        <v>53</v>
      </c>
      <c r="B89" s="13" t="n">
        <v>2216</v>
      </c>
      <c r="C89" s="13" t="n">
        <v>2314</v>
      </c>
      <c r="D89" s="14"/>
    </row>
    <row r="90" customFormat="false" ht="13.8" hidden="false" customHeight="false" outlineLevel="0" collapsed="false">
      <c r="A90" s="12" t="s">
        <v>77</v>
      </c>
      <c r="B90" s="14" t="n">
        <v>-1558</v>
      </c>
      <c r="C90" s="14" t="n">
        <v>2123</v>
      </c>
      <c r="D90" s="14"/>
    </row>
    <row r="91" customFormat="false" ht="13.8" hidden="false" customHeight="false" outlineLevel="0" collapsed="false">
      <c r="A91" s="15" t="s">
        <v>78</v>
      </c>
      <c r="B91" s="13" t="n">
        <v>46752</v>
      </c>
      <c r="C91" s="13" t="n">
        <v>46327</v>
      </c>
      <c r="D91" s="16"/>
    </row>
    <row r="92" customFormat="false" ht="13.8" hidden="false" customHeight="false" outlineLevel="0" collapsed="false">
      <c r="A92" s="10" t="s">
        <v>79</v>
      </c>
      <c r="B92" s="14"/>
      <c r="C92" s="14"/>
      <c r="D92" s="14"/>
    </row>
    <row r="93" customFormat="false" ht="13.8" hidden="false" customHeight="false" outlineLevel="0" collapsed="false">
      <c r="A93" s="12" t="s">
        <v>80</v>
      </c>
      <c r="B93" s="13" t="n">
        <v>-2565</v>
      </c>
      <c r="C93" s="13" t="n">
        <v>-60157</v>
      </c>
      <c r="D93" s="14"/>
    </row>
    <row r="94" customFormat="false" ht="13.8" hidden="false" customHeight="false" outlineLevel="0" collapsed="false">
      <c r="A94" s="12" t="s">
        <v>81</v>
      </c>
      <c r="B94" s="14" t="n">
        <f aca="false">31601/2</f>
        <v>15800.5</v>
      </c>
      <c r="C94" s="14" t="n">
        <f aca="false">59384/2</f>
        <v>29692</v>
      </c>
      <c r="D94" s="14"/>
    </row>
    <row r="95" customFormat="false" ht="13.8" hidden="false" customHeight="false" outlineLevel="0" collapsed="false">
      <c r="A95" s="12" t="s">
        <v>82</v>
      </c>
      <c r="B95" s="14" t="n">
        <f aca="false">31601/2</f>
        <v>15800.5</v>
      </c>
      <c r="C95" s="14" t="n">
        <f aca="false">59384/2</f>
        <v>29692</v>
      </c>
      <c r="D95" s="14"/>
    </row>
    <row r="96" customFormat="false" ht="13.8" hidden="false" customHeight="false" outlineLevel="0" collapsed="false">
      <c r="A96" s="12" t="s">
        <v>83</v>
      </c>
      <c r="B96" s="13" t="n">
        <v>-63645</v>
      </c>
      <c r="C96" s="13" t="n">
        <v>-61053</v>
      </c>
      <c r="D96" s="14"/>
    </row>
    <row r="97" customFormat="false" ht="13.8" hidden="false" customHeight="false" outlineLevel="0" collapsed="false">
      <c r="A97" s="12" t="s">
        <v>84</v>
      </c>
      <c r="B97" s="13" t="n">
        <v>-8316</v>
      </c>
      <c r="C97" s="13" t="n">
        <v>-1985</v>
      </c>
      <c r="D97" s="14"/>
    </row>
    <row r="98" customFormat="false" ht="13.8" hidden="false" customHeight="false" outlineLevel="0" collapsed="false">
      <c r="A98" s="12" t="s">
        <v>74</v>
      </c>
      <c r="B98" s="14"/>
      <c r="C98" s="14"/>
      <c r="D98" s="14"/>
    </row>
    <row r="99" customFormat="false" ht="13.8" hidden="false" customHeight="false" outlineLevel="0" collapsed="false">
      <c r="A99" s="15" t="s">
        <v>85</v>
      </c>
      <c r="B99" s="13" t="n">
        <v>-37601</v>
      </c>
      <c r="C99" s="13" t="n">
        <v>-58154</v>
      </c>
      <c r="D99" s="14"/>
    </row>
    <row r="100" customFormat="false" ht="13.8" hidden="false" customHeight="false" outlineLevel="0" collapsed="false">
      <c r="A100" s="10" t="s">
        <v>86</v>
      </c>
      <c r="B100" s="14"/>
      <c r="C100" s="14"/>
      <c r="D100" s="14"/>
    </row>
    <row r="101" customFormat="false" ht="13.8" hidden="false" customHeight="false" outlineLevel="0" collapsed="false">
      <c r="A101" s="12" t="s">
        <v>87</v>
      </c>
      <c r="B101" s="16" t="n">
        <v>0</v>
      </c>
      <c r="C101" s="16" t="n">
        <v>0</v>
      </c>
      <c r="D101" s="16"/>
    </row>
    <row r="102" customFormat="false" ht="13.8" hidden="false" customHeight="false" outlineLevel="0" collapsed="false">
      <c r="A102" s="12" t="s">
        <v>88</v>
      </c>
      <c r="B102" s="14" t="n">
        <v>0</v>
      </c>
      <c r="C102" s="14" t="n">
        <v>0</v>
      </c>
      <c r="D102" s="14"/>
    </row>
    <row r="103" customFormat="false" ht="13.8" hidden="false" customHeight="false" outlineLevel="0" collapsed="false">
      <c r="A103" s="12" t="s">
        <v>89</v>
      </c>
      <c r="B103" s="13" t="n">
        <v>-6000</v>
      </c>
      <c r="C103" s="14" t="n">
        <v>0</v>
      </c>
      <c r="D103" s="14"/>
    </row>
    <row r="104" customFormat="false" ht="13.8" hidden="false" customHeight="false" outlineLevel="0" collapsed="false">
      <c r="A104" s="12" t="s">
        <v>90</v>
      </c>
      <c r="B104" s="14" t="n">
        <v>62719</v>
      </c>
      <c r="C104" s="13" t="n">
        <v>26959</v>
      </c>
      <c r="D104" s="14"/>
    </row>
    <row r="105" customFormat="false" ht="13.8" hidden="false" customHeight="false" outlineLevel="0" collapsed="false">
      <c r="A105" s="12" t="s">
        <v>91</v>
      </c>
      <c r="B105" s="14" t="n">
        <v>38812</v>
      </c>
      <c r="C105" s="14" t="n">
        <v>9343</v>
      </c>
      <c r="D105" s="14"/>
    </row>
    <row r="106" customFormat="false" ht="13.8" hidden="false" customHeight="false" outlineLevel="0" collapsed="false">
      <c r="A106" s="12" t="s">
        <v>92</v>
      </c>
      <c r="B106" s="14" t="n">
        <v>0</v>
      </c>
      <c r="C106" s="14" t="n">
        <v>0</v>
      </c>
      <c r="D106" s="14"/>
    </row>
    <row r="107" customFormat="false" ht="13.8" hidden="false" customHeight="false" outlineLevel="0" collapsed="false">
      <c r="A107" s="12" t="s">
        <v>74</v>
      </c>
      <c r="B107" s="14" t="n">
        <v>0</v>
      </c>
      <c r="C107" s="14" t="n">
        <v>0</v>
      </c>
      <c r="D107" s="14"/>
    </row>
    <row r="108" customFormat="false" ht="13.8" hidden="false" customHeight="false" outlineLevel="0" collapsed="false">
      <c r="A108" s="15" t="s">
        <v>93</v>
      </c>
      <c r="B108" s="13" t="n">
        <v>9718</v>
      </c>
      <c r="C108" s="13" t="n">
        <v>6291</v>
      </c>
      <c r="D108" s="16"/>
    </row>
    <row r="109" customFormat="false" ht="13.8" hidden="false" customHeight="false" outlineLevel="0" collapsed="false">
      <c r="A109" s="15" t="s">
        <v>94</v>
      </c>
      <c r="B109" s="13" t="n">
        <v>17776</v>
      </c>
      <c r="C109" s="13" t="n">
        <v>-5900</v>
      </c>
      <c r="D109" s="16"/>
    </row>
    <row r="110" customFormat="false" ht="13.8" hidden="false" customHeight="false" outlineLevel="0" collapsed="false">
      <c r="A110" s="20" t="s">
        <v>95</v>
      </c>
      <c r="B110" s="13" t="n">
        <v>54253</v>
      </c>
      <c r="C110" s="13" t="n">
        <v>36477</v>
      </c>
      <c r="D110" s="21"/>
    </row>
    <row r="111" customFormat="false" ht="13.8" hidden="false" customHeight="false" outlineLevel="0" collapsed="false">
      <c r="A111" s="11"/>
      <c r="B111" s="14"/>
      <c r="C111" s="14"/>
      <c r="D111" s="14"/>
    </row>
    <row r="112" customFormat="false" ht="13.8" hidden="false" customHeight="false" outlineLevel="0" collapsed="false">
      <c r="A112" s="11" t="s">
        <v>96</v>
      </c>
      <c r="B112" s="16"/>
      <c r="C112" s="16"/>
      <c r="D112" s="16"/>
    </row>
    <row r="113" customFormat="false" ht="13.8" hidden="false" customHeight="false" outlineLevel="0" collapsed="false">
      <c r="A113" s="11" t="s">
        <v>97</v>
      </c>
      <c r="B113" s="16" t="n">
        <v>6035</v>
      </c>
      <c r="C113" s="16" t="n">
        <v>3688</v>
      </c>
      <c r="D113" s="16"/>
    </row>
    <row r="114" customFormat="false" ht="13.8" hidden="false" customHeight="false" outlineLevel="0" collapsed="false">
      <c r="A114" s="11" t="s">
        <v>98</v>
      </c>
      <c r="B114" s="21" t="n">
        <v>1561</v>
      </c>
      <c r="C114" s="21" t="n">
        <v>1098</v>
      </c>
      <c r="D114" s="21"/>
    </row>
    <row r="115" customFormat="false" ht="14.25" hidden="false" customHeight="false" outlineLevel="0" collapsed="false">
      <c r="B115" s="14"/>
      <c r="C115" s="14"/>
      <c r="D115" s="14"/>
    </row>
    <row r="116" customFormat="false" ht="14.25" hidden="false" customHeight="false" outlineLevel="0" collapsed="false">
      <c r="B116" s="14"/>
      <c r="C116" s="14"/>
      <c r="D116" s="14"/>
    </row>
    <row r="117" customFormat="false" ht="14.25" hidden="false" customHeight="false" outlineLevel="0" collapsed="false">
      <c r="B117" s="14"/>
      <c r="C117" s="14"/>
      <c r="D117" s="14"/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1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C49" activeCellId="0" sqref="C49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4.66"/>
    <col collapsed="false" customWidth="true" hidden="false" outlineLevel="0" max="2" min="2" style="0" width="44.89"/>
  </cols>
  <sheetData>
    <row r="1" customFormat="false" ht="60" hidden="false" customHeight="true" outlineLevel="0" collapsed="false">
      <c r="A1" s="6"/>
      <c r="B1" s="29" t="s">
        <v>12</v>
      </c>
      <c r="C1" s="30"/>
      <c r="D1" s="30"/>
      <c r="E1" s="30"/>
      <c r="F1" s="30"/>
      <c r="G1" s="30"/>
      <c r="H1" s="30"/>
      <c r="I1" s="30"/>
      <c r="J1" s="30"/>
    </row>
    <row r="2" customFormat="false" ht="14.25" hidden="false" customHeight="false" outlineLevel="0" collapsed="false">
      <c r="C2" s="9" t="s">
        <v>99</v>
      </c>
      <c r="D2" s="9"/>
      <c r="E2" s="9"/>
    </row>
    <row r="3" customFormat="false" ht="13.8" hidden="false" customHeight="false" outlineLevel="0" collapsed="false">
      <c r="C3" s="10" t="n">
        <v>2022</v>
      </c>
      <c r="D3" s="10" t="n">
        <v>2021</v>
      </c>
      <c r="E3" s="10"/>
      <c r="G3" s="10" t="n">
        <v>2022</v>
      </c>
      <c r="H3" s="10" t="n">
        <v>2021</v>
      </c>
      <c r="I3" s="10"/>
    </row>
    <row r="4" customFormat="false" ht="14.25" hidden="false" customHeight="false" outlineLevel="0" collapsed="false">
      <c r="A4" s="31" t="n">
        <v>1</v>
      </c>
      <c r="B4" s="10" t="s">
        <v>100</v>
      </c>
    </row>
    <row r="5" customFormat="false" ht="13.8" hidden="false" customHeight="false" outlineLevel="0" collapsed="false">
      <c r="A5" s="31" t="n">
        <f aca="false">+A4+0.1</f>
        <v>1.1</v>
      </c>
      <c r="B5" s="12" t="s">
        <v>101</v>
      </c>
      <c r="C5" s="0" t="n">
        <f aca="false">146791/155393</f>
        <v>0.944643581113692</v>
      </c>
      <c r="D5" s="0" t="n">
        <f aca="false">161580/142266</f>
        <v>1.13575977394458</v>
      </c>
      <c r="G5" s="32" t="n">
        <f aca="false">+'Financial Statements'!B42/'Financial Statements'!B56</f>
        <v>0.944643581113692</v>
      </c>
      <c r="H5" s="32" t="n">
        <f aca="false">+'Financial Statements'!C42/'Financial Statements'!C56</f>
        <v>1.13575977394458</v>
      </c>
    </row>
    <row r="6" customFormat="false" ht="13.8" hidden="false" customHeight="false" outlineLevel="0" collapsed="false">
      <c r="A6" s="31" t="n">
        <f aca="false">+A5+0.1</f>
        <v>1.2</v>
      </c>
      <c r="B6" s="12" t="s">
        <v>102</v>
      </c>
      <c r="C6" s="0" t="n">
        <f aca="false">(53888+16138+42360)/155393</f>
        <v>0.723237211457402</v>
      </c>
      <c r="D6" s="0" t="n">
        <f aca="false">(36220+59829+32891)/142266</f>
        <v>0.906330395175235</v>
      </c>
      <c r="G6" s="33" t="n">
        <f aca="false">+('Financial Statements'!B36+'Financial Statements'!B37+'Financial Statements'!B38)/'Financial Statements'!B56</f>
        <v>0.723237211457402</v>
      </c>
      <c r="H6" s="33" t="n">
        <f aca="false">+('Financial Statements'!C36+'Financial Statements'!C37+'Financial Statements'!C38)/'Financial Statements'!C56</f>
        <v>0.906330395175235</v>
      </c>
    </row>
    <row r="7" customFormat="false" ht="13.8" hidden="false" customHeight="false" outlineLevel="0" collapsed="false">
      <c r="A7" s="31" t="n">
        <f aca="false">+A6+0.1</f>
        <v>1.3</v>
      </c>
      <c r="B7" s="12" t="s">
        <v>103</v>
      </c>
      <c r="C7" s="0" t="n">
        <f aca="false">53888/155393</f>
        <v>0.346785247726732</v>
      </c>
      <c r="D7" s="0" t="n">
        <f aca="false">36220/142266</f>
        <v>0.254593507935838</v>
      </c>
      <c r="G7" s="34" t="n">
        <f aca="false">+'Financial Statements'!B36/'Financial Statements'!B56</f>
        <v>0.346785247726732</v>
      </c>
      <c r="H7" s="34" t="n">
        <f aca="false">+'Financial Statements'!C36/'Financial Statements'!C56</f>
        <v>0.254593507935838</v>
      </c>
    </row>
    <row r="8" customFormat="false" ht="13.8" hidden="false" customHeight="false" outlineLevel="0" collapsed="false">
      <c r="A8" s="31" t="n">
        <f aca="false">+A7+0.1</f>
        <v>1.4</v>
      </c>
      <c r="B8" s="12" t="s">
        <v>104</v>
      </c>
      <c r="C8" s="0" t="n">
        <f aca="false">365*(146791/501735)</f>
        <v>106.786879528038</v>
      </c>
      <c r="D8" s="0" t="n">
        <f aca="false">365*(161580/444943)</f>
        <v>132.548888284567</v>
      </c>
      <c r="G8" s="34" t="n">
        <f aca="false">+('Financial Statements'!B42/'Financial Statements'!B17)*365</f>
        <v>106.786879528038</v>
      </c>
      <c r="H8" s="34" t="n">
        <f aca="false">+('Financial Statements'!C42/'Financial Statements'!C17)*365</f>
        <v>132.548888284567</v>
      </c>
    </row>
    <row r="9" customFormat="false" ht="13.8" hidden="false" customHeight="false" outlineLevel="0" collapsed="false">
      <c r="A9" s="31" t="n">
        <f aca="false">+A8+0.1</f>
        <v>1.5</v>
      </c>
      <c r="B9" s="12" t="s">
        <v>105</v>
      </c>
      <c r="C9" s="0" t="n">
        <f aca="false">365*(34405/288831)</f>
        <v>43.4781065744328</v>
      </c>
      <c r="D9" s="0" t="n">
        <f aca="false">365*(32640/272344)</f>
        <v>43.7446758511295</v>
      </c>
      <c r="G9" s="34" t="n">
        <f aca="false">+('Financial Statements'!B39/'Financial Statements'!B12)*365</f>
        <v>43.4781065744328</v>
      </c>
      <c r="H9" s="34" t="n">
        <f aca="false">+('Financial Statements'!C39/'Financial Statements'!C12)*365</f>
        <v>43.7446758511295</v>
      </c>
    </row>
    <row r="10" customFormat="false" ht="13.8" hidden="false" customHeight="false" outlineLevel="0" collapsed="false">
      <c r="A10" s="31" t="n">
        <f aca="false">+A9+0.1</f>
        <v>1.6</v>
      </c>
      <c r="B10" s="12" t="s">
        <v>106</v>
      </c>
      <c r="C10" s="0" t="n">
        <f aca="false">365*(79600/288831)</f>
        <v>100.59169548975</v>
      </c>
      <c r="D10" s="0" t="n">
        <f aca="false">365*(78664/272344)</f>
        <v>105.426813148077</v>
      </c>
      <c r="G10" s="34" t="n">
        <f aca="false">+('Financial Statements'!B51/'Financial Statements'!B12)*365</f>
        <v>100.59169548975</v>
      </c>
      <c r="H10" s="34" t="n">
        <f aca="false">+('Financial Statements'!C51/'Financial Statements'!C12)*365</f>
        <v>105.426813148077</v>
      </c>
    </row>
    <row r="11" customFormat="false" ht="13.8" hidden="false" customHeight="false" outlineLevel="0" collapsed="false">
      <c r="A11" s="31" t="n">
        <f aca="false">+A10+0.1</f>
        <v>1.7</v>
      </c>
      <c r="B11" s="12" t="s">
        <v>107</v>
      </c>
      <c r="C11" s="0" t="n">
        <f aca="false">365*(42360/513983)</f>
        <v>30.0815396618176</v>
      </c>
      <c r="D11" s="0" t="n">
        <f aca="false">365*(32891/469822)</f>
        <v>25.5526880393</v>
      </c>
      <c r="G11" s="34" t="n">
        <f aca="false">+('Financial Statements'!B38/'Financial Statements'!B8)*365</f>
        <v>30.0815396618176</v>
      </c>
      <c r="H11" s="34" t="n">
        <f aca="false">+('Financial Statements'!C38/'Financial Statements'!C8)*365</f>
        <v>25.5526880393</v>
      </c>
    </row>
    <row r="12" customFormat="false" ht="13.8" hidden="false" customHeight="false" outlineLevel="0" collapsed="false">
      <c r="A12" s="31" t="n">
        <f aca="false">+A11+0.1</f>
        <v>1.8</v>
      </c>
      <c r="B12" s="12" t="s">
        <v>108</v>
      </c>
      <c r="C12" s="0" t="n">
        <f aca="false">C9-C10+C11</f>
        <v>-27.0320492534997</v>
      </c>
      <c r="D12" s="0" t="n">
        <f aca="false">D9-D10+D11</f>
        <v>-36.129449257648</v>
      </c>
      <c r="G12" s="34" t="n">
        <f aca="false">+'List of Ratios'!C9+'List of Ratios'!C11-'List of Ratios'!C10</f>
        <v>-27.0320492534996</v>
      </c>
      <c r="H12" s="34" t="n">
        <f aca="false">+'List of Ratios'!D9+'List of Ratios'!D11-'List of Ratios'!D10</f>
        <v>-36.129449257648</v>
      </c>
    </row>
    <row r="13" customFormat="false" ht="13.8" hidden="false" customHeight="false" outlineLevel="0" collapsed="false">
      <c r="A13" s="31" t="n">
        <f aca="false">+A12+0.1</f>
        <v>1.9</v>
      </c>
      <c r="B13" s="12" t="s">
        <v>109</v>
      </c>
      <c r="C13" s="0" t="n">
        <f aca="false">(146791-155393)/513983</f>
        <v>-0.0167359620843491</v>
      </c>
      <c r="D13" s="0" t="n">
        <f aca="false">(161580-142266)/469822</f>
        <v>0.0411091860321569</v>
      </c>
      <c r="G13" s="34" t="n">
        <f aca="false">+('Financial Statements'!B42-'Financial Statements'!B56)/'Financial Statements'!B8</f>
        <v>-0.0167359620843491</v>
      </c>
      <c r="H13" s="34" t="n">
        <f aca="false">+('Financial Statements'!C42-'Financial Statements'!C56)/'Financial Statements'!C8</f>
        <v>0.0411091860321569</v>
      </c>
    </row>
    <row r="14" customFormat="false" ht="13.8" hidden="false" customHeight="false" outlineLevel="0" collapsed="false">
      <c r="A14" s="31"/>
      <c r="B14" s="28" t="s">
        <v>110</v>
      </c>
      <c r="C14" s="0" t="n">
        <f aca="false">146791-155393</f>
        <v>-8602</v>
      </c>
      <c r="D14" s="0" t="n">
        <f aca="false">161580-142266</f>
        <v>19314</v>
      </c>
      <c r="G14" s="0" t="n">
        <f aca="false">+'Financial Statements'!B42-'Financial Statements'!B56</f>
        <v>-8602</v>
      </c>
      <c r="H14" s="0" t="n">
        <f aca="false">+'Financial Statements'!C42-'Financial Statements'!C56</f>
        <v>19314</v>
      </c>
    </row>
    <row r="15" customFormat="false" ht="14.25" hidden="false" customHeight="false" outlineLevel="0" collapsed="false">
      <c r="A15" s="31"/>
    </row>
    <row r="16" customFormat="false" ht="14.25" hidden="false" customHeight="false" outlineLevel="0" collapsed="false">
      <c r="A16" s="31" t="n">
        <f aca="false">+A4+1</f>
        <v>2</v>
      </c>
      <c r="B16" s="35" t="s">
        <v>111</v>
      </c>
    </row>
    <row r="17" customFormat="false" ht="13.8" hidden="false" customHeight="false" outlineLevel="0" collapsed="false">
      <c r="A17" s="31" t="n">
        <f aca="false">+A16+0.1</f>
        <v>2.1</v>
      </c>
      <c r="B17" s="12" t="s">
        <v>22</v>
      </c>
      <c r="C17" s="0" t="n">
        <f aca="false">((513983-288831)/513983)*100</f>
        <v>43.8053398653263</v>
      </c>
      <c r="D17" s="36" t="n">
        <f aca="false">((469822-272344)/469822)*100</f>
        <v>42.0325144416396</v>
      </c>
      <c r="G17" s="0" t="n">
        <f aca="false">((+'Financial Statements'!B8-'Financial Statements'!B12)/'Financial Statements'!B8)*100</f>
        <v>43.8053398653263</v>
      </c>
      <c r="H17" s="0" t="n">
        <f aca="false">((+'Financial Statements'!C8-'Financial Statements'!C12)/'Financial Statements'!C8)*100</f>
        <v>42.0325144416396</v>
      </c>
    </row>
    <row r="18" customFormat="false" ht="13.8" hidden="false" customHeight="false" outlineLevel="0" collapsed="false">
      <c r="A18" s="31" t="n">
        <f aca="false">+A17+0.1</f>
        <v>2.2</v>
      </c>
      <c r="B18" s="12" t="s">
        <v>112</v>
      </c>
      <c r="C18" s="0" t="n">
        <f aca="false">(513983-288831-501735+41921)/513893</f>
        <v>-0.456635914480252</v>
      </c>
      <c r="D18" s="0" t="n">
        <f aca="false">(469822-272344-444943+34433)/469822</f>
        <v>-0.453431299513433</v>
      </c>
      <c r="G18" s="36" t="n">
        <f aca="false">(+'Financial Statements'!B8-'Financial Statements'!B12-'Financial Statements'!B17+'Financial Statements'!B79)/'Financial Statements'!B8</f>
        <v>-0.456555956130845</v>
      </c>
      <c r="H18" s="36" t="n">
        <f aca="false">(+'Financial Statements'!C8-'Financial Statements'!C12-'Financial Statements'!C17+'Financial Statements'!C79)/'Financial Statements'!C8</f>
        <v>-0.453431299513433</v>
      </c>
    </row>
    <row r="19" customFormat="false" ht="13.8" hidden="false" customHeight="false" outlineLevel="0" collapsed="false">
      <c r="A19" s="31"/>
      <c r="B19" s="28" t="s">
        <v>113</v>
      </c>
      <c r="C19" s="0" t="n">
        <f aca="false">513983-288831-501735+41921</f>
        <v>-234662</v>
      </c>
      <c r="D19" s="0" t="n">
        <f aca="false">469822-272344-444943+34433</f>
        <v>-213032</v>
      </c>
      <c r="G19" s="0" t="n">
        <f aca="false">+'Financial Statements'!B8-'Financial Statements'!B12-'Financial Statements'!B17+'Financial Statements'!B79</f>
        <v>-234662</v>
      </c>
      <c r="H19" s="0" t="n">
        <f aca="false">+'Financial Statements'!C8-'Financial Statements'!C12-'Financial Statements'!C17+'Financial Statements'!C79</f>
        <v>-213032</v>
      </c>
    </row>
    <row r="20" customFormat="false" ht="13.8" hidden="false" customHeight="false" outlineLevel="0" collapsed="false">
      <c r="A20" s="31" t="n">
        <f aca="false">+A18+0.1</f>
        <v>2.3</v>
      </c>
      <c r="B20" s="12" t="s">
        <v>114</v>
      </c>
      <c r="C20" s="0" t="n">
        <f aca="false">(513983-288831-501735)/513983</f>
        <v>-0.538117019434495</v>
      </c>
      <c r="D20" s="0" t="n">
        <f aca="false">(469822-272344-444943)/469822</f>
        <v>-0.526720758074335</v>
      </c>
      <c r="G20" s="0" t="n">
        <f aca="false">+('Financial Statements'!B8-'Financial Statements'!B12-'Financial Statements'!B17)/'Financial Statements'!B8</f>
        <v>-0.538117019434495</v>
      </c>
      <c r="H20" s="0" t="n">
        <f aca="false">+('Financial Statements'!C8-'Financial Statements'!C12-'Financial Statements'!C17)/'Financial Statements'!C8</f>
        <v>-0.526720758074335</v>
      </c>
    </row>
    <row r="21" customFormat="false" ht="13.8" hidden="false" customHeight="false" outlineLevel="0" collapsed="false">
      <c r="A21" s="31"/>
      <c r="B21" s="28" t="s">
        <v>115</v>
      </c>
      <c r="C21" s="0" t="n">
        <f aca="false">513983-288831-501735</f>
        <v>-276583</v>
      </c>
      <c r="D21" s="0" t="n">
        <f aca="false">469822-272344-444943</f>
        <v>-247465</v>
      </c>
      <c r="G21" s="0" t="n">
        <f aca="false">+'Financial Statements'!B8-'Financial Statements'!B12-'Financial Statements'!B17</f>
        <v>-276583</v>
      </c>
      <c r="H21" s="0" t="n">
        <f aca="false">+'Financial Statements'!C8-'Financial Statements'!C12-'Financial Statements'!C17</f>
        <v>-247465</v>
      </c>
    </row>
    <row r="22" customFormat="false" ht="13.8" hidden="false" customHeight="false" outlineLevel="0" collapsed="false">
      <c r="A22" s="31" t="n">
        <f aca="false">+A20+0.1</f>
        <v>2.4</v>
      </c>
      <c r="B22" s="12" t="s">
        <v>116</v>
      </c>
      <c r="C22" s="0" t="n">
        <f aca="false">-2722/513983</f>
        <v>-0.0052958950004183</v>
      </c>
      <c r="D22" s="0" t="n">
        <f aca="false">33364/469822</f>
        <v>0.0710141287551456</v>
      </c>
      <c r="G22" s="0" t="n">
        <f aca="false">+'Financial Statements'!B22/'Financial Statements'!B8</f>
        <v>-0.0052958950004183</v>
      </c>
      <c r="H22" s="0" t="n">
        <f aca="false">+'Financial Statements'!C22/'Financial Statements'!C8</f>
        <v>0.0710141287551456</v>
      </c>
    </row>
    <row r="23" customFormat="false" ht="14.25" hidden="false" customHeight="false" outlineLevel="0" collapsed="false">
      <c r="A23" s="31"/>
    </row>
    <row r="24" customFormat="false" ht="13.8" hidden="false" customHeight="false" outlineLevel="0" collapsed="false">
      <c r="A24" s="31" t="n">
        <f aca="false">+A16+1</f>
        <v>3</v>
      </c>
      <c r="B24" s="10" t="s">
        <v>117</v>
      </c>
    </row>
    <row r="25" customFormat="false" ht="13.8" hidden="false" customHeight="false" outlineLevel="0" collapsed="false">
      <c r="A25" s="31" t="n">
        <f aca="false">+A24+0.1</f>
        <v>3.1</v>
      </c>
      <c r="B25" s="12" t="s">
        <v>118</v>
      </c>
      <c r="C25" s="0" t="n">
        <f aca="false">67150/146043</f>
        <v>0.459796087453695</v>
      </c>
      <c r="D25" s="0" t="n">
        <f aca="false">48744/138245</f>
        <v>0.352591413794351</v>
      </c>
      <c r="G25" s="0" t="n">
        <f aca="false">+'Financial Statements'!B59/'Financial Statements'!B68</f>
        <v>0.459796087453695</v>
      </c>
      <c r="H25" s="0" t="n">
        <f aca="false">+'Financial Statements'!C59/'Financial Statements'!C68</f>
        <v>0.352591413794351</v>
      </c>
    </row>
    <row r="26" customFormat="false" ht="13.8" hidden="false" customHeight="false" outlineLevel="0" collapsed="false">
      <c r="A26" s="31" t="n">
        <f aca="false">+A25+0.1</f>
        <v>3.2</v>
      </c>
      <c r="B26" s="12" t="s">
        <v>119</v>
      </c>
      <c r="C26" s="0" t="n">
        <f aca="false">67150/462675</f>
        <v>0.145134273518128</v>
      </c>
      <c r="D26" s="0" t="n">
        <f aca="false">48744/420549</f>
        <v>0.115905637630811</v>
      </c>
      <c r="G26" s="0" t="n">
        <f aca="false">+'Financial Statements'!B59/'Financial Statements'!B69</f>
        <v>0.145134273518128</v>
      </c>
      <c r="H26" s="0" t="n">
        <f aca="false">+'Financial Statements'!C59/'Financial Statements'!C69</f>
        <v>0.115905637630811</v>
      </c>
    </row>
    <row r="27" customFormat="false" ht="13.8" hidden="false" customHeight="false" outlineLevel="0" collapsed="false">
      <c r="A27" s="31" t="n">
        <f aca="false">+A26+0.1</f>
        <v>3.3</v>
      </c>
      <c r="B27" s="12" t="s">
        <v>120</v>
      </c>
      <c r="C27" s="37" t="n">
        <f aca="false">161239/(161239+146043)</f>
        <v>0.524726472751414</v>
      </c>
      <c r="D27" s="37" t="n">
        <f aca="false">140038/(140038+138245)</f>
        <v>0.503221540661844</v>
      </c>
      <c r="E27" s="37"/>
      <c r="F27" s="37"/>
      <c r="G27" s="37"/>
      <c r="H27" s="37" t="n">
        <f aca="false">+'Financial Statements'!C61/('Financial Statements'!C61+'Financial Statements'!C68)</f>
        <v>0.503221540661844</v>
      </c>
    </row>
    <row r="28" customFormat="false" ht="13.8" hidden="false" customHeight="false" outlineLevel="0" collapsed="false">
      <c r="A28" s="31" t="n">
        <f aca="false">+A27+0.1</f>
        <v>3.4</v>
      </c>
      <c r="B28" s="12" t="s">
        <v>121</v>
      </c>
      <c r="C28" s="0" t="n">
        <f aca="false">(513983-288831-501735)/-1809</f>
        <v>152.892758430072</v>
      </c>
      <c r="D28" s="0" t="n">
        <f aca="false">(469822-272344-444943)/-2367</f>
        <v>104.547950992818</v>
      </c>
      <c r="G28" s="38" t="n">
        <f aca="false">(+'Financial Statements'!B8-'Financial Statements'!B12-'Financial Statements'!B17)/'Financial Statements'!B114</f>
        <v>-177.183215887252</v>
      </c>
      <c r="H28" s="38" t="n">
        <f aca="false">(+'Financial Statements'!C8-'Financial Statements'!C12-'Financial Statements'!C17)/'Financial Statements'!C114</f>
        <v>-225.37795992714</v>
      </c>
    </row>
    <row r="29" customFormat="false" ht="13.8" hidden="false" customHeight="false" outlineLevel="0" collapsed="false">
      <c r="A29" s="31" t="n">
        <f aca="false">+A28+0.1</f>
        <v>3.5</v>
      </c>
      <c r="B29" s="12" t="s">
        <v>122</v>
      </c>
      <c r="C29" s="0" t="n">
        <f aca="false">(513983-288831-501735)/(62719+1561)</f>
        <v>-4.30278469197262</v>
      </c>
      <c r="D29" s="0" t="n">
        <f aca="false">(469822-272344-444943)/(26959+1098)</f>
        <v>-8.8200805503083</v>
      </c>
      <c r="G29" s="36" t="n">
        <f aca="false">(+'Financial Statements'!B8-'Financial Statements'!B12-'Financial Statements'!B17)/('Financial Statements'!B104+'Financial Statements'!B114)</f>
        <v>-4.30278469197262</v>
      </c>
      <c r="H29" s="36" t="n">
        <f aca="false">(+'Financial Statements'!C8-'Financial Statements'!C12-'Financial Statements'!C17)/('Financial Statements'!C104+'Financial Statements'!C114)</f>
        <v>-8.8200805503083</v>
      </c>
    </row>
    <row r="30" customFormat="false" ht="13.8" hidden="false" customHeight="false" outlineLevel="0" collapsed="false">
      <c r="A30" s="31" t="n">
        <f aca="false">+A29+0.1</f>
        <v>3.6</v>
      </c>
      <c r="B30" s="12" t="s">
        <v>123</v>
      </c>
      <c r="C30" s="13" t="n">
        <f aca="false">46752/10189</f>
        <v>4.58847777014427</v>
      </c>
      <c r="D30" s="13" t="n">
        <f aca="false">46327/10296</f>
        <v>4.49951437451437</v>
      </c>
      <c r="G30" s="0" t="n">
        <f aca="false">+'Financial Statements'!B91/'Financial Statements'!B28</f>
        <v>4.58847777014427</v>
      </c>
      <c r="H30" s="0" t="n">
        <f aca="false">+'Financial Statements'!C91/'Financial Statements'!C28</f>
        <v>4.49951437451437</v>
      </c>
    </row>
    <row r="31" customFormat="false" ht="13.8" hidden="false" customHeight="false" outlineLevel="0" collapsed="false">
      <c r="A31" s="31"/>
      <c r="B31" s="28" t="s">
        <v>124</v>
      </c>
      <c r="C31" s="37" t="n">
        <f aca="false">46752+54253-(186715-160281+41921)</f>
        <v>32650</v>
      </c>
      <c r="D31" s="37" t="n">
        <f aca="false">46327+36477-(160281-113114+34433)</f>
        <v>1204</v>
      </c>
      <c r="E31" s="37"/>
      <c r="F31" s="37"/>
      <c r="G31" s="39" t="n">
        <f aca="false">+'Financial Statements'!B91-('Financial Statements'!B45-'Financial Statements'!C45+'Financial Statements'!B79)+'Financial Statements'!B110</f>
        <v>32650</v>
      </c>
      <c r="H31" s="40" t="n">
        <f aca="false">+'Financial Statements'!C91-('Financial Statements'!C45-'Financial Statements'!D45+'Financial Statements'!C79)+'Financial Statements'!C110</f>
        <v>-111910</v>
      </c>
    </row>
    <row r="32" customFormat="false" ht="14.25" hidden="false" customHeight="false" outlineLevel="0" collapsed="false">
      <c r="A32" s="31"/>
    </row>
    <row r="33" customFormat="false" ht="14.25" hidden="false" customHeight="false" outlineLevel="0" collapsed="false">
      <c r="A33" s="31" t="n">
        <f aca="false">+A24+1</f>
        <v>4</v>
      </c>
      <c r="B33" s="35" t="s">
        <v>125</v>
      </c>
    </row>
    <row r="34" customFormat="false" ht="13.8" hidden="false" customHeight="false" outlineLevel="0" collapsed="false">
      <c r="A34" s="31" t="n">
        <f aca="false">+A33+0.1</f>
        <v>4.1</v>
      </c>
      <c r="B34" s="12" t="s">
        <v>126</v>
      </c>
      <c r="C34" s="0" t="n">
        <f aca="false">513983/462675</f>
        <v>1.11089425622737</v>
      </c>
      <c r="D34" s="0" t="n">
        <f aca="false">469822/420549</f>
        <v>1.11716351721203</v>
      </c>
      <c r="G34" s="0" t="n">
        <f aca="false">+'Financial Statements'!B8/'Financial Statements'!B48</f>
        <v>1.11089425622737</v>
      </c>
      <c r="H34" s="0" t="n">
        <f aca="false">+'Financial Statements'!C8/'Financial Statements'!C48</f>
        <v>1.11716351721203</v>
      </c>
    </row>
    <row r="35" customFormat="false" ht="13.8" hidden="false" customHeight="false" outlineLevel="0" collapsed="false">
      <c r="A35" s="31" t="n">
        <f aca="false">+A34+0.1</f>
        <v>4.2</v>
      </c>
      <c r="B35" s="12" t="s">
        <v>127</v>
      </c>
      <c r="C35" s="36" t="n">
        <f aca="false">513983/186715</f>
        <v>2.75276758696409</v>
      </c>
      <c r="D35" s="0" t="n">
        <f aca="false">469822/160281</f>
        <v>2.93123951060949</v>
      </c>
      <c r="G35" s="0" t="n">
        <f aca="false">+'Financial Statements'!B8/'Financial Statements'!B45</f>
        <v>2.75276758696409</v>
      </c>
      <c r="H35" s="0" t="n">
        <f aca="false">+'Financial Statements'!C8/'Financial Statements'!C45</f>
        <v>2.93123951060949</v>
      </c>
    </row>
    <row r="36" customFormat="false" ht="13.8" hidden="false" customHeight="false" outlineLevel="0" collapsed="false">
      <c r="A36" s="31" t="n">
        <f aca="false">+A35+0.1</f>
        <v>4.3</v>
      </c>
      <c r="B36" s="12" t="s">
        <v>128</v>
      </c>
      <c r="C36" s="0" t="n">
        <f aca="false">513983/34405</f>
        <v>14.9391948844645</v>
      </c>
      <c r="D36" s="0" t="n">
        <f aca="false">469822/32640</f>
        <v>14.394056372549</v>
      </c>
      <c r="G36" s="0" t="n">
        <f aca="false">+'Financial Statements'!B8/'Financial Statements'!B39</f>
        <v>14.9391948844645</v>
      </c>
      <c r="H36" s="0" t="n">
        <f aca="false">+'Financial Statements'!C8/'Financial Statements'!C39</f>
        <v>14.394056372549</v>
      </c>
    </row>
    <row r="37" customFormat="false" ht="13.8" hidden="false" customHeight="false" outlineLevel="0" collapsed="false">
      <c r="A37" s="31" t="n">
        <f aca="false">+A36+0.1</f>
        <v>4.4</v>
      </c>
      <c r="B37" s="12" t="s">
        <v>129</v>
      </c>
      <c r="C37" s="0" t="n">
        <f aca="false">-2722/462675</f>
        <v>-0.00588317933754795</v>
      </c>
      <c r="D37" s="0" t="n">
        <f aca="false">33364/420549</f>
        <v>0.079334393851846</v>
      </c>
      <c r="G37" s="0" t="n">
        <f aca="false">+'Financial Statements'!B77/'Financial Statements'!B48</f>
        <v>-0.00588317933754795</v>
      </c>
      <c r="H37" s="0" t="n">
        <f aca="false">+'Financial Statements'!C77/'Financial Statements'!C48</f>
        <v>0.079334393851846</v>
      </c>
    </row>
    <row r="38" customFormat="false" ht="14.25" hidden="false" customHeight="false" outlineLevel="0" collapsed="false">
      <c r="A38" s="31"/>
    </row>
    <row r="39" customFormat="false" ht="14.25" hidden="false" customHeight="false" outlineLevel="0" collapsed="false">
      <c r="A39" s="31" t="n">
        <f aca="false">+A33+1</f>
        <v>5</v>
      </c>
      <c r="B39" s="35" t="s">
        <v>130</v>
      </c>
    </row>
    <row r="40" customFormat="false" ht="14.25" hidden="false" customHeight="false" outlineLevel="0" collapsed="false">
      <c r="A40" s="31" t="n">
        <f aca="false">+A39+0.1</f>
        <v>5.1</v>
      </c>
      <c r="B40" s="12" t="s">
        <v>131</v>
      </c>
      <c r="C40" s="37" t="n">
        <f aca="false">153.4/-0.26715</f>
        <v>-574.209245742092</v>
      </c>
      <c r="D40" s="37" t="n">
        <f aca="false">153.4/3.240482</f>
        <v>47.3386366596081</v>
      </c>
      <c r="E40" s="37"/>
      <c r="F40" s="37"/>
      <c r="G40" s="37" t="n">
        <f aca="false">153.4/'List of Ratios'!C41</f>
        <v>-574.20742101396</v>
      </c>
      <c r="H40" s="37" t="n">
        <f aca="false">153.4/'List of Ratios'!D41</f>
        <v>47.3386404507853</v>
      </c>
    </row>
    <row r="41" customFormat="false" ht="13.8" hidden="false" customHeight="false" outlineLevel="0" collapsed="false">
      <c r="A41" s="31" t="n">
        <f aca="false">+A40+0.1</f>
        <v>5.2</v>
      </c>
      <c r="B41" s="28" t="s">
        <v>132</v>
      </c>
      <c r="C41" s="0" t="n">
        <f aca="false">(-2722-0)/10189</f>
        <v>-0.267150848954755</v>
      </c>
      <c r="D41" s="0" t="n">
        <f aca="false">(33364-0)/10296</f>
        <v>3.24048174048174</v>
      </c>
      <c r="G41" s="36" t="n">
        <f aca="false">(+'Financial Statements'!B22-'Financial Statements'!B102)/'Financial Statements'!B28</f>
        <v>-0.267150848954755</v>
      </c>
      <c r="H41" s="36" t="n">
        <f aca="false">(+'Financial Statements'!C22-'Financial Statements'!C102)/'Financial Statements'!C28</f>
        <v>3.24048174048174</v>
      </c>
    </row>
    <row r="42" customFormat="false" ht="14.25" hidden="false" customHeight="false" outlineLevel="0" collapsed="false">
      <c r="A42" s="31" t="n">
        <f aca="false">+A41+0.1</f>
        <v>5.3</v>
      </c>
      <c r="B42" s="12" t="s">
        <v>133</v>
      </c>
      <c r="C42" s="37" t="n">
        <f aca="false">153.4/14.334</f>
        <v>10.7018278219618</v>
      </c>
      <c r="D42" s="37" t="n">
        <f aca="false">153.4/13.42706</f>
        <v>11.4246901406563</v>
      </c>
      <c r="E42" s="37"/>
      <c r="F42" s="37"/>
      <c r="G42" s="37" t="n">
        <f aca="false">153.4/'List of Ratios'!G43</f>
        <v>10.7022767267175</v>
      </c>
      <c r="H42" s="37" t="n">
        <f aca="false">153.4/'List of Ratios'!H43</f>
        <v>11.4246909472314</v>
      </c>
    </row>
    <row r="43" customFormat="false" ht="13.8" hidden="false" customHeight="false" outlineLevel="0" collapsed="false">
      <c r="A43" s="31" t="n">
        <f aca="false">+A42+0.1</f>
        <v>5.4</v>
      </c>
      <c r="B43" s="28" t="s">
        <v>134</v>
      </c>
      <c r="C43" s="0" t="n">
        <f aca="false">146043/10189</f>
        <v>14.3333987633723</v>
      </c>
      <c r="D43" s="0" t="n">
        <f aca="false">138245/10296</f>
        <v>13.4270590520591</v>
      </c>
      <c r="G43" s="36" t="n">
        <f aca="false">+'Financial Statements'!B68/'Financial Statements'!B28</f>
        <v>14.3333987633723</v>
      </c>
      <c r="H43" s="36" t="n">
        <f aca="false">+'Financial Statements'!C68/'Financial Statements'!C28</f>
        <v>13.4270590520591</v>
      </c>
    </row>
    <row r="44" customFormat="false" ht="13.8" hidden="false" customHeight="false" outlineLevel="0" collapsed="false">
      <c r="A44" s="31" t="n">
        <f aca="false">+A43+0.1</f>
        <v>5.5</v>
      </c>
      <c r="B44" s="12" t="s">
        <v>135</v>
      </c>
      <c r="C44" s="0" t="n">
        <v>0</v>
      </c>
      <c r="D44" s="0" t="n">
        <v>0</v>
      </c>
      <c r="G44" s="0" t="n">
        <v>0</v>
      </c>
      <c r="H44" s="0" t="n">
        <v>0</v>
      </c>
    </row>
    <row r="45" customFormat="false" ht="13.8" hidden="false" customHeight="false" outlineLevel="0" collapsed="false">
      <c r="A45" s="31"/>
      <c r="B45" s="28" t="s">
        <v>136</v>
      </c>
      <c r="C45" s="0" t="n">
        <v>0</v>
      </c>
      <c r="D45" s="0" t="n">
        <v>0</v>
      </c>
      <c r="G45" s="0" t="n">
        <v>0</v>
      </c>
      <c r="H45" s="0" t="n">
        <v>0</v>
      </c>
    </row>
    <row r="46" customFormat="false" ht="13.8" hidden="false" customHeight="false" outlineLevel="0" collapsed="false">
      <c r="A46" s="31" t="n">
        <f aca="false">+A44+0.1</f>
        <v>5.6</v>
      </c>
      <c r="B46" s="12" t="s">
        <v>137</v>
      </c>
      <c r="C46" s="0" t="n">
        <v>0</v>
      </c>
      <c r="D46" s="0" t="n">
        <v>0</v>
      </c>
      <c r="G46" s="0" t="n">
        <v>0</v>
      </c>
      <c r="H46" s="0" t="n">
        <v>0</v>
      </c>
    </row>
    <row r="47" customFormat="false" ht="13.8" hidden="false" customHeight="false" outlineLevel="0" collapsed="false">
      <c r="A47" s="31" t="n">
        <f aca="false">+A45+0.1</f>
        <v>0.1</v>
      </c>
      <c r="B47" s="12" t="s">
        <v>138</v>
      </c>
      <c r="C47" s="0" t="n">
        <f aca="false">-2722/146043</f>
        <v>-0.0186383462404908</v>
      </c>
      <c r="D47" s="0" t="n">
        <f aca="false">33364/138245</f>
        <v>0.241339650620276</v>
      </c>
      <c r="G47" s="36" t="n">
        <f aca="false">+'Financial Statements'!B77/'Financial Statements'!B68</f>
        <v>-0.0186383462404908</v>
      </c>
      <c r="H47" s="36" t="n">
        <f aca="false">+'Financial Statements'!C77/'Financial Statements'!C68</f>
        <v>0.241339650620276</v>
      </c>
    </row>
    <row r="48" customFormat="false" ht="13.8" hidden="false" customHeight="false" outlineLevel="0" collapsed="false">
      <c r="A48" s="31" t="n">
        <f aca="false">+A46+0.1</f>
        <v>5.7</v>
      </c>
      <c r="B48" s="12" t="s">
        <v>139</v>
      </c>
      <c r="C48" s="0" t="n">
        <f aca="false">(513983-288831-501735)/(146043+67150)</f>
        <v>-1.2973362164799</v>
      </c>
      <c r="D48" s="0" t="n">
        <f aca="false">(469822-272344-444943)/(138245+48744)</f>
        <v>-1.32342009423014</v>
      </c>
      <c r="G48" s="0" t="n">
        <f aca="false">(+'Financial Statements'!B8-'Financial Statements'!B12-'Financial Statements'!B17)/('Financial Statements'!B68+'Financial Statements'!B59)</f>
        <v>-1.2973362164799</v>
      </c>
      <c r="H48" s="0" t="n">
        <f aca="false">(+'Financial Statements'!C8-'Financial Statements'!C12-'Financial Statements'!C17)/('Financial Statements'!C68+'Financial Statements'!C59)</f>
        <v>-1.32342009423014</v>
      </c>
    </row>
    <row r="49" customFormat="false" ht="13.8" hidden="false" customHeight="false" outlineLevel="0" collapsed="false">
      <c r="A49" s="31" t="n">
        <f aca="false">+A47+0.1</f>
        <v>0.2</v>
      </c>
      <c r="B49" s="12" t="s">
        <v>140</v>
      </c>
      <c r="C49" s="0" t="n">
        <f aca="false">-2722/462675</f>
        <v>-0.00588317933754795</v>
      </c>
      <c r="D49" s="0" t="n">
        <f aca="false">33364/420549</f>
        <v>0.079334393851846</v>
      </c>
      <c r="G49" s="0" t="n">
        <f aca="false">+'Financial Statements'!B77/'Financial Statements'!B48</f>
        <v>-0.00588317933754795</v>
      </c>
      <c r="H49" s="0" t="n">
        <f aca="false">+'Financial Statements'!C77/'Financial Statements'!C48</f>
        <v>0.079334393851846</v>
      </c>
    </row>
    <row r="50" customFormat="false" ht="14.25" hidden="false" customHeight="false" outlineLevel="0" collapsed="false">
      <c r="A50" s="31" t="n">
        <f aca="false">+A48+0.1</f>
        <v>5.8</v>
      </c>
      <c r="B50" s="12" t="s">
        <v>141</v>
      </c>
      <c r="C50" s="37" t="n">
        <f aca="false">C51/C19</f>
        <v>-1.12633060572227</v>
      </c>
      <c r="D50" s="37" t="n">
        <f aca="false">D51/D19</f>
        <v>-1.16256433962973</v>
      </c>
      <c r="E50" s="37"/>
      <c r="F50" s="37"/>
      <c r="G50" s="37" t="n">
        <f aca="false">+'List of Ratios'!G51/'List of Ratios'!G19</f>
        <v>-1.12633060572227</v>
      </c>
      <c r="H50" s="37" t="n">
        <f aca="false">+'List of Ratios'!H51/'List of Ratios'!H19</f>
        <v>-1.16256433962973</v>
      </c>
    </row>
    <row r="51" customFormat="false" ht="13.8" hidden="false" customHeight="false" outlineLevel="0" collapsed="false">
      <c r="A51" s="31"/>
      <c r="B51" s="28" t="s">
        <v>142</v>
      </c>
      <c r="C51" s="37" t="n">
        <f aca="false">(10189*153.4/1000)+316632-53888</f>
        <v>264306.9926</v>
      </c>
      <c r="D51" s="37" t="n">
        <f aca="false">(10296*153.4/1000)+282304-36220</f>
        <v>247663.4064</v>
      </c>
      <c r="E51" s="37"/>
      <c r="F51" s="37"/>
      <c r="G51" s="37" t="n">
        <f aca="false">('Financial Statements'!B28*153.4/1000)+'Financial Statements'!B62-'Financial Statements'!B36</f>
        <v>264306.9926</v>
      </c>
      <c r="H51" s="37" t="n">
        <f aca="false">('Financial Statements'!C28*153.4/1000)+'Financial Statements'!C62-'Financial Statements'!C36</f>
        <v>247663.4064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1732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2020-05-19T16:15:53Z</dcterms:created>
  <dc:creator>Dell</dc:creator>
  <dc:description/>
  <dc:language>en-GB</dc:language>
  <cp:lastModifiedBy/>
  <dcterms:modified xsi:type="dcterms:W3CDTF">2023-12-24T18:43:13Z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