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vmlDrawing1.vml" ContentType="application/vnd.openxmlformats-officedocument.vmlDrawing"/>
  <Override PartName="/xl/comments2.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Sheet1" sheetId="1" state="visible" r:id="rId2"/>
    <sheet name="Historicals" sheetId="2" state="visible" r:id="rId3"/>
    <sheet name="Segmental forecast" sheetId="3" state="visible" r:id="rId4"/>
  </sheet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xdr="http://schemas.openxmlformats.org/drawingml/2006/spreadsheetDrawing">
  <authors>
    <author> </author>
  </authors>
  <commentList>
    <comment ref="A163" authorId="0">
      <text>
        <r>
          <rPr>
            <sz val="11"/>
            <color rgb="FF000000"/>
            <rFont val="Calibri"/>
            <family val="2"/>
            <charset val="1"/>
          </rPr>
          <t xml:space="preserve">Dell:
</t>
        </r>
        <r>
          <rPr>
            <sz val="9"/>
            <color rgb="FF000000"/>
            <rFont val="Tahoma"/>
            <family val="2"/>
            <charset val="1"/>
          </rPr>
          <t xml:space="preserve">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<sst xmlns="http://schemas.openxmlformats.org/spreadsheetml/2006/main" count="282" uniqueCount="145">
  <si>
    <t xml:space="preserve">Instructions</t>
  </si>
  <si>
    <t xml:space="preserve">Build the segmental revenue model in the "Segmental forecast" sheet in accordance to the example provided with all the calculations</t>
  </si>
  <si>
    <t xml:space="preserve">Note that the revenue growth is the add up of Organic growth + Currency impact</t>
  </si>
  <si>
    <t xml:space="preserve">If there are new line items mentioned in the older reports, feel free to insert new rows for them, however ensure that these rows are taken in to account for the formulas</t>
  </si>
  <si>
    <t xml:space="preserve">Submission time is 3 days from the day the task was given to you</t>
  </si>
  <si>
    <r>
      <rPr>
        <b val="true"/>
        <sz val="16"/>
        <color rgb="FFFFFFFF"/>
        <rFont val="Calibri"/>
        <family val="2"/>
        <charset val="1"/>
      </rPr>
      <t xml:space="preserve">NIKE, INC.
</t>
    </r>
    <r>
      <rPr>
        <sz val="11"/>
        <color rgb="FFFFFFFF"/>
        <rFont val="Calibri"/>
        <family val="2"/>
        <charset val="1"/>
      </rPr>
      <t xml:space="preserve">(Dollars and Shares in Millions Except Per Share Amounts)</t>
    </r>
  </si>
  <si>
    <t xml:space="preserve">Revenues</t>
  </si>
  <si>
    <t xml:space="preserve">Cost of sales</t>
  </si>
  <si>
    <t xml:space="preserve">Gross profit</t>
  </si>
  <si>
    <t xml:space="preserve">Demand creation expense</t>
  </si>
  <si>
    <t xml:space="preserve">Operating overhead expense</t>
  </si>
  <si>
    <t xml:space="preserve">Total selling and administrative expense</t>
  </si>
  <si>
    <t xml:space="preserve">Interest expense (income), net</t>
  </si>
  <si>
    <t xml:space="preserve">Other (income) expense, net</t>
  </si>
  <si>
    <t xml:space="preserve">Income before income taxes</t>
  </si>
  <si>
    <t xml:space="preserve">Income tax expense</t>
  </si>
  <si>
    <t xml:space="preserve">NET INCOME</t>
  </si>
  <si>
    <t xml:space="preserve">Net earnings per share:</t>
  </si>
  <si>
    <t xml:space="preserve">Basic</t>
  </si>
  <si>
    <t xml:space="preserve">Diluted</t>
  </si>
  <si>
    <t xml:space="preserve">Average shares outstanding:</t>
  </si>
  <si>
    <t xml:space="preserve">Check (Reported diluted EPS-(Net income/diluted no. of shares)</t>
  </si>
  <si>
    <t xml:space="preserve">CONSOLIDATED BALANCE SHEETS</t>
  </si>
  <si>
    <t xml:space="preserve">ASSETS</t>
  </si>
  <si>
    <t xml:space="preserve">Current assets:</t>
  </si>
  <si>
    <t xml:space="preserve">Cash and equivalents</t>
  </si>
  <si>
    <t xml:space="preserve">Short-term investments</t>
  </si>
  <si>
    <t xml:space="preserve">Accounts receivable, net</t>
  </si>
  <si>
    <t xml:space="preserve">Inventories</t>
  </si>
  <si>
    <t xml:space="preserve">Prepaid expenses and other current assets</t>
  </si>
  <si>
    <t xml:space="preserve">Total current assets</t>
  </si>
  <si>
    <t xml:space="preserve">Property, plant and equipment, net</t>
  </si>
  <si>
    <t xml:space="preserve">Operating lease right-of-use assets, net</t>
  </si>
  <si>
    <t xml:space="preserve">Identifiable intangible assets, net</t>
  </si>
  <si>
    <t xml:space="preserve">Goodwill</t>
  </si>
  <si>
    <t xml:space="preserve">Deferred income taxes and other assets</t>
  </si>
  <si>
    <t xml:space="preserve">TOTAL ASSETS</t>
  </si>
  <si>
    <t xml:space="preserve">LIABILITIES AND SHAREHOLDERS' EQUITY</t>
  </si>
  <si>
    <t xml:space="preserve">Current liabilities:</t>
  </si>
  <si>
    <t xml:space="preserve">Current portion of long-term debt</t>
  </si>
  <si>
    <t xml:space="preserve">Notes payable</t>
  </si>
  <si>
    <t xml:space="preserve">Accounts payable</t>
  </si>
  <si>
    <t xml:space="preserve">Current portion of operating lease liabilities</t>
  </si>
  <si>
    <t xml:space="preserve">Accrued liabilities</t>
  </si>
  <si>
    <t xml:space="preserve">Income taxes payable</t>
  </si>
  <si>
    <t xml:space="preserve">Total current liabilities</t>
  </si>
  <si>
    <t xml:space="preserve">Long-term debt</t>
  </si>
  <si>
    <t xml:space="preserve">Operating lease liabilities</t>
  </si>
  <si>
    <t xml:space="preserve">Deferred income taxes and other liabilities</t>
  </si>
  <si>
    <t xml:space="preserve">Commitments and contingencies (Note 18)</t>
  </si>
  <si>
    <t xml:space="preserve">Redeemable preferred stock</t>
  </si>
  <si>
    <t xml:space="preserve">Shareholders' equity:</t>
  </si>
  <si>
    <t xml:space="preserve">Common stock at stated value:</t>
  </si>
  <si>
    <t xml:space="preserve">Class A convertible — 305 and 305 shares outstanding</t>
  </si>
  <si>
    <t xml:space="preserve">Class B — 1,266 and 1,273 shares outstanding</t>
  </si>
  <si>
    <t xml:space="preserve">Capital in excess of stated value</t>
  </si>
  <si>
    <t xml:space="preserve">Accumulated other comprehensive income (loss)</t>
  </si>
  <si>
    <t xml:space="preserve">Retained earnings (deficit)</t>
  </si>
  <si>
    <t xml:space="preserve">Total shareholders' equity</t>
  </si>
  <si>
    <t xml:space="preserve">TOTAL LIABILITIES AND SHAREHOLDERS' EQUITY</t>
  </si>
  <si>
    <t xml:space="preserve"> Check (total assets - total labilities and equity)</t>
  </si>
  <si>
    <t xml:space="preserve">CONSOLIDATED STATEMENTS OF CASH FLOWS</t>
  </si>
  <si>
    <t xml:space="preserve">(Link Net income figures from income statement)</t>
  </si>
  <si>
    <t xml:space="preserve">Cash provided (used) by operations:</t>
  </si>
  <si>
    <t xml:space="preserve">Net income</t>
  </si>
  <si>
    <t xml:space="preserve">Adjustments to reconcile net income to net cash provided (used) by operations:</t>
  </si>
  <si>
    <t xml:space="preserve">Depreciation</t>
  </si>
  <si>
    <t xml:space="preserve">Deferred income taxes</t>
  </si>
  <si>
    <t xml:space="preserve">Stock-based compensation</t>
  </si>
  <si>
    <t xml:space="preserve">Amortization, impairment and other</t>
  </si>
  <si>
    <t xml:space="preserve">Net foreign currency adjustments</t>
  </si>
  <si>
    <t xml:space="preserve">Changes in certain working capital components and other assets and liabilities:</t>
  </si>
  <si>
    <t xml:space="preserve">(Increase) decrease in accounts receivable</t>
  </si>
  <si>
    <t xml:space="preserve">(Increase) decrease in inventories</t>
  </si>
  <si>
    <t xml:space="preserve">(Increase) decrease in prepaid expenses, operating lease right-of-use assets and other current and non-current assets</t>
  </si>
  <si>
    <t xml:space="preserve">Increase (decrease) in accounts payable, accrued liabilities, operating lease liabilities and other current and non-current liabilities</t>
  </si>
  <si>
    <t xml:space="preserve">Cash provided (used) by operations</t>
  </si>
  <si>
    <t xml:space="preserve">Cash provided (used) by investing activities:</t>
  </si>
  <si>
    <t xml:space="preserve">Purchases of short-term investments</t>
  </si>
  <si>
    <t xml:space="preserve">Maturities of short-term investments</t>
  </si>
  <si>
    <t xml:space="preserve">Sales of short-term investments</t>
  </si>
  <si>
    <t xml:space="preserve">Additions to property, plant and equipment</t>
  </si>
  <si>
    <t xml:space="preserve">Other investing activities</t>
  </si>
  <si>
    <t xml:space="preserve">Cash provided (used) by investing activities</t>
  </si>
  <si>
    <t xml:space="preserve">Cash provided (used) by financing activities:</t>
  </si>
  <si>
    <t xml:space="preserve">Proceeds from borrowings, net of debt issuance costs</t>
  </si>
  <si>
    <t xml:space="preserve">Increase (decrease) in notes payable, net</t>
  </si>
  <si>
    <t xml:space="preserve">Repayment of borrowings</t>
  </si>
  <si>
    <t xml:space="preserve">Proceeds from exercise of stock options and other stock issuances</t>
  </si>
  <si>
    <t xml:space="preserve">Repurchase of common stock</t>
  </si>
  <si>
    <t xml:space="preserve">Dividends — common and preferred</t>
  </si>
  <si>
    <t xml:space="preserve">Other financing activities</t>
  </si>
  <si>
    <t xml:space="preserve">Cash provided (used) by financing activities</t>
  </si>
  <si>
    <t xml:space="preserve">Effect of exchange rate changes on cash and equivalents</t>
  </si>
  <si>
    <t xml:space="preserve">Net increase (decrease) in cash and equivalents</t>
  </si>
  <si>
    <t xml:space="preserve">Cash and equivalents, beginning of year</t>
  </si>
  <si>
    <t xml:space="preserve">CASH AND EQUIVALENTS, END OF YEAR</t>
  </si>
  <si>
    <t xml:space="preserve"> Check (cash at eop - cash in balance sheet)</t>
  </si>
  <si>
    <t xml:space="preserve">Supplemental disclosure of cash flow information:</t>
  </si>
  <si>
    <t xml:space="preserve">Cash paid during the year for:</t>
  </si>
  <si>
    <t xml:space="preserve">Interest, net of capitalized interest</t>
  </si>
  <si>
    <t xml:space="preserve">Income taxes</t>
  </si>
  <si>
    <t xml:space="preserve">Non-cash additions to property, plant and equipment</t>
  </si>
  <si>
    <t xml:space="preserve">Dividends declared and not paid</t>
  </si>
  <si>
    <t xml:space="preserve">Segmental Breakdowns</t>
  </si>
  <si>
    <t xml:space="preserve">Revenue:</t>
  </si>
  <si>
    <t xml:space="preserve">North America</t>
  </si>
  <si>
    <t xml:space="preserve">Footwear</t>
  </si>
  <si>
    <t xml:space="preserve">Apparel</t>
  </si>
  <si>
    <t xml:space="preserve">Equipment</t>
  </si>
  <si>
    <t xml:space="preserve">Europe, Middle East &amp; Africa</t>
  </si>
  <si>
    <t xml:space="preserve">Greater China</t>
  </si>
  <si>
    <t xml:space="preserve">Asia Pacific &amp; Latin America</t>
  </si>
  <si>
    <t xml:space="preserve">Global Brand Divisions</t>
  </si>
  <si>
    <t xml:space="preserve">TOTAL NIKE BRAND</t>
  </si>
  <si>
    <t xml:space="preserve">Converse</t>
  </si>
  <si>
    <t xml:space="preserve">Other</t>
  </si>
  <si>
    <t xml:space="preserve">Corporate</t>
  </si>
  <si>
    <t xml:space="preserve">TOTAL NIKE, INC. REVENUES</t>
  </si>
  <si>
    <t xml:space="preserve"> Check</t>
  </si>
  <si>
    <t xml:space="preserve">EBIT:</t>
  </si>
  <si>
    <t xml:space="preserve">TOTAL NIKE, INC. EBIT</t>
  </si>
  <si>
    <t xml:space="preserve">PROPERTY, PLANT AND EQUIPMENT, NET</t>
  </si>
  <si>
    <t xml:space="preserve">Asia Pacific &amp; Latin America(1)</t>
  </si>
  <si>
    <t xml:space="preserve">Total NIKE Brand</t>
  </si>
  <si>
    <t xml:space="preserve">TOTAL PROPERTY, PLANT AND EQUIPMENT, NET</t>
  </si>
  <si>
    <t xml:space="preserve">ADDITIONS TO PROPERTY, PLANT AND EQUIPMENT</t>
  </si>
  <si>
    <t xml:space="preserve">TOTAL ADDITIONS TO PROPERTY, PLANT AND EQUIPMENT</t>
  </si>
  <si>
    <t xml:space="preserve">DEPRECIATION</t>
  </si>
  <si>
    <t xml:space="preserve">TOTAL DEPRECIATION</t>
  </si>
  <si>
    <t xml:space="preserve">Revenue Drivers</t>
  </si>
  <si>
    <t xml:space="preserve">Organic revenue growth</t>
  </si>
  <si>
    <t xml:space="preserve">Group Totals</t>
  </si>
  <si>
    <t xml:space="preserve">Group Revenue</t>
  </si>
  <si>
    <t xml:space="preserve">Growth %</t>
  </si>
  <si>
    <t xml:space="preserve">EBITDA</t>
  </si>
  <si>
    <t xml:space="preserve">Margin %</t>
  </si>
  <si>
    <t xml:space="preserve">D&amp;A</t>
  </si>
  <si>
    <t xml:space="preserve">As a  % of revenue</t>
  </si>
  <si>
    <t xml:space="preserve">EBIT</t>
  </si>
  <si>
    <t xml:space="preserve">Capex</t>
  </si>
  <si>
    <t xml:space="preserve">Revenue</t>
  </si>
  <si>
    <t xml:space="preserve">Organic growth %</t>
  </si>
  <si>
    <t xml:space="preserve">Currency impact %</t>
  </si>
  <si>
    <t xml:space="preserve">NM</t>
  </si>
</sst>
</file>

<file path=xl/styles.xml><?xml version="1.0" encoding="utf-8"?>
<styleSheet xmlns="http://schemas.openxmlformats.org/spreadsheetml/2006/main">
  <numFmts count="11">
    <numFmt numFmtId="164" formatCode="General"/>
    <numFmt numFmtId="165" formatCode="_-* #,##0.00_-;\-* #,##0.00_-;_-* \-??_-;_-@_-"/>
    <numFmt numFmtId="166" formatCode="General"/>
    <numFmt numFmtId="167" formatCode="_(* #,##0.00_);_(* \(#,##0.00\);_(* \-??_);_(@_)"/>
    <numFmt numFmtId="168" formatCode="_(* #,##0_);_(* \(#,##0\);_(* \-??_);_(@_)"/>
    <numFmt numFmtId="169" formatCode="#,##0"/>
    <numFmt numFmtId="170" formatCode="0%"/>
    <numFmt numFmtId="171" formatCode="0.0%"/>
    <numFmt numFmtId="172" formatCode="0.00%"/>
    <numFmt numFmtId="173" formatCode="#,##0.00"/>
    <numFmt numFmtId="174" formatCode="0.000"/>
  </numFmts>
  <fonts count="15">
    <font>
      <sz val="11"/>
      <color rgb="FF000000"/>
      <name val="Calibri"/>
      <family val="2"/>
      <charset val="1"/>
    </font>
    <font>
      <sz val="10"/>
      <name val="Arial"/>
      <family val="0"/>
    </font>
    <font>
      <sz val="10"/>
      <name val="Arial"/>
      <family val="0"/>
    </font>
    <font>
      <sz val="10"/>
      <name val="Arial"/>
      <family val="0"/>
    </font>
    <font>
      <b val="true"/>
      <sz val="18"/>
      <color rgb="FFFFFFFF"/>
      <name val="Calibri"/>
      <family val="2"/>
      <charset val="1"/>
    </font>
    <font>
      <sz val="11"/>
      <color rgb="FF000000"/>
      <name val="Calibri"/>
      <family val="0"/>
    </font>
    <font>
      <b val="true"/>
      <sz val="16"/>
      <color rgb="FFFFFFFF"/>
      <name val="Calibri"/>
      <family val="2"/>
      <charset val="1"/>
    </font>
    <font>
      <sz val="11"/>
      <color rgb="FFFFFFFF"/>
      <name val="Calibri"/>
      <family val="2"/>
      <charset val="1"/>
    </font>
    <font>
      <b val="true"/>
      <sz val="11"/>
      <color rgb="FFFFFFFF"/>
      <name val="Calibri"/>
      <family val="2"/>
      <charset val="1"/>
    </font>
    <font>
      <b val="true"/>
      <sz val="11"/>
      <color rgb="FF000000"/>
      <name val="Calibri"/>
      <family val="2"/>
      <charset val="1"/>
    </font>
    <font>
      <b val="true"/>
      <sz val="11"/>
      <color rgb="FFFF0000"/>
      <name val="Calibri"/>
      <family val="2"/>
      <charset val="1"/>
    </font>
    <font>
      <b val="true"/>
      <i val="true"/>
      <sz val="10"/>
      <color rgb="FF000000"/>
      <name val="Calibri"/>
      <family val="2"/>
      <charset val="1"/>
    </font>
    <font>
      <i val="true"/>
      <sz val="10"/>
      <color rgb="FF000000"/>
      <name val="Calibri"/>
      <family val="2"/>
      <charset val="1"/>
    </font>
    <font>
      <sz val="9"/>
      <color rgb="FF000000"/>
      <name val="Tahoma"/>
      <family val="2"/>
      <charset val="1"/>
    </font>
    <font>
      <i val="true"/>
      <sz val="9"/>
      <color rgb="FF000000"/>
      <name val="Calibri"/>
      <family val="2"/>
      <charset val="1"/>
    </font>
  </fonts>
  <fills count="7">
    <fill>
      <patternFill patternType="none"/>
    </fill>
    <fill>
      <patternFill patternType="gray125"/>
    </fill>
    <fill>
      <patternFill patternType="solid">
        <fgColor rgb="FF4472C4"/>
        <bgColor rgb="FF666699"/>
      </patternFill>
    </fill>
    <fill>
      <patternFill patternType="solid">
        <fgColor rgb="FF8FAADC"/>
        <bgColor rgb="FFADB9CA"/>
      </patternFill>
    </fill>
    <fill>
      <patternFill patternType="solid">
        <fgColor rgb="FF002060"/>
        <bgColor rgb="FF000080"/>
      </patternFill>
    </fill>
    <fill>
      <patternFill patternType="solid">
        <fgColor rgb="FFADB9CA"/>
        <bgColor rgb="FF8FAADC"/>
      </patternFill>
    </fill>
    <fill>
      <patternFill patternType="solid">
        <fgColor rgb="FF8497B0"/>
        <bgColor rgb="FF8FAADC"/>
      </patternFill>
    </fill>
  </fills>
  <borders count="5">
    <border diagonalUp="false" diagonalDown="false">
      <left/>
      <right/>
      <top/>
      <bottom/>
      <diagonal/>
    </border>
    <border diagonalUp="false" diagonalDown="false">
      <left/>
      <right/>
      <top/>
      <bottom style="thin"/>
      <diagonal/>
    </border>
    <border diagonalUp="false" diagonalDown="false">
      <left/>
      <right/>
      <top style="thin"/>
      <bottom/>
      <diagonal/>
    </border>
    <border diagonalUp="false" diagonalDown="false">
      <left/>
      <right/>
      <top style="thin"/>
      <bottom style="double"/>
      <diagonal/>
    </border>
    <border diagonalUp="false" diagonalDown="false">
      <left/>
      <right/>
      <top style="thin"/>
      <bottom style="thin"/>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7"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70"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7" fillId="2" borderId="0" applyFont="true" applyBorder="false" applyAlignment="true" applyProtection="false">
      <alignment horizontal="general" vertical="bottom" textRotation="0" wrapText="false" indent="0" shrinkToFit="false"/>
    </xf>
    <xf numFmtId="164" fontId="7" fillId="3" borderId="0" applyFont="true" applyBorder="false" applyAlignment="true" applyProtection="false">
      <alignment horizontal="general" vertical="bottom" textRotation="0" wrapText="false" indent="0" shrinkToFit="false"/>
    </xf>
  </cellStyleXfs>
  <cellXfs count="6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4" fillId="4" borderId="0" xfId="0" applyFont="true" applyBorder="false" applyAlignment="true" applyProtection="false">
      <alignment horizontal="general" vertical="bottom" textRotation="0" wrapText="true" indent="0" shrinkToFit="false"/>
      <protection locked="true" hidden="false"/>
    </xf>
    <xf numFmtId="164" fontId="0" fillId="0" borderId="0" xfId="0" applyFont="true" applyBorder="false" applyAlignment="true" applyProtection="false">
      <alignment horizontal="left" vertical="bottom" textRotation="0" wrapText="true" indent="0" shrinkToFit="false"/>
      <protection locked="true" hidden="false"/>
    </xf>
    <xf numFmtId="164" fontId="0" fillId="0" borderId="0" xfId="0" applyFont="true" applyBorder="false" applyAlignment="true" applyProtection="false">
      <alignment horizontal="left" vertical="bottom" textRotation="0" wrapText="true" indent="1"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6" fillId="4" borderId="0" xfId="0" applyFont="true" applyBorder="false" applyAlignment="true" applyProtection="false">
      <alignment horizontal="general" vertical="center" textRotation="0" wrapText="true" indent="0" shrinkToFit="false"/>
      <protection locked="true" hidden="false"/>
    </xf>
    <xf numFmtId="166" fontId="8" fillId="4" borderId="0" xfId="0" applyFont="true" applyBorder="false" applyAlignment="true" applyProtection="false">
      <alignment horizontal="right" vertical="bottom" textRotation="0" wrapText="false" indent="0" shrinkToFit="false"/>
      <protection locked="true" hidden="false"/>
    </xf>
    <xf numFmtId="168" fontId="0" fillId="0" borderId="0" xfId="15" applyFont="true" applyBorder="true" applyAlignment="true" applyProtection="true">
      <alignment horizontal="general" vertical="bottom" textRotation="0" wrapText="false" indent="0" shrinkToFit="false"/>
      <protection locked="true" hidden="false"/>
    </xf>
    <xf numFmtId="164" fontId="0" fillId="0" borderId="1" xfId="0" applyFont="true" applyBorder="true" applyAlignment="false" applyProtection="false">
      <alignment horizontal="general" vertical="bottom" textRotation="0" wrapText="false" indent="0" shrinkToFit="false"/>
      <protection locked="true" hidden="false"/>
    </xf>
    <xf numFmtId="168" fontId="0" fillId="0" borderId="1" xfId="15" applyFont="true" applyBorder="true" applyAlignment="true" applyProtection="true">
      <alignment horizontal="general" vertical="bottom" textRotation="0" wrapText="false" indent="0" shrinkToFit="false"/>
      <protection locked="true" hidden="false"/>
    </xf>
    <xf numFmtId="164" fontId="9" fillId="0" borderId="0" xfId="0" applyFont="true" applyBorder="true" applyAlignment="false" applyProtection="false">
      <alignment horizontal="general" vertical="bottom" textRotation="0" wrapText="false" indent="0" shrinkToFit="false"/>
      <protection locked="true" hidden="false"/>
    </xf>
    <xf numFmtId="168" fontId="9" fillId="0" borderId="0" xfId="15" applyFont="true" applyBorder="true" applyAlignment="true" applyProtection="true">
      <alignment horizontal="general"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bottom" textRotation="0" wrapText="false" indent="2" shrinkToFit="false"/>
      <protection locked="true" hidden="false"/>
    </xf>
    <xf numFmtId="164" fontId="0" fillId="0" borderId="2" xfId="0" applyFont="true" applyBorder="true" applyAlignment="true" applyProtection="false">
      <alignment horizontal="left" vertical="bottom" textRotation="0" wrapText="false" indent="1" shrinkToFit="false"/>
      <protection locked="true" hidden="false"/>
    </xf>
    <xf numFmtId="168" fontId="0" fillId="0" borderId="2" xfId="15" applyFont="true" applyBorder="tru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bottom" textRotation="0" wrapText="false" indent="1" shrinkToFit="false"/>
      <protection locked="true" hidden="false"/>
    </xf>
    <xf numFmtId="164" fontId="9" fillId="0" borderId="2" xfId="0" applyFont="true" applyBorder="true" applyAlignment="false" applyProtection="false">
      <alignment horizontal="general" vertical="bottom" textRotation="0" wrapText="false" indent="0" shrinkToFit="false"/>
      <protection locked="true" hidden="false"/>
    </xf>
    <xf numFmtId="168" fontId="9" fillId="0" borderId="2" xfId="15" applyFont="true" applyBorder="true" applyAlignment="true" applyProtection="true">
      <alignment horizontal="general" vertical="bottom" textRotation="0" wrapText="false" indent="0" shrinkToFit="false"/>
      <protection locked="true" hidden="false"/>
    </xf>
    <xf numFmtId="164" fontId="9" fillId="0" borderId="3" xfId="0" applyFont="true" applyBorder="true" applyAlignment="false" applyProtection="false">
      <alignment horizontal="general" vertical="bottom" textRotation="0" wrapText="false" indent="0" shrinkToFit="false"/>
      <protection locked="true" hidden="false"/>
    </xf>
    <xf numFmtId="168" fontId="9" fillId="0" borderId="3" xfId="15" applyFont="true" applyBorder="true" applyAlignment="true" applyProtection="true">
      <alignment horizontal="general" vertical="bottom" textRotation="0" wrapText="false" indent="0" shrinkToFit="false"/>
      <protection locked="true" hidden="false"/>
    </xf>
    <xf numFmtId="169" fontId="0" fillId="0" borderId="0" xfId="0" applyFont="false" applyBorder="false" applyAlignment="false" applyProtection="false">
      <alignment horizontal="general" vertical="bottom"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8" fontId="10" fillId="0" borderId="0" xfId="0" applyFont="true" applyBorder="false" applyAlignment="false" applyProtection="false">
      <alignment horizontal="general" vertical="bottom" textRotation="0" wrapText="false" indent="0" shrinkToFit="false"/>
      <protection locked="true" hidden="false"/>
    </xf>
    <xf numFmtId="164" fontId="9" fillId="5" borderId="0" xfId="0" applyFont="true" applyBorder="false" applyAlignment="true" applyProtection="false">
      <alignment horizontal="center" vertical="bottom" textRotation="0" wrapText="false" indent="0" shrinkToFit="false"/>
      <protection locked="true" hidden="false"/>
    </xf>
    <xf numFmtId="164" fontId="9" fillId="0" borderId="0" xfId="0" applyFont="true" applyBorder="false" applyAlignment="true" applyProtection="false">
      <alignment horizontal="left" vertical="bottom" textRotation="0" wrapText="false" indent="1" shrinkToFit="false"/>
      <protection locked="true" hidden="false"/>
    </xf>
    <xf numFmtId="164" fontId="0" fillId="0" borderId="0" xfId="0" applyFont="true" applyBorder="false" applyAlignment="true" applyProtection="false">
      <alignment horizontal="left" vertical="bottom" textRotation="0" wrapText="false" indent="3" shrinkToFit="false"/>
      <protection locked="true" hidden="false"/>
    </xf>
    <xf numFmtId="164" fontId="9" fillId="0" borderId="4" xfId="0" applyFont="true" applyBorder="true" applyAlignment="true" applyProtection="false">
      <alignment horizontal="left" vertical="bottom" textRotation="0" wrapText="false" indent="0" shrinkToFit="false"/>
      <protection locked="true" hidden="false"/>
    </xf>
    <xf numFmtId="168" fontId="9" fillId="0" borderId="4" xfId="15" applyFont="true" applyBorder="true" applyAlignment="true" applyProtection="true">
      <alignment horizontal="general" vertical="bottom" textRotation="0" wrapText="false" indent="0" shrinkToFit="false"/>
      <protection locked="true" hidden="false"/>
    </xf>
    <xf numFmtId="164" fontId="9" fillId="0" borderId="4" xfId="0" applyFont="true" applyBorder="true" applyAlignment="false" applyProtection="false">
      <alignment horizontal="general" vertical="bottom" textRotation="0" wrapText="false" indent="0" shrinkToFit="false"/>
      <protection locked="true" hidden="false"/>
    </xf>
    <xf numFmtId="164" fontId="9" fillId="0" borderId="0" xfId="0" applyFont="true" applyBorder="false" applyAlignment="true" applyProtection="false">
      <alignment horizontal="left" vertical="bottom" textRotation="0" wrapText="false" indent="0" shrinkToFit="false"/>
      <protection locked="true" hidden="false"/>
    </xf>
    <xf numFmtId="164" fontId="11" fillId="0" borderId="0" xfId="0" applyFont="true" applyBorder="false" applyAlignment="true" applyProtection="false">
      <alignment horizontal="left" vertical="bottom" textRotation="0" wrapText="false" indent="1" shrinkToFit="false"/>
      <protection locked="true" hidden="false"/>
    </xf>
    <xf numFmtId="171" fontId="11" fillId="0" borderId="0" xfId="19" applyFont="true" applyBorder="true" applyAlignment="true" applyProtection="true">
      <alignment horizontal="general" vertical="bottom" textRotation="0" wrapText="false" indent="0" shrinkToFit="false"/>
      <protection locked="true" hidden="false"/>
    </xf>
    <xf numFmtId="164" fontId="12" fillId="0" borderId="0" xfId="0" applyFont="true" applyBorder="false" applyAlignment="true" applyProtection="false">
      <alignment horizontal="left" vertical="bottom" textRotation="0" wrapText="false" indent="2" shrinkToFit="false"/>
      <protection locked="true" hidden="false"/>
    </xf>
    <xf numFmtId="171" fontId="12" fillId="0" borderId="0" xfId="19" applyFont="true" applyBorder="true" applyAlignment="true" applyProtection="true">
      <alignment horizontal="general" vertical="bottom" textRotation="0" wrapText="false" indent="0" shrinkToFit="false"/>
      <protection locked="true" hidden="false"/>
    </xf>
    <xf numFmtId="171" fontId="11" fillId="0" borderId="1" xfId="19" applyFont="true" applyBorder="true" applyAlignment="true" applyProtection="true">
      <alignment horizontal="general" vertical="bottom" textRotation="0" wrapText="false" indent="0" shrinkToFit="false"/>
      <protection locked="true" hidden="false"/>
    </xf>
    <xf numFmtId="164" fontId="12" fillId="0" borderId="2" xfId="0" applyFont="true" applyBorder="true" applyAlignment="false" applyProtection="false">
      <alignment horizontal="general" vertical="bottom" textRotation="0" wrapText="false" indent="0" shrinkToFit="false"/>
      <protection locked="true" hidden="false"/>
    </xf>
    <xf numFmtId="171" fontId="11" fillId="0" borderId="2" xfId="19" applyFont="true" applyBorder="true" applyAlignment="true" applyProtection="true">
      <alignment horizontal="general" vertical="bottom" textRotation="0" wrapText="false" indent="0" shrinkToFit="false"/>
      <protection locked="true" hidden="false"/>
    </xf>
    <xf numFmtId="171" fontId="12" fillId="0" borderId="2" xfId="19" applyFont="true" applyBorder="true" applyAlignment="true" applyProtection="true">
      <alignment horizontal="general" vertical="bottom" textRotation="0" wrapText="false" indent="0" shrinkToFit="false"/>
      <protection locked="true" hidden="false"/>
    </xf>
    <xf numFmtId="164" fontId="12" fillId="0" borderId="0" xfId="0" applyFont="true" applyBorder="false" applyAlignment="true" applyProtection="false">
      <alignment horizontal="left" vertical="bottom" textRotation="0" wrapText="false" indent="1" shrinkToFit="false"/>
      <protection locked="true" hidden="false"/>
    </xf>
    <xf numFmtId="164" fontId="11" fillId="0" borderId="3" xfId="0" applyFont="true" applyBorder="true" applyAlignment="false" applyProtection="false">
      <alignment horizontal="general" vertical="bottom" textRotation="0" wrapText="false" indent="0" shrinkToFit="false"/>
      <protection locked="true" hidden="false"/>
    </xf>
    <xf numFmtId="171" fontId="11" fillId="0" borderId="3" xfId="19" applyFont="true" applyBorder="true" applyAlignment="true" applyProtection="true">
      <alignment horizontal="general" vertical="bottom" textRotation="0" wrapText="false" indent="0" shrinkToFit="false"/>
      <protection locked="true" hidden="false"/>
    </xf>
    <xf numFmtId="166" fontId="9" fillId="6" borderId="0" xfId="0" applyFont="true" applyBorder="false" applyAlignment="false" applyProtection="false">
      <alignment horizontal="general" vertical="bottom" textRotation="0" wrapText="false" indent="0" shrinkToFit="false"/>
      <protection locked="true" hidden="false"/>
    </xf>
    <xf numFmtId="168" fontId="8" fillId="2" borderId="0" xfId="21" applyFont="true" applyBorder="true" applyAlignment="true" applyProtection="true">
      <alignment horizontal="left" vertical="bottom" textRotation="0" wrapText="false" indent="0" shrinkToFit="false"/>
      <protection locked="true" hidden="false"/>
    </xf>
    <xf numFmtId="168" fontId="14" fillId="0" borderId="0" xfId="15" applyFont="true" applyBorder="true" applyAlignment="true" applyProtection="true">
      <alignment horizontal="left" vertical="bottom" textRotation="0" wrapText="false" indent="1"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3" fontId="0" fillId="0" borderId="0" xfId="0" applyFont="false" applyBorder="false" applyAlignment="false" applyProtection="false">
      <alignment horizontal="general" vertical="bottom" textRotation="0" wrapText="false" indent="0" shrinkToFit="false"/>
      <protection locked="true" hidden="false"/>
    </xf>
    <xf numFmtId="168" fontId="9" fillId="3" borderId="0" xfId="22" applyFont="true" applyBorder="true" applyAlignment="true" applyProtection="true">
      <alignment horizontal="general" vertical="bottom" textRotation="0" wrapText="false" indent="0" shrinkToFit="false"/>
      <protection locked="true" hidden="false"/>
    </xf>
    <xf numFmtId="168" fontId="14" fillId="0" borderId="0" xfId="15" applyFont="true" applyBorder="true" applyAlignment="true" applyProtection="true">
      <alignment horizontal="left" vertical="bottom" textRotation="0" wrapText="false" indent="2" shrinkToFit="false"/>
      <protection locked="true" hidden="false"/>
    </xf>
    <xf numFmtId="171" fontId="12" fillId="0" borderId="0" xfId="19" applyFont="true" applyBorder="true" applyAlignment="true" applyProtection="true">
      <alignment horizontal="right" vertical="bottom" textRotation="0" wrapText="false" indent="0" shrinkToFit="false"/>
      <protection locked="true" hidden="false"/>
    </xf>
    <xf numFmtId="168" fontId="0" fillId="0" borderId="0" xfId="15" applyFont="true" applyBorder="true" applyAlignment="true" applyProtection="true">
      <alignment horizontal="left" vertical="bottom" textRotation="0" wrapText="false" indent="1" shrinkToFit="false"/>
      <protection locked="true" hidden="false"/>
    </xf>
    <xf numFmtId="174" fontId="0" fillId="0" borderId="0" xfId="0" applyFont="false" applyBorder="false" applyAlignment="false" applyProtection="false">
      <alignment horizontal="general" vertical="bottom" textRotation="0" wrapText="false" indent="0" shrinkToFit="false"/>
      <protection locked="true" hidden="false"/>
    </xf>
    <xf numFmtId="168" fontId="9" fillId="0" borderId="0" xfId="0" applyFont="true" applyBorder="false" applyAlignment="false" applyProtection="false">
      <alignment horizontal="general" vertical="bottom" textRotation="0" wrapText="false" indent="0" shrinkToFit="false"/>
      <protection locked="true" hidden="false"/>
    </xf>
    <xf numFmtId="173" fontId="9" fillId="0" borderId="0" xfId="0" applyFont="true" applyBorder="false" applyAlignment="false" applyProtection="false">
      <alignment horizontal="general" vertical="bottom" textRotation="0" wrapText="false" indent="0" shrinkToFit="false"/>
      <protection locked="tru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1"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true" applyBorder="false" applyAlignment="false" applyProtection="false">
      <alignment horizontal="general" vertical="bottom" textRotation="0" wrapText="false" indent="0" shrinkToFit="false"/>
      <protection locked="true" hidden="false"/>
    </xf>
    <xf numFmtId="166" fontId="0" fillId="0" borderId="0" xfId="0" applyFont="false" applyBorder="false" applyAlignment="false" applyProtection="false">
      <alignment horizontal="general"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Comma 2" xfId="20"/>
    <cellStyle name="Excel Built-in Accent1" xfId="21"/>
    <cellStyle name="Excel Built-in 60% - Accent1" xfId="22"/>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DB9CA"/>
      <rgbColor rgb="FF808080"/>
      <rgbColor rgb="FF8FAADC"/>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4472C4"/>
      <rgbColor rgb="FF33CCCC"/>
      <rgbColor rgb="FF99CC00"/>
      <rgbColor rgb="FFFFCC00"/>
      <rgbColor rgb="FFFF9900"/>
      <rgbColor rgb="FFFF6600"/>
      <rgbColor rgb="FF666699"/>
      <rgbColor rgb="FF8497B0"/>
      <rgbColor rgb="FF002060"/>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10982880</xdr:colOff>
      <xdr:row>18</xdr:row>
      <xdr:rowOff>8640</xdr:rowOff>
    </xdr:from>
    <xdr:to>
      <xdr:col>0</xdr:col>
      <xdr:colOff>12129480</xdr:colOff>
      <xdr:row>21</xdr:row>
      <xdr:rowOff>97560</xdr:rowOff>
    </xdr:to>
    <xdr:sp>
      <xdr:nvSpPr>
        <xdr:cNvPr id="0" name="TextBox 3"/>
        <xdr:cNvSpPr/>
      </xdr:nvSpPr>
      <xdr:spPr>
        <a:xfrm>
          <a:off x="10982880" y="3380400"/>
          <a:ext cx="1146600" cy="63180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solidFill>
                <a:srgbClr val="000000"/>
              </a:solidFill>
              <a:latin typeface="Calibri"/>
            </a:rPr>
            <a:t>Organic growth rate %</a:t>
          </a:r>
          <a:endParaRPr b="0" lang="en-GB" sz="1100" spc="-1" strike="noStrike">
            <a:latin typeface="Times New Roman"/>
          </a:endParaRPr>
        </a:p>
      </xdr:txBody>
    </xdr:sp>
    <xdr:clientData/>
  </xdr:twoCellAnchor>
  <xdr:twoCellAnchor editAs="absolute">
    <xdr:from>
      <xdr:col>1</xdr:col>
      <xdr:colOff>540360</xdr:colOff>
      <xdr:row>18</xdr:row>
      <xdr:rowOff>38880</xdr:rowOff>
    </xdr:from>
    <xdr:to>
      <xdr:col>3</xdr:col>
      <xdr:colOff>462960</xdr:colOff>
      <xdr:row>21</xdr:row>
      <xdr:rowOff>127800</xdr:rowOff>
    </xdr:to>
    <xdr:sp>
      <xdr:nvSpPr>
        <xdr:cNvPr id="1" name="TextBox 4"/>
        <xdr:cNvSpPr/>
      </xdr:nvSpPr>
      <xdr:spPr>
        <a:xfrm>
          <a:off x="12966840" y="3410640"/>
          <a:ext cx="1153080" cy="63180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solidFill>
                <a:srgbClr val="000000"/>
              </a:solidFill>
              <a:latin typeface="Calibri"/>
            </a:rPr>
            <a:t>Currency exchange impact %</a:t>
          </a:r>
          <a:endParaRPr b="0" lang="en-GB" sz="1100" spc="-1" strike="noStrike">
            <a:latin typeface="Times New Roman"/>
          </a:endParaRPr>
        </a:p>
      </xdr:txBody>
    </xdr:sp>
    <xdr:clientData/>
  </xdr:twoCellAnchor>
  <xdr:twoCellAnchor editAs="absolute">
    <xdr:from>
      <xdr:col>0</xdr:col>
      <xdr:colOff>11906640</xdr:colOff>
      <xdr:row>11</xdr:row>
      <xdr:rowOff>121680</xdr:rowOff>
    </xdr:from>
    <xdr:to>
      <xdr:col>2</xdr:col>
      <xdr:colOff>14760</xdr:colOff>
      <xdr:row>15</xdr:row>
      <xdr:rowOff>29520</xdr:rowOff>
    </xdr:to>
    <xdr:sp>
      <xdr:nvSpPr>
        <xdr:cNvPr id="2" name="TextBox 5"/>
        <xdr:cNvSpPr/>
      </xdr:nvSpPr>
      <xdr:spPr>
        <a:xfrm>
          <a:off x="11906640" y="2226600"/>
          <a:ext cx="1149840" cy="63180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solidFill>
                <a:srgbClr val="000000"/>
              </a:solidFill>
              <a:latin typeface="Calibri"/>
            </a:rPr>
            <a:t>Total revenue growth rate %</a:t>
          </a:r>
          <a:endParaRPr b="0" lang="en-GB" sz="1100" spc="-1" strike="noStrike">
            <a:latin typeface="Times New Roman"/>
          </a:endParaRPr>
        </a:p>
      </xdr:txBody>
    </xdr:sp>
    <xdr:clientData/>
  </xdr:twoCellAnchor>
  <xdr:twoCellAnchor editAs="absolute">
    <xdr:from>
      <xdr:col>0</xdr:col>
      <xdr:colOff>9754200</xdr:colOff>
      <xdr:row>11</xdr:row>
      <xdr:rowOff>129240</xdr:rowOff>
    </xdr:from>
    <xdr:to>
      <xdr:col>0</xdr:col>
      <xdr:colOff>10900800</xdr:colOff>
      <xdr:row>15</xdr:row>
      <xdr:rowOff>37080</xdr:rowOff>
    </xdr:to>
    <xdr:sp>
      <xdr:nvSpPr>
        <xdr:cNvPr id="3" name="TextBox 6"/>
        <xdr:cNvSpPr/>
      </xdr:nvSpPr>
      <xdr:spPr>
        <a:xfrm>
          <a:off x="9754200" y="2234160"/>
          <a:ext cx="1146600" cy="63180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solidFill>
                <a:srgbClr val="000000"/>
              </a:solidFill>
              <a:latin typeface="Calibri"/>
            </a:rPr>
            <a:t>Previous year revenue X (1+ growth rate)</a:t>
          </a:r>
          <a:endParaRPr b="0" lang="en-GB" sz="1100" spc="-1" strike="noStrike">
            <a:latin typeface="Times New Roman"/>
          </a:endParaRPr>
        </a:p>
      </xdr:txBody>
    </xdr:sp>
    <xdr:clientData/>
  </xdr:twoCellAnchor>
  <xdr:twoCellAnchor editAs="absolute">
    <xdr:from>
      <xdr:col>0</xdr:col>
      <xdr:colOff>7216200</xdr:colOff>
      <xdr:row>11</xdr:row>
      <xdr:rowOff>83880</xdr:rowOff>
    </xdr:from>
    <xdr:to>
      <xdr:col>0</xdr:col>
      <xdr:colOff>8362800</xdr:colOff>
      <xdr:row>14</xdr:row>
      <xdr:rowOff>172800</xdr:rowOff>
    </xdr:to>
    <xdr:sp>
      <xdr:nvSpPr>
        <xdr:cNvPr id="4" name="TextBox 7"/>
        <xdr:cNvSpPr/>
      </xdr:nvSpPr>
      <xdr:spPr>
        <a:xfrm>
          <a:off x="7216200" y="2188800"/>
          <a:ext cx="1146600" cy="63180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solidFill>
                <a:srgbClr val="000000"/>
              </a:solidFill>
              <a:latin typeface="Calibri"/>
            </a:rPr>
            <a:t>Projected revenue</a:t>
          </a:r>
          <a:endParaRPr b="0" lang="en-GB" sz="1100" spc="-1" strike="noStrike">
            <a:latin typeface="Times New Roman"/>
          </a:endParaRPr>
        </a:p>
      </xdr:txBody>
    </xdr:sp>
    <xdr:clientData/>
  </xdr:twoCellAnchor>
  <xdr:twoCellAnchor editAs="absolute">
    <xdr:from>
      <xdr:col>0</xdr:col>
      <xdr:colOff>8589600</xdr:colOff>
      <xdr:row>12</xdr:row>
      <xdr:rowOff>159120</xdr:rowOff>
    </xdr:from>
    <xdr:to>
      <xdr:col>0</xdr:col>
      <xdr:colOff>9503280</xdr:colOff>
      <xdr:row>12</xdr:row>
      <xdr:rowOff>159480</xdr:rowOff>
    </xdr:to>
    <xdr:sp>
      <xdr:nvSpPr>
        <xdr:cNvPr id="5" name="Straight Arrow Connector 9"/>
        <xdr:cNvSpPr/>
      </xdr:nvSpPr>
      <xdr:spPr>
        <a:xfrm>
          <a:off x="8589600" y="2445120"/>
          <a:ext cx="913680" cy="360"/>
        </a:xfrm>
        <a:custGeom>
          <a:avLst/>
          <a:gdLst/>
          <a:ahLst/>
          <a:rect l="l" t="t" r="r" b="b"/>
          <a:pathLst>
            <a:path w="21600" h="21600">
              <a:moveTo>
                <a:pt x="0" y="0"/>
              </a:moveTo>
              <a:lnTo>
                <a:pt x="21600" y="21600"/>
              </a:lnTo>
            </a:path>
          </a:pathLst>
        </a:custGeom>
        <a:noFill/>
        <a:ln w="0">
          <a:solidFill>
            <a:srgbClr val="4472c4"/>
          </a:solidFill>
          <a:tailEnd len="med" type="triangle" w="med"/>
        </a:ln>
      </xdr:spPr>
      <xdr:style>
        <a:lnRef idx="1">
          <a:schemeClr val="accent1"/>
        </a:lnRef>
        <a:fillRef idx="0">
          <a:schemeClr val="accent1"/>
        </a:fillRef>
        <a:effectRef idx="0">
          <a:schemeClr val="accent1"/>
        </a:effectRef>
        <a:fontRef idx="minor"/>
      </xdr:style>
    </xdr:sp>
    <xdr:clientData/>
  </xdr:twoCellAnchor>
  <xdr:twoCellAnchor editAs="absolute">
    <xdr:from>
      <xdr:col>0</xdr:col>
      <xdr:colOff>10942920</xdr:colOff>
      <xdr:row>13</xdr:row>
      <xdr:rowOff>23400</xdr:rowOff>
    </xdr:from>
    <xdr:to>
      <xdr:col>0</xdr:col>
      <xdr:colOff>11856600</xdr:colOff>
      <xdr:row>13</xdr:row>
      <xdr:rowOff>23760</xdr:rowOff>
    </xdr:to>
    <xdr:sp>
      <xdr:nvSpPr>
        <xdr:cNvPr id="6" name="Straight Arrow Connector 11"/>
        <xdr:cNvSpPr/>
      </xdr:nvSpPr>
      <xdr:spPr>
        <a:xfrm>
          <a:off x="10942920" y="2490480"/>
          <a:ext cx="913680" cy="360"/>
        </a:xfrm>
        <a:custGeom>
          <a:avLst/>
          <a:gdLst/>
          <a:ahLst/>
          <a:rect l="l" t="t" r="r" b="b"/>
          <a:pathLst>
            <a:path w="21600" h="21600">
              <a:moveTo>
                <a:pt x="0" y="0"/>
              </a:moveTo>
              <a:lnTo>
                <a:pt x="21600" y="21600"/>
              </a:lnTo>
            </a:path>
          </a:pathLst>
        </a:custGeom>
        <a:noFill/>
        <a:ln w="0">
          <a:solidFill>
            <a:srgbClr val="4472c4"/>
          </a:solidFill>
          <a:tailEnd len="med" type="triangle" w="med"/>
        </a:ln>
      </xdr:spPr>
      <xdr:style>
        <a:lnRef idx="1">
          <a:schemeClr val="accent1"/>
        </a:lnRef>
        <a:fillRef idx="0">
          <a:schemeClr val="accent1"/>
        </a:fillRef>
        <a:effectRef idx="0">
          <a:schemeClr val="accent1"/>
        </a:effectRef>
        <a:fontRef idx="minor"/>
      </xdr:style>
    </xdr:sp>
    <xdr:clientData/>
  </xdr:twoCellAnchor>
  <xdr:twoCellAnchor editAs="absolute">
    <xdr:from>
      <xdr:col>0</xdr:col>
      <xdr:colOff>11808000</xdr:colOff>
      <xdr:row>15</xdr:row>
      <xdr:rowOff>139680</xdr:rowOff>
    </xdr:from>
    <xdr:to>
      <xdr:col>2</xdr:col>
      <xdr:colOff>193320</xdr:colOff>
      <xdr:row>17</xdr:row>
      <xdr:rowOff>133920</xdr:rowOff>
    </xdr:to>
    <xdr:sp>
      <xdr:nvSpPr>
        <xdr:cNvPr id="7" name="Right Brace 12"/>
        <xdr:cNvSpPr/>
      </xdr:nvSpPr>
      <xdr:spPr>
        <a:xfrm flipV="1" rot="16200000">
          <a:off x="12343320" y="2433240"/>
          <a:ext cx="356400" cy="1427040"/>
        </a:xfrm>
        <a:prstGeom prst="rightBrace">
          <a:avLst>
            <a:gd name="adj1" fmla="val 8333"/>
            <a:gd name="adj2" fmla="val 50000"/>
          </a:avLst>
        </a:prstGeom>
        <a:noFill/>
        <a:ln w="0">
          <a:solidFill>
            <a:srgbClr val="4472c4"/>
          </a:solidFill>
        </a:ln>
      </xdr:spPr>
      <xdr:style>
        <a:lnRef idx="1">
          <a:schemeClr val="accent1"/>
        </a:lnRef>
        <a:fillRef idx="0">
          <a:schemeClr val="accent1"/>
        </a:fillRef>
        <a:effectRef idx="0">
          <a:schemeClr val="accent1"/>
        </a:effectRef>
        <a:fontRef idx="minor"/>
      </xdr:style>
    </xdr:sp>
    <xdr:clientData/>
  </xdr:twoCellAnchor>
  <xdr:twoCellAnchor editAs="absolute">
    <xdr:from>
      <xdr:col>0</xdr:col>
      <xdr:colOff>434520</xdr:colOff>
      <xdr:row>14</xdr:row>
      <xdr:rowOff>119160</xdr:rowOff>
    </xdr:from>
    <xdr:to>
      <xdr:col>0</xdr:col>
      <xdr:colOff>2002320</xdr:colOff>
      <xdr:row>25</xdr:row>
      <xdr:rowOff>141840</xdr:rowOff>
    </xdr:to>
    <xdr:sp>
      <xdr:nvSpPr>
        <xdr:cNvPr id="8" name="TextBox 14"/>
        <xdr:cNvSpPr/>
      </xdr:nvSpPr>
      <xdr:spPr>
        <a:xfrm>
          <a:off x="434520" y="2766960"/>
          <a:ext cx="1567800" cy="201348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solidFill>
                <a:srgbClr val="000000"/>
              </a:solidFill>
              <a:latin typeface="Calibri"/>
            </a:rPr>
            <a:t>Nike Group:</a:t>
          </a:r>
          <a:endParaRPr b="0" lang="en-GB" sz="1100" spc="-1" strike="noStrike">
            <a:latin typeface="Times New Roman"/>
          </a:endParaRPr>
        </a:p>
        <a:p>
          <a:pPr>
            <a:lnSpc>
              <a:spcPct val="100000"/>
            </a:lnSpc>
          </a:pPr>
          <a:r>
            <a:rPr b="0" lang="en-US" sz="1100" spc="-1" strike="noStrike">
              <a:solidFill>
                <a:srgbClr val="000000"/>
              </a:solidFill>
              <a:latin typeface="Calibri"/>
            </a:rPr>
            <a:t>Revenue</a:t>
          </a:r>
          <a:endParaRPr b="0" lang="en-GB" sz="1100" spc="-1" strike="noStrike">
            <a:latin typeface="Times New Roman"/>
          </a:endParaRPr>
        </a:p>
        <a:p>
          <a:pPr>
            <a:lnSpc>
              <a:spcPct val="100000"/>
            </a:lnSpc>
          </a:pPr>
          <a:r>
            <a:rPr b="0" lang="en-US" sz="1100" spc="-1" strike="noStrike">
              <a:solidFill>
                <a:srgbClr val="000000"/>
              </a:solidFill>
              <a:latin typeface="Calibri"/>
            </a:rPr>
            <a:t>EBITDA</a:t>
          </a:r>
          <a:endParaRPr b="0" lang="en-GB" sz="1100" spc="-1" strike="noStrike">
            <a:latin typeface="Times New Roman"/>
          </a:endParaRPr>
        </a:p>
        <a:p>
          <a:pPr>
            <a:lnSpc>
              <a:spcPct val="100000"/>
            </a:lnSpc>
          </a:pPr>
          <a:r>
            <a:rPr b="0" lang="en-US" sz="1100" spc="-1" strike="noStrike">
              <a:solidFill>
                <a:srgbClr val="000000"/>
              </a:solidFill>
              <a:latin typeface="Calibri"/>
            </a:rPr>
            <a:t>PPE</a:t>
          </a:r>
          <a:endParaRPr b="0" lang="en-GB" sz="1100" spc="-1" strike="noStrike">
            <a:latin typeface="Times New Roman"/>
          </a:endParaRPr>
        </a:p>
        <a:p>
          <a:pPr>
            <a:lnSpc>
              <a:spcPct val="100000"/>
            </a:lnSpc>
          </a:pPr>
          <a:r>
            <a:rPr b="0" lang="en-US" sz="1100" spc="-1" strike="noStrike">
              <a:solidFill>
                <a:srgbClr val="000000"/>
              </a:solidFill>
              <a:latin typeface="Calibri"/>
            </a:rPr>
            <a:t>Capex</a:t>
          </a:r>
          <a:endParaRPr b="0" lang="en-GB" sz="1100" spc="-1" strike="noStrike">
            <a:latin typeface="Times New Roman"/>
          </a:endParaRPr>
        </a:p>
        <a:p>
          <a:pPr>
            <a:lnSpc>
              <a:spcPct val="100000"/>
            </a:lnSpc>
          </a:pPr>
          <a:r>
            <a:rPr b="0" lang="en-US" sz="1100" spc="-1" strike="noStrike">
              <a:solidFill>
                <a:srgbClr val="000000"/>
              </a:solidFill>
              <a:latin typeface="Calibri"/>
            </a:rPr>
            <a:t>Depreciation &amp; Amortization</a:t>
          </a:r>
          <a:endParaRPr b="0" lang="en-GB" sz="1100" spc="-1" strike="noStrike">
            <a:latin typeface="Times New Roman"/>
          </a:endParaRPr>
        </a:p>
        <a:p>
          <a:pPr>
            <a:lnSpc>
              <a:spcPct val="100000"/>
            </a:lnSpc>
          </a:pPr>
          <a:r>
            <a:rPr b="0" lang="en-US" sz="1100" spc="-1" strike="noStrike">
              <a:solidFill>
                <a:srgbClr val="000000"/>
              </a:solidFill>
              <a:latin typeface="Calibri"/>
            </a:rPr>
            <a:t>EBIT</a:t>
          </a:r>
          <a:endParaRPr b="0" lang="en-GB" sz="1100" spc="-1" strike="noStrike">
            <a:latin typeface="Times New Roman"/>
          </a:endParaRPr>
        </a:p>
      </xdr:txBody>
    </xdr:sp>
    <xdr:clientData/>
  </xdr:twoCellAnchor>
  <xdr:twoCellAnchor editAs="absolute">
    <xdr:from>
      <xdr:col>0</xdr:col>
      <xdr:colOff>3444120</xdr:colOff>
      <xdr:row>11</xdr:row>
      <xdr:rowOff>122040</xdr:rowOff>
    </xdr:from>
    <xdr:to>
      <xdr:col>0</xdr:col>
      <xdr:colOff>4471200</xdr:colOff>
      <xdr:row>13</xdr:row>
      <xdr:rowOff>111240</xdr:rowOff>
    </xdr:to>
    <xdr:sp>
      <xdr:nvSpPr>
        <xdr:cNvPr id="9" name="TextBox 15"/>
        <xdr:cNvSpPr/>
      </xdr:nvSpPr>
      <xdr:spPr>
        <a:xfrm>
          <a:off x="3444120" y="2226960"/>
          <a:ext cx="1027080" cy="35136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solidFill>
                <a:srgbClr val="000000"/>
              </a:solidFill>
              <a:latin typeface="Calibri"/>
            </a:rPr>
            <a:t>North America</a:t>
          </a:r>
          <a:endParaRPr b="0" lang="en-GB" sz="1100" spc="-1" strike="noStrike">
            <a:latin typeface="Times New Roman"/>
          </a:endParaRPr>
        </a:p>
      </xdr:txBody>
    </xdr:sp>
    <xdr:clientData/>
  </xdr:twoCellAnchor>
  <xdr:twoCellAnchor editAs="absolute">
    <xdr:from>
      <xdr:col>0</xdr:col>
      <xdr:colOff>3444120</xdr:colOff>
      <xdr:row>14</xdr:row>
      <xdr:rowOff>171000</xdr:rowOff>
    </xdr:from>
    <xdr:to>
      <xdr:col>0</xdr:col>
      <xdr:colOff>4471200</xdr:colOff>
      <xdr:row>19</xdr:row>
      <xdr:rowOff>95400</xdr:rowOff>
    </xdr:to>
    <xdr:sp>
      <xdr:nvSpPr>
        <xdr:cNvPr id="10" name="TextBox 16"/>
        <xdr:cNvSpPr/>
      </xdr:nvSpPr>
      <xdr:spPr>
        <a:xfrm>
          <a:off x="3444120" y="2818800"/>
          <a:ext cx="1027080" cy="82944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solidFill>
                <a:srgbClr val="000000"/>
              </a:solidFill>
              <a:latin typeface="Calibri"/>
            </a:rPr>
            <a:t>Europe, Middle East &amp; Africa</a:t>
          </a:r>
          <a:endParaRPr b="0" lang="en-GB" sz="1100" spc="-1" strike="noStrike">
            <a:latin typeface="Times New Roman"/>
          </a:endParaRPr>
        </a:p>
      </xdr:txBody>
    </xdr:sp>
    <xdr:clientData/>
  </xdr:twoCellAnchor>
  <xdr:twoCellAnchor editAs="absolute">
    <xdr:from>
      <xdr:col>0</xdr:col>
      <xdr:colOff>3444120</xdr:colOff>
      <xdr:row>20</xdr:row>
      <xdr:rowOff>82440</xdr:rowOff>
    </xdr:from>
    <xdr:to>
      <xdr:col>0</xdr:col>
      <xdr:colOff>4471200</xdr:colOff>
      <xdr:row>22</xdr:row>
      <xdr:rowOff>72000</xdr:rowOff>
    </xdr:to>
    <xdr:sp>
      <xdr:nvSpPr>
        <xdr:cNvPr id="11" name="TextBox 17"/>
        <xdr:cNvSpPr/>
      </xdr:nvSpPr>
      <xdr:spPr>
        <a:xfrm>
          <a:off x="3444120" y="3816360"/>
          <a:ext cx="1027080" cy="35136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solidFill>
                <a:srgbClr val="000000"/>
              </a:solidFill>
              <a:latin typeface="Calibri"/>
            </a:rPr>
            <a:t>Greater China</a:t>
          </a:r>
          <a:endParaRPr b="0" lang="en-GB" sz="1100" spc="-1" strike="noStrike">
            <a:latin typeface="Times New Roman"/>
          </a:endParaRPr>
        </a:p>
      </xdr:txBody>
    </xdr:sp>
    <xdr:clientData/>
  </xdr:twoCellAnchor>
  <xdr:twoCellAnchor editAs="absolute">
    <xdr:from>
      <xdr:col>0</xdr:col>
      <xdr:colOff>3429000</xdr:colOff>
      <xdr:row>24</xdr:row>
      <xdr:rowOff>87120</xdr:rowOff>
    </xdr:from>
    <xdr:to>
      <xdr:col>0</xdr:col>
      <xdr:colOff>4456080</xdr:colOff>
      <xdr:row>28</xdr:row>
      <xdr:rowOff>26640</xdr:rowOff>
    </xdr:to>
    <xdr:sp>
      <xdr:nvSpPr>
        <xdr:cNvPr id="12" name="TextBox 18"/>
        <xdr:cNvSpPr/>
      </xdr:nvSpPr>
      <xdr:spPr>
        <a:xfrm>
          <a:off x="3429000" y="4545000"/>
          <a:ext cx="1027080" cy="66312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solidFill>
                <a:srgbClr val="000000"/>
              </a:solidFill>
              <a:latin typeface="Calibri"/>
            </a:rPr>
            <a:t>Asia Pacific &amp; Latin America</a:t>
          </a:r>
          <a:endParaRPr b="0" lang="en-GB" sz="1100" spc="-1" strike="noStrike">
            <a:latin typeface="Times New Roman"/>
          </a:endParaRPr>
        </a:p>
      </xdr:txBody>
    </xdr:sp>
    <xdr:clientData/>
  </xdr:twoCellAnchor>
  <xdr:twoCellAnchor editAs="absolute">
    <xdr:from>
      <xdr:col>0</xdr:col>
      <xdr:colOff>3429000</xdr:colOff>
      <xdr:row>29</xdr:row>
      <xdr:rowOff>3240</xdr:rowOff>
    </xdr:from>
    <xdr:to>
      <xdr:col>0</xdr:col>
      <xdr:colOff>4456080</xdr:colOff>
      <xdr:row>30</xdr:row>
      <xdr:rowOff>173520</xdr:rowOff>
    </xdr:to>
    <xdr:sp>
      <xdr:nvSpPr>
        <xdr:cNvPr id="13" name="TextBox 19"/>
        <xdr:cNvSpPr/>
      </xdr:nvSpPr>
      <xdr:spPr>
        <a:xfrm>
          <a:off x="3429000" y="5365800"/>
          <a:ext cx="1027080" cy="35136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solidFill>
                <a:srgbClr val="000000"/>
              </a:solidFill>
              <a:latin typeface="Calibri"/>
            </a:rPr>
            <a:t>Converse</a:t>
          </a:r>
          <a:endParaRPr b="0" lang="en-GB" sz="1100" spc="-1" strike="noStrike">
            <a:latin typeface="Times New Roman"/>
          </a:endParaRPr>
        </a:p>
      </xdr:txBody>
    </xdr:sp>
    <xdr:clientData/>
  </xdr:twoCellAnchor>
  <xdr:twoCellAnchor editAs="absolute">
    <xdr:from>
      <xdr:col>0</xdr:col>
      <xdr:colOff>2061360</xdr:colOff>
      <xdr:row>12</xdr:row>
      <xdr:rowOff>147960</xdr:rowOff>
    </xdr:from>
    <xdr:to>
      <xdr:col>0</xdr:col>
      <xdr:colOff>3317040</xdr:colOff>
      <xdr:row>20</xdr:row>
      <xdr:rowOff>142200</xdr:rowOff>
    </xdr:to>
    <xdr:sp>
      <xdr:nvSpPr>
        <xdr:cNvPr id="14" name="Elbow Connector 21"/>
        <xdr:cNvSpPr/>
      </xdr:nvSpPr>
      <xdr:spPr>
        <a:xfrm flipV="1">
          <a:off x="2061360" y="2433960"/>
          <a:ext cx="1255680" cy="1442160"/>
        </a:xfrm>
        <a:prstGeom prst="bentConnector3">
          <a:avLst>
            <a:gd name="adj1" fmla="val 50000"/>
          </a:avLst>
        </a:prstGeom>
        <a:noFill/>
        <a:ln w="0">
          <a:solidFill>
            <a:srgbClr val="4472c4"/>
          </a:solidFill>
          <a:tailEnd len="med" type="triangle" w="med"/>
        </a:ln>
      </xdr:spPr>
      <xdr:style>
        <a:lnRef idx="1">
          <a:schemeClr val="accent1"/>
        </a:lnRef>
        <a:fillRef idx="0">
          <a:schemeClr val="accent1"/>
        </a:fillRef>
        <a:effectRef idx="0">
          <a:schemeClr val="accent1"/>
        </a:effectRef>
        <a:fontRef idx="minor"/>
      </xdr:style>
    </xdr:sp>
    <xdr:clientData/>
  </xdr:twoCellAnchor>
  <xdr:twoCellAnchor editAs="absolute">
    <xdr:from>
      <xdr:col>0</xdr:col>
      <xdr:colOff>2076480</xdr:colOff>
      <xdr:row>17</xdr:row>
      <xdr:rowOff>42840</xdr:rowOff>
    </xdr:from>
    <xdr:to>
      <xdr:col>0</xdr:col>
      <xdr:colOff>3301560</xdr:colOff>
      <xdr:row>20</xdr:row>
      <xdr:rowOff>142200</xdr:rowOff>
    </xdr:to>
    <xdr:sp>
      <xdr:nvSpPr>
        <xdr:cNvPr id="15" name="Elbow Connector 22"/>
        <xdr:cNvSpPr/>
      </xdr:nvSpPr>
      <xdr:spPr>
        <a:xfrm flipV="1">
          <a:off x="2076480" y="3233880"/>
          <a:ext cx="1225080" cy="642240"/>
        </a:xfrm>
        <a:prstGeom prst="bentConnector3">
          <a:avLst>
            <a:gd name="adj1" fmla="val 50000"/>
          </a:avLst>
        </a:prstGeom>
        <a:noFill/>
        <a:ln w="0">
          <a:solidFill>
            <a:srgbClr val="4472c4"/>
          </a:solidFill>
          <a:tailEnd len="med" type="triangle" w="med"/>
        </a:ln>
      </xdr:spPr>
      <xdr:style>
        <a:lnRef idx="1">
          <a:schemeClr val="accent1"/>
        </a:lnRef>
        <a:fillRef idx="0">
          <a:schemeClr val="accent1"/>
        </a:fillRef>
        <a:effectRef idx="0">
          <a:schemeClr val="accent1"/>
        </a:effectRef>
        <a:fontRef idx="minor"/>
      </xdr:style>
    </xdr:sp>
    <xdr:clientData/>
  </xdr:twoCellAnchor>
  <xdr:twoCellAnchor editAs="absolute">
    <xdr:from>
      <xdr:col>0</xdr:col>
      <xdr:colOff>2068920</xdr:colOff>
      <xdr:row>20</xdr:row>
      <xdr:rowOff>134280</xdr:rowOff>
    </xdr:from>
    <xdr:to>
      <xdr:col>0</xdr:col>
      <xdr:colOff>3309120</xdr:colOff>
      <xdr:row>21</xdr:row>
      <xdr:rowOff>86760</xdr:rowOff>
    </xdr:to>
    <xdr:sp>
      <xdr:nvSpPr>
        <xdr:cNvPr id="16" name="Elbow Connector 25"/>
        <xdr:cNvSpPr/>
      </xdr:nvSpPr>
      <xdr:spPr>
        <a:xfrm>
          <a:off x="2068920" y="3868200"/>
          <a:ext cx="1240200" cy="133200"/>
        </a:xfrm>
        <a:prstGeom prst="bentConnector3">
          <a:avLst>
            <a:gd name="adj1" fmla="val 50000"/>
          </a:avLst>
        </a:prstGeom>
        <a:noFill/>
        <a:ln w="0">
          <a:solidFill>
            <a:srgbClr val="4472c4"/>
          </a:solidFill>
          <a:tailEnd len="med" type="triangle" w="med"/>
        </a:ln>
      </xdr:spPr>
      <xdr:style>
        <a:lnRef idx="1">
          <a:schemeClr val="accent1"/>
        </a:lnRef>
        <a:fillRef idx="0">
          <a:schemeClr val="accent1"/>
        </a:fillRef>
        <a:effectRef idx="0">
          <a:schemeClr val="accent1"/>
        </a:effectRef>
        <a:fontRef idx="minor"/>
      </xdr:style>
    </xdr:sp>
    <xdr:clientData/>
  </xdr:twoCellAnchor>
  <xdr:twoCellAnchor editAs="absolute">
    <xdr:from>
      <xdr:col>0</xdr:col>
      <xdr:colOff>2072520</xdr:colOff>
      <xdr:row>20</xdr:row>
      <xdr:rowOff>147600</xdr:rowOff>
    </xdr:from>
    <xdr:to>
      <xdr:col>0</xdr:col>
      <xdr:colOff>3335760</xdr:colOff>
      <xdr:row>24</xdr:row>
      <xdr:rowOff>169920</xdr:rowOff>
    </xdr:to>
    <xdr:sp>
      <xdr:nvSpPr>
        <xdr:cNvPr id="17" name="Elbow Connector 29"/>
        <xdr:cNvSpPr/>
      </xdr:nvSpPr>
      <xdr:spPr>
        <a:xfrm>
          <a:off x="2072520" y="3881520"/>
          <a:ext cx="1263240" cy="746280"/>
        </a:xfrm>
        <a:prstGeom prst="bentConnector3">
          <a:avLst>
            <a:gd name="adj1" fmla="val 50000"/>
          </a:avLst>
        </a:prstGeom>
        <a:noFill/>
        <a:ln w="0">
          <a:solidFill>
            <a:srgbClr val="4472c4"/>
          </a:solidFill>
          <a:tailEnd len="med" type="triangle" w="med"/>
        </a:ln>
      </xdr:spPr>
      <xdr:style>
        <a:lnRef idx="1">
          <a:schemeClr val="accent1"/>
        </a:lnRef>
        <a:fillRef idx="0">
          <a:schemeClr val="accent1"/>
        </a:fillRef>
        <a:effectRef idx="0">
          <a:schemeClr val="accent1"/>
        </a:effectRef>
        <a:fontRef idx="minor"/>
      </xdr:style>
    </xdr:sp>
    <xdr:clientData/>
  </xdr:twoCellAnchor>
  <xdr:twoCellAnchor editAs="absolute">
    <xdr:from>
      <xdr:col>0</xdr:col>
      <xdr:colOff>2122200</xdr:colOff>
      <xdr:row>20</xdr:row>
      <xdr:rowOff>147600</xdr:rowOff>
    </xdr:from>
    <xdr:to>
      <xdr:col>0</xdr:col>
      <xdr:colOff>3286440</xdr:colOff>
      <xdr:row>29</xdr:row>
      <xdr:rowOff>2520</xdr:rowOff>
    </xdr:to>
    <xdr:sp>
      <xdr:nvSpPr>
        <xdr:cNvPr id="18" name="Elbow Connector 53"/>
        <xdr:cNvSpPr/>
      </xdr:nvSpPr>
      <xdr:spPr>
        <a:xfrm>
          <a:off x="2122200" y="3881520"/>
          <a:ext cx="1164240" cy="1483560"/>
        </a:xfrm>
        <a:prstGeom prst="bentConnector3">
          <a:avLst>
            <a:gd name="adj1" fmla="val 50000"/>
          </a:avLst>
        </a:prstGeom>
        <a:noFill/>
        <a:ln w="0">
          <a:solidFill>
            <a:srgbClr val="4472c4"/>
          </a:solidFill>
          <a:tailEnd len="med" type="triangle" w="med"/>
        </a:ln>
      </xdr:spPr>
      <xdr:style>
        <a:lnRef idx="1">
          <a:schemeClr val="accent1"/>
        </a:lnRef>
        <a:fillRef idx="0">
          <a:schemeClr val="accent1"/>
        </a:fillRef>
        <a:effectRef idx="0">
          <a:schemeClr val="accent1"/>
        </a:effectRef>
        <a:fontRef idx="minor"/>
      </xdr:style>
    </xdr:sp>
    <xdr:clientData/>
  </xdr:twoCellAnchor>
  <xdr:twoCellAnchor editAs="absolute">
    <xdr:from>
      <xdr:col>0</xdr:col>
      <xdr:colOff>4473000</xdr:colOff>
      <xdr:row>12</xdr:row>
      <xdr:rowOff>15120</xdr:rowOff>
    </xdr:from>
    <xdr:to>
      <xdr:col>0</xdr:col>
      <xdr:colOff>5180040</xdr:colOff>
      <xdr:row>13</xdr:row>
      <xdr:rowOff>65880</xdr:rowOff>
    </xdr:to>
    <xdr:sp>
      <xdr:nvSpPr>
        <xdr:cNvPr id="19" name="Elbow Connector 71"/>
        <xdr:cNvSpPr/>
      </xdr:nvSpPr>
      <xdr:spPr>
        <a:xfrm>
          <a:off x="4473000" y="2301120"/>
          <a:ext cx="707040" cy="231840"/>
        </a:xfrm>
        <a:prstGeom prst="bentConnector3">
          <a:avLst>
            <a:gd name="adj1" fmla="val 50000"/>
          </a:avLst>
        </a:prstGeom>
        <a:noFill/>
        <a:ln w="0">
          <a:solidFill>
            <a:srgbClr val="4472c4"/>
          </a:solidFill>
          <a:tailEnd len="med" type="triangle" w="med"/>
        </a:ln>
      </xdr:spPr>
      <xdr:style>
        <a:lnRef idx="1">
          <a:schemeClr val="accent1"/>
        </a:lnRef>
        <a:fillRef idx="0">
          <a:schemeClr val="accent1"/>
        </a:fillRef>
        <a:effectRef idx="0">
          <a:schemeClr val="accent1"/>
        </a:effectRef>
        <a:fontRef idx="minor"/>
      </xdr:style>
    </xdr:sp>
    <xdr:clientData/>
  </xdr:twoCellAnchor>
  <xdr:twoCellAnchor editAs="absolute">
    <xdr:from>
      <xdr:col>0</xdr:col>
      <xdr:colOff>5257800</xdr:colOff>
      <xdr:row>8</xdr:row>
      <xdr:rowOff>0</xdr:rowOff>
    </xdr:from>
    <xdr:to>
      <xdr:col>0</xdr:col>
      <xdr:colOff>6231240</xdr:colOff>
      <xdr:row>9</xdr:row>
      <xdr:rowOff>96120</xdr:rowOff>
    </xdr:to>
    <xdr:sp>
      <xdr:nvSpPr>
        <xdr:cNvPr id="20" name="TextBox 66"/>
        <xdr:cNvSpPr/>
      </xdr:nvSpPr>
      <xdr:spPr>
        <a:xfrm>
          <a:off x="5257800" y="1562040"/>
          <a:ext cx="973440" cy="27720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solidFill>
                <a:srgbClr val="000000"/>
              </a:solidFill>
              <a:latin typeface="Calibri"/>
            </a:rPr>
            <a:t>Footwear</a:t>
          </a:r>
          <a:endParaRPr b="0" lang="en-GB" sz="1100" spc="-1" strike="noStrike">
            <a:latin typeface="Times New Roman"/>
          </a:endParaRPr>
        </a:p>
      </xdr:txBody>
    </xdr:sp>
    <xdr:clientData/>
  </xdr:twoCellAnchor>
  <xdr:twoCellAnchor editAs="absolute">
    <xdr:from>
      <xdr:col>0</xdr:col>
      <xdr:colOff>5257800</xdr:colOff>
      <xdr:row>10</xdr:row>
      <xdr:rowOff>82800</xdr:rowOff>
    </xdr:from>
    <xdr:to>
      <xdr:col>0</xdr:col>
      <xdr:colOff>6193440</xdr:colOff>
      <xdr:row>11</xdr:row>
      <xdr:rowOff>126360</xdr:rowOff>
    </xdr:to>
    <xdr:sp>
      <xdr:nvSpPr>
        <xdr:cNvPr id="21" name="TextBox 67"/>
        <xdr:cNvSpPr/>
      </xdr:nvSpPr>
      <xdr:spPr>
        <a:xfrm>
          <a:off x="5257800" y="2007000"/>
          <a:ext cx="935640" cy="22428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solidFill>
                <a:srgbClr val="000000"/>
              </a:solidFill>
              <a:latin typeface="Calibri"/>
            </a:rPr>
            <a:t>Apparel</a:t>
          </a:r>
          <a:endParaRPr b="0" lang="en-GB" sz="1100" spc="-1" strike="noStrike">
            <a:latin typeface="Times New Roman"/>
          </a:endParaRPr>
        </a:p>
      </xdr:txBody>
    </xdr:sp>
    <xdr:clientData/>
  </xdr:twoCellAnchor>
  <xdr:twoCellAnchor editAs="absolute">
    <xdr:from>
      <xdr:col>0</xdr:col>
      <xdr:colOff>5257800</xdr:colOff>
      <xdr:row>12</xdr:row>
      <xdr:rowOff>113040</xdr:rowOff>
    </xdr:from>
    <xdr:to>
      <xdr:col>0</xdr:col>
      <xdr:colOff>6201000</xdr:colOff>
      <xdr:row>14</xdr:row>
      <xdr:rowOff>5760</xdr:rowOff>
    </xdr:to>
    <xdr:sp>
      <xdr:nvSpPr>
        <xdr:cNvPr id="22" name="TextBox 68"/>
        <xdr:cNvSpPr/>
      </xdr:nvSpPr>
      <xdr:spPr>
        <a:xfrm>
          <a:off x="5257800" y="2399040"/>
          <a:ext cx="943200" cy="25452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solidFill>
                <a:srgbClr val="000000"/>
              </a:solidFill>
              <a:latin typeface="Calibri"/>
            </a:rPr>
            <a:t>Equipment</a:t>
          </a:r>
          <a:endParaRPr b="0" lang="en-GB" sz="1100" spc="-1" strike="noStrike">
            <a:latin typeface="Times New Roman"/>
          </a:endParaRPr>
        </a:p>
      </xdr:txBody>
    </xdr:sp>
    <xdr:clientData/>
  </xdr:twoCellAnchor>
  <xdr:twoCellAnchor editAs="absolute">
    <xdr:from>
      <xdr:col>0</xdr:col>
      <xdr:colOff>4480560</xdr:colOff>
      <xdr:row>8</xdr:row>
      <xdr:rowOff>134640</xdr:rowOff>
    </xdr:from>
    <xdr:to>
      <xdr:col>0</xdr:col>
      <xdr:colOff>5172120</xdr:colOff>
      <xdr:row>11</xdr:row>
      <xdr:rowOff>178200</xdr:rowOff>
    </xdr:to>
    <xdr:sp>
      <xdr:nvSpPr>
        <xdr:cNvPr id="23" name="Elbow Connector 70"/>
        <xdr:cNvSpPr/>
      </xdr:nvSpPr>
      <xdr:spPr>
        <a:xfrm flipV="1">
          <a:off x="4480560" y="1696320"/>
          <a:ext cx="691560" cy="586440"/>
        </a:xfrm>
        <a:prstGeom prst="bentConnector3">
          <a:avLst>
            <a:gd name="adj1" fmla="val 50000"/>
          </a:avLst>
        </a:prstGeom>
        <a:noFill/>
        <a:ln w="0">
          <a:solidFill>
            <a:srgbClr val="4472c4"/>
          </a:solidFill>
          <a:tailEnd len="med" type="triangle" w="med"/>
        </a:ln>
      </xdr:spPr>
      <xdr:style>
        <a:lnRef idx="1">
          <a:schemeClr val="accent1"/>
        </a:lnRef>
        <a:fillRef idx="0">
          <a:schemeClr val="accent1"/>
        </a:fillRef>
        <a:effectRef idx="0">
          <a:schemeClr val="accent1"/>
        </a:effectRef>
        <a:fontRef idx="minor"/>
      </xdr:style>
    </xdr:sp>
    <xdr:clientData/>
  </xdr:twoCellAnchor>
  <xdr:twoCellAnchor editAs="absolute">
    <xdr:from>
      <xdr:col>0</xdr:col>
      <xdr:colOff>4495680</xdr:colOff>
      <xdr:row>10</xdr:row>
      <xdr:rowOff>172440</xdr:rowOff>
    </xdr:from>
    <xdr:to>
      <xdr:col>0</xdr:col>
      <xdr:colOff>5157000</xdr:colOff>
      <xdr:row>12</xdr:row>
      <xdr:rowOff>5040</xdr:rowOff>
    </xdr:to>
    <xdr:sp>
      <xdr:nvSpPr>
        <xdr:cNvPr id="24" name="Elbow Connector 76"/>
        <xdr:cNvSpPr/>
      </xdr:nvSpPr>
      <xdr:spPr>
        <a:xfrm flipV="1">
          <a:off x="4495680" y="2096640"/>
          <a:ext cx="661320" cy="194400"/>
        </a:xfrm>
        <a:prstGeom prst="bentConnector3">
          <a:avLst>
            <a:gd name="adj1" fmla="val 50000"/>
          </a:avLst>
        </a:prstGeom>
        <a:noFill/>
        <a:ln w="0">
          <a:solidFill>
            <a:srgbClr val="4472c4"/>
          </a:solidFill>
          <a:tailEnd len="med" type="triangle" w="med"/>
        </a:ln>
      </xdr:spPr>
      <xdr:style>
        <a:lnRef idx="1">
          <a:schemeClr val="accent1"/>
        </a:lnRef>
        <a:fillRef idx="0">
          <a:schemeClr val="accent1"/>
        </a:fillRef>
        <a:effectRef idx="0">
          <a:schemeClr val="accent1"/>
        </a:effectRef>
        <a:fontRef idx="minor"/>
      </xdr:style>
    </xdr:sp>
    <xdr:clientData/>
  </xdr:twoCellAnchor>
  <xdr:twoCellAnchor editAs="absolute">
    <xdr:from>
      <xdr:col>0</xdr:col>
      <xdr:colOff>5303520</xdr:colOff>
      <xdr:row>14</xdr:row>
      <xdr:rowOff>68760</xdr:rowOff>
    </xdr:from>
    <xdr:to>
      <xdr:col>0</xdr:col>
      <xdr:colOff>6276960</xdr:colOff>
      <xdr:row>15</xdr:row>
      <xdr:rowOff>164880</xdr:rowOff>
    </xdr:to>
    <xdr:sp>
      <xdr:nvSpPr>
        <xdr:cNvPr id="25" name="TextBox 146"/>
        <xdr:cNvSpPr/>
      </xdr:nvSpPr>
      <xdr:spPr>
        <a:xfrm>
          <a:off x="5303520" y="2716560"/>
          <a:ext cx="973440" cy="27720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solidFill>
                <a:srgbClr val="000000"/>
              </a:solidFill>
              <a:latin typeface="Calibri"/>
            </a:rPr>
            <a:t>Footwear</a:t>
          </a:r>
          <a:endParaRPr b="0" lang="en-GB" sz="1100" spc="-1" strike="noStrike">
            <a:latin typeface="Times New Roman"/>
          </a:endParaRPr>
        </a:p>
      </xdr:txBody>
    </xdr:sp>
    <xdr:clientData/>
  </xdr:twoCellAnchor>
  <xdr:twoCellAnchor editAs="absolute">
    <xdr:from>
      <xdr:col>0</xdr:col>
      <xdr:colOff>5303520</xdr:colOff>
      <xdr:row>16</xdr:row>
      <xdr:rowOff>151560</xdr:rowOff>
    </xdr:from>
    <xdr:to>
      <xdr:col>0</xdr:col>
      <xdr:colOff>6239160</xdr:colOff>
      <xdr:row>18</xdr:row>
      <xdr:rowOff>14400</xdr:rowOff>
    </xdr:to>
    <xdr:sp>
      <xdr:nvSpPr>
        <xdr:cNvPr id="26" name="TextBox 147"/>
        <xdr:cNvSpPr/>
      </xdr:nvSpPr>
      <xdr:spPr>
        <a:xfrm>
          <a:off x="5303520" y="3161520"/>
          <a:ext cx="935640" cy="22464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solidFill>
                <a:srgbClr val="000000"/>
              </a:solidFill>
              <a:latin typeface="Calibri"/>
            </a:rPr>
            <a:t>Apparel</a:t>
          </a:r>
          <a:endParaRPr b="0" lang="en-GB" sz="1100" spc="-1" strike="noStrike">
            <a:latin typeface="Times New Roman"/>
          </a:endParaRPr>
        </a:p>
      </xdr:txBody>
    </xdr:sp>
    <xdr:clientData/>
  </xdr:twoCellAnchor>
  <xdr:twoCellAnchor editAs="absolute">
    <xdr:from>
      <xdr:col>0</xdr:col>
      <xdr:colOff>5303520</xdr:colOff>
      <xdr:row>19</xdr:row>
      <xdr:rowOff>720</xdr:rowOff>
    </xdr:from>
    <xdr:to>
      <xdr:col>0</xdr:col>
      <xdr:colOff>6246720</xdr:colOff>
      <xdr:row>20</xdr:row>
      <xdr:rowOff>74160</xdr:rowOff>
    </xdr:to>
    <xdr:sp>
      <xdr:nvSpPr>
        <xdr:cNvPr id="27" name="TextBox 148"/>
        <xdr:cNvSpPr/>
      </xdr:nvSpPr>
      <xdr:spPr>
        <a:xfrm>
          <a:off x="5303520" y="3553560"/>
          <a:ext cx="943200" cy="25452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solidFill>
                <a:srgbClr val="000000"/>
              </a:solidFill>
              <a:latin typeface="Calibri"/>
            </a:rPr>
            <a:t>Equipment</a:t>
          </a:r>
          <a:endParaRPr b="0" lang="en-GB" sz="1100" spc="-1" strike="noStrike">
            <a:latin typeface="Times New Roman"/>
          </a:endParaRPr>
        </a:p>
      </xdr:txBody>
    </xdr:sp>
    <xdr:clientData/>
  </xdr:twoCellAnchor>
  <xdr:twoCellAnchor editAs="absolute">
    <xdr:from>
      <xdr:col>0</xdr:col>
      <xdr:colOff>4526280</xdr:colOff>
      <xdr:row>15</xdr:row>
      <xdr:rowOff>22320</xdr:rowOff>
    </xdr:from>
    <xdr:to>
      <xdr:col>0</xdr:col>
      <xdr:colOff>5217840</xdr:colOff>
      <xdr:row>15</xdr:row>
      <xdr:rowOff>103320</xdr:rowOff>
    </xdr:to>
    <xdr:sp>
      <xdr:nvSpPr>
        <xdr:cNvPr id="28" name="Elbow Connector 149"/>
        <xdr:cNvSpPr/>
      </xdr:nvSpPr>
      <xdr:spPr>
        <a:xfrm flipV="1">
          <a:off x="4526280" y="2850840"/>
          <a:ext cx="691560" cy="81000"/>
        </a:xfrm>
        <a:prstGeom prst="bentConnector3">
          <a:avLst>
            <a:gd name="adj1" fmla="val 43407"/>
          </a:avLst>
        </a:prstGeom>
        <a:noFill/>
        <a:ln w="0">
          <a:solidFill>
            <a:srgbClr val="4472c4"/>
          </a:solidFill>
          <a:tailEnd len="med" type="triangle" w="med"/>
        </a:ln>
      </xdr:spPr>
      <xdr:style>
        <a:lnRef idx="1">
          <a:schemeClr val="accent1"/>
        </a:lnRef>
        <a:fillRef idx="0">
          <a:schemeClr val="accent1"/>
        </a:fillRef>
        <a:effectRef idx="0">
          <a:schemeClr val="accent1"/>
        </a:effectRef>
        <a:fontRef idx="minor"/>
      </xdr:style>
    </xdr:sp>
    <xdr:clientData/>
  </xdr:twoCellAnchor>
  <xdr:twoCellAnchor editAs="absolute">
    <xdr:from>
      <xdr:col>0</xdr:col>
      <xdr:colOff>4488120</xdr:colOff>
      <xdr:row>15</xdr:row>
      <xdr:rowOff>106200</xdr:rowOff>
    </xdr:from>
    <xdr:to>
      <xdr:col>0</xdr:col>
      <xdr:colOff>5202720</xdr:colOff>
      <xdr:row>17</xdr:row>
      <xdr:rowOff>59040</xdr:rowOff>
    </xdr:to>
    <xdr:sp>
      <xdr:nvSpPr>
        <xdr:cNvPr id="29" name="Elbow Connector 150"/>
        <xdr:cNvSpPr/>
      </xdr:nvSpPr>
      <xdr:spPr>
        <a:xfrm>
          <a:off x="4488120" y="2935080"/>
          <a:ext cx="714600" cy="315000"/>
        </a:xfrm>
        <a:prstGeom prst="bentConnector3">
          <a:avLst>
            <a:gd name="adj1" fmla="val 46809"/>
          </a:avLst>
        </a:prstGeom>
        <a:noFill/>
        <a:ln w="0">
          <a:solidFill>
            <a:srgbClr val="4472c4"/>
          </a:solidFill>
          <a:tailEnd len="med" type="triangle" w="med"/>
        </a:ln>
      </xdr:spPr>
      <xdr:style>
        <a:lnRef idx="1">
          <a:schemeClr val="accent1"/>
        </a:lnRef>
        <a:fillRef idx="0">
          <a:schemeClr val="accent1"/>
        </a:fillRef>
        <a:effectRef idx="0">
          <a:schemeClr val="accent1"/>
        </a:effectRef>
        <a:fontRef idx="minor"/>
      </xdr:style>
    </xdr:sp>
    <xdr:clientData/>
  </xdr:twoCellAnchor>
  <xdr:twoCellAnchor editAs="absolute">
    <xdr:from>
      <xdr:col>0</xdr:col>
      <xdr:colOff>4480560</xdr:colOff>
      <xdr:row>15</xdr:row>
      <xdr:rowOff>98640</xdr:rowOff>
    </xdr:from>
    <xdr:to>
      <xdr:col>0</xdr:col>
      <xdr:colOff>5233320</xdr:colOff>
      <xdr:row>19</xdr:row>
      <xdr:rowOff>111960</xdr:rowOff>
    </xdr:to>
    <xdr:sp>
      <xdr:nvSpPr>
        <xdr:cNvPr id="30" name="Elbow Connector 162"/>
        <xdr:cNvSpPr/>
      </xdr:nvSpPr>
      <xdr:spPr>
        <a:xfrm>
          <a:off x="4480560" y="2927520"/>
          <a:ext cx="752760" cy="737280"/>
        </a:xfrm>
        <a:prstGeom prst="bentConnector3">
          <a:avLst>
            <a:gd name="adj1" fmla="val 44949"/>
          </a:avLst>
        </a:prstGeom>
        <a:noFill/>
        <a:ln w="0">
          <a:solidFill>
            <a:srgbClr val="4472c4"/>
          </a:solidFill>
          <a:tailEnd len="med" type="triangle" w="med"/>
        </a:ln>
      </xdr:spPr>
      <xdr:style>
        <a:lnRef idx="1">
          <a:schemeClr val="accent1"/>
        </a:lnRef>
        <a:fillRef idx="0">
          <a:schemeClr val="accent1"/>
        </a:fillRef>
        <a:effectRef idx="0">
          <a:schemeClr val="accent1"/>
        </a:effectRef>
        <a:fontRef idx="minor"/>
      </xdr:style>
    </xdr:sp>
    <xdr:clientData/>
  </xdr:twoCellAnchor>
  <xdr:twoCellAnchor editAs="absolute">
    <xdr:from>
      <xdr:col>0</xdr:col>
      <xdr:colOff>5463720</xdr:colOff>
      <xdr:row>20</xdr:row>
      <xdr:rowOff>122040</xdr:rowOff>
    </xdr:from>
    <xdr:to>
      <xdr:col>0</xdr:col>
      <xdr:colOff>6437160</xdr:colOff>
      <xdr:row>22</xdr:row>
      <xdr:rowOff>37440</xdr:rowOff>
    </xdr:to>
    <xdr:sp>
      <xdr:nvSpPr>
        <xdr:cNvPr id="31" name="TextBox 167"/>
        <xdr:cNvSpPr/>
      </xdr:nvSpPr>
      <xdr:spPr>
        <a:xfrm>
          <a:off x="5463720" y="3855960"/>
          <a:ext cx="973440" cy="27720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solidFill>
                <a:srgbClr val="000000"/>
              </a:solidFill>
              <a:latin typeface="Calibri"/>
            </a:rPr>
            <a:t>Footwear</a:t>
          </a:r>
          <a:endParaRPr b="0" lang="en-GB" sz="1100" spc="-1" strike="noStrike">
            <a:latin typeface="Times New Roman"/>
          </a:endParaRPr>
        </a:p>
      </xdr:txBody>
    </xdr:sp>
    <xdr:clientData/>
  </xdr:twoCellAnchor>
  <xdr:twoCellAnchor editAs="absolute">
    <xdr:from>
      <xdr:col>0</xdr:col>
      <xdr:colOff>5463720</xdr:colOff>
      <xdr:row>23</xdr:row>
      <xdr:rowOff>23760</xdr:rowOff>
    </xdr:from>
    <xdr:to>
      <xdr:col>0</xdr:col>
      <xdr:colOff>6399360</xdr:colOff>
      <xdr:row>24</xdr:row>
      <xdr:rowOff>66960</xdr:rowOff>
    </xdr:to>
    <xdr:sp>
      <xdr:nvSpPr>
        <xdr:cNvPr id="32" name="TextBox 168"/>
        <xdr:cNvSpPr/>
      </xdr:nvSpPr>
      <xdr:spPr>
        <a:xfrm>
          <a:off x="5463720" y="4300560"/>
          <a:ext cx="935640" cy="22428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solidFill>
                <a:srgbClr val="000000"/>
              </a:solidFill>
              <a:latin typeface="Calibri"/>
            </a:rPr>
            <a:t>Apparel</a:t>
          </a:r>
          <a:endParaRPr b="0" lang="en-GB" sz="1100" spc="-1" strike="noStrike">
            <a:latin typeface="Times New Roman"/>
          </a:endParaRPr>
        </a:p>
      </xdr:txBody>
    </xdr:sp>
    <xdr:clientData/>
  </xdr:twoCellAnchor>
  <xdr:twoCellAnchor editAs="absolute">
    <xdr:from>
      <xdr:col>0</xdr:col>
      <xdr:colOff>5463720</xdr:colOff>
      <xdr:row>25</xdr:row>
      <xdr:rowOff>54360</xdr:rowOff>
    </xdr:from>
    <xdr:to>
      <xdr:col>0</xdr:col>
      <xdr:colOff>6406920</xdr:colOff>
      <xdr:row>26</xdr:row>
      <xdr:rowOff>127800</xdr:rowOff>
    </xdr:to>
    <xdr:sp>
      <xdr:nvSpPr>
        <xdr:cNvPr id="33" name="TextBox 169"/>
        <xdr:cNvSpPr/>
      </xdr:nvSpPr>
      <xdr:spPr>
        <a:xfrm>
          <a:off x="5463720" y="4692960"/>
          <a:ext cx="943200" cy="25452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solidFill>
                <a:srgbClr val="000000"/>
              </a:solidFill>
              <a:latin typeface="Calibri"/>
            </a:rPr>
            <a:t>Equipment</a:t>
          </a:r>
          <a:endParaRPr b="0" lang="en-GB" sz="1100" spc="-1" strike="noStrike">
            <a:latin typeface="Times New Roman"/>
          </a:endParaRPr>
        </a:p>
      </xdr:txBody>
    </xdr:sp>
    <xdr:clientData/>
  </xdr:twoCellAnchor>
  <xdr:twoCellAnchor editAs="absolute">
    <xdr:from>
      <xdr:col>0</xdr:col>
      <xdr:colOff>4511160</xdr:colOff>
      <xdr:row>21</xdr:row>
      <xdr:rowOff>46080</xdr:rowOff>
    </xdr:from>
    <xdr:to>
      <xdr:col>0</xdr:col>
      <xdr:colOff>5362920</xdr:colOff>
      <xdr:row>21</xdr:row>
      <xdr:rowOff>134640</xdr:rowOff>
    </xdr:to>
    <xdr:sp>
      <xdr:nvSpPr>
        <xdr:cNvPr id="34" name="Elbow Connector 170"/>
        <xdr:cNvSpPr/>
      </xdr:nvSpPr>
      <xdr:spPr>
        <a:xfrm flipV="1">
          <a:off x="4511160" y="3960720"/>
          <a:ext cx="851760" cy="88560"/>
        </a:xfrm>
        <a:prstGeom prst="bentConnector3">
          <a:avLst>
            <a:gd name="adj1" fmla="val 45536"/>
          </a:avLst>
        </a:prstGeom>
        <a:noFill/>
        <a:ln w="0">
          <a:solidFill>
            <a:srgbClr val="4472c4"/>
          </a:solidFill>
          <a:tailEnd len="med" type="triangle" w="med"/>
        </a:ln>
      </xdr:spPr>
      <xdr:style>
        <a:lnRef idx="1">
          <a:schemeClr val="accent1"/>
        </a:lnRef>
        <a:fillRef idx="0">
          <a:schemeClr val="accent1"/>
        </a:fillRef>
        <a:effectRef idx="0">
          <a:schemeClr val="accent1"/>
        </a:effectRef>
        <a:fontRef idx="minor"/>
      </xdr:style>
    </xdr:sp>
    <xdr:clientData/>
  </xdr:twoCellAnchor>
  <xdr:twoCellAnchor editAs="absolute">
    <xdr:from>
      <xdr:col>0</xdr:col>
      <xdr:colOff>4495680</xdr:colOff>
      <xdr:row>21</xdr:row>
      <xdr:rowOff>137160</xdr:rowOff>
    </xdr:from>
    <xdr:to>
      <xdr:col>0</xdr:col>
      <xdr:colOff>5377680</xdr:colOff>
      <xdr:row>23</xdr:row>
      <xdr:rowOff>135000</xdr:rowOff>
    </xdr:to>
    <xdr:sp>
      <xdr:nvSpPr>
        <xdr:cNvPr id="35" name="Elbow Connector 171"/>
        <xdr:cNvSpPr/>
      </xdr:nvSpPr>
      <xdr:spPr>
        <a:xfrm>
          <a:off x="4495680" y="4051800"/>
          <a:ext cx="882000" cy="360000"/>
        </a:xfrm>
        <a:prstGeom prst="bentConnector3">
          <a:avLst>
            <a:gd name="adj1" fmla="val 45690"/>
          </a:avLst>
        </a:prstGeom>
        <a:noFill/>
        <a:ln w="0">
          <a:solidFill>
            <a:srgbClr val="4472c4"/>
          </a:solidFill>
          <a:tailEnd len="med" type="triangle" w="med"/>
        </a:ln>
      </xdr:spPr>
      <xdr:style>
        <a:lnRef idx="1">
          <a:schemeClr val="accent1"/>
        </a:lnRef>
        <a:fillRef idx="0">
          <a:schemeClr val="accent1"/>
        </a:fillRef>
        <a:effectRef idx="0">
          <a:schemeClr val="accent1"/>
        </a:effectRef>
        <a:fontRef idx="minor"/>
      </xdr:style>
    </xdr:sp>
    <xdr:clientData/>
  </xdr:twoCellAnchor>
  <xdr:twoCellAnchor editAs="absolute">
    <xdr:from>
      <xdr:col>0</xdr:col>
      <xdr:colOff>4495680</xdr:colOff>
      <xdr:row>21</xdr:row>
      <xdr:rowOff>137160</xdr:rowOff>
    </xdr:from>
    <xdr:to>
      <xdr:col>0</xdr:col>
      <xdr:colOff>5446440</xdr:colOff>
      <xdr:row>26</xdr:row>
      <xdr:rowOff>29520</xdr:rowOff>
    </xdr:to>
    <xdr:sp>
      <xdr:nvSpPr>
        <xdr:cNvPr id="36" name="Elbow Connector 174"/>
        <xdr:cNvSpPr/>
      </xdr:nvSpPr>
      <xdr:spPr>
        <a:xfrm>
          <a:off x="4495680" y="4051800"/>
          <a:ext cx="950760" cy="797400"/>
        </a:xfrm>
        <a:prstGeom prst="bentConnector3">
          <a:avLst>
            <a:gd name="adj1" fmla="val 42800"/>
          </a:avLst>
        </a:prstGeom>
        <a:noFill/>
        <a:ln w="0">
          <a:solidFill>
            <a:srgbClr val="4472c4"/>
          </a:solidFill>
          <a:tailEnd len="med" type="triangle" w="med"/>
        </a:ln>
      </xdr:spPr>
      <xdr:style>
        <a:lnRef idx="1">
          <a:schemeClr val="accent1"/>
        </a:lnRef>
        <a:fillRef idx="0">
          <a:schemeClr val="accent1"/>
        </a:fillRef>
        <a:effectRef idx="0">
          <a:schemeClr val="accent1"/>
        </a:effectRef>
        <a:fontRef idx="minor"/>
      </xdr:style>
    </xdr:sp>
    <xdr:clientData/>
  </xdr:twoCellAnchor>
  <xdr:twoCellAnchor editAs="absolute">
    <xdr:from>
      <xdr:col>0</xdr:col>
      <xdr:colOff>6263640</xdr:colOff>
      <xdr:row>27</xdr:row>
      <xdr:rowOff>167400</xdr:rowOff>
    </xdr:from>
    <xdr:to>
      <xdr:col>0</xdr:col>
      <xdr:colOff>7237080</xdr:colOff>
      <xdr:row>29</xdr:row>
      <xdr:rowOff>82800</xdr:rowOff>
    </xdr:to>
    <xdr:sp>
      <xdr:nvSpPr>
        <xdr:cNvPr id="37" name="TextBox 193"/>
        <xdr:cNvSpPr/>
      </xdr:nvSpPr>
      <xdr:spPr>
        <a:xfrm>
          <a:off x="6263640" y="5168160"/>
          <a:ext cx="973440" cy="27720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solidFill>
                <a:srgbClr val="000000"/>
              </a:solidFill>
              <a:latin typeface="Calibri"/>
            </a:rPr>
            <a:t>Footwear</a:t>
          </a:r>
          <a:endParaRPr b="0" lang="en-GB" sz="1100" spc="-1" strike="noStrike">
            <a:latin typeface="Times New Roman"/>
          </a:endParaRPr>
        </a:p>
      </xdr:txBody>
    </xdr:sp>
    <xdr:clientData/>
  </xdr:twoCellAnchor>
  <xdr:twoCellAnchor editAs="absolute">
    <xdr:from>
      <xdr:col>0</xdr:col>
      <xdr:colOff>6263640</xdr:colOff>
      <xdr:row>30</xdr:row>
      <xdr:rowOff>69480</xdr:rowOff>
    </xdr:from>
    <xdr:to>
      <xdr:col>0</xdr:col>
      <xdr:colOff>7199280</xdr:colOff>
      <xdr:row>31</xdr:row>
      <xdr:rowOff>113400</xdr:rowOff>
    </xdr:to>
    <xdr:sp>
      <xdr:nvSpPr>
        <xdr:cNvPr id="38" name="TextBox 194"/>
        <xdr:cNvSpPr/>
      </xdr:nvSpPr>
      <xdr:spPr>
        <a:xfrm>
          <a:off x="6263640" y="5613120"/>
          <a:ext cx="935640" cy="22464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solidFill>
                <a:srgbClr val="000000"/>
              </a:solidFill>
              <a:latin typeface="Calibri"/>
            </a:rPr>
            <a:t>Apparel</a:t>
          </a:r>
          <a:endParaRPr b="0" lang="en-GB" sz="1100" spc="-1" strike="noStrike">
            <a:latin typeface="Times New Roman"/>
          </a:endParaRPr>
        </a:p>
      </xdr:txBody>
    </xdr:sp>
    <xdr:clientData/>
  </xdr:twoCellAnchor>
  <xdr:twoCellAnchor editAs="absolute">
    <xdr:from>
      <xdr:col>0</xdr:col>
      <xdr:colOff>6263640</xdr:colOff>
      <xdr:row>32</xdr:row>
      <xdr:rowOff>99720</xdr:rowOff>
    </xdr:from>
    <xdr:to>
      <xdr:col>0</xdr:col>
      <xdr:colOff>7206840</xdr:colOff>
      <xdr:row>33</xdr:row>
      <xdr:rowOff>173160</xdr:rowOff>
    </xdr:to>
    <xdr:sp>
      <xdr:nvSpPr>
        <xdr:cNvPr id="39" name="TextBox 195"/>
        <xdr:cNvSpPr/>
      </xdr:nvSpPr>
      <xdr:spPr>
        <a:xfrm>
          <a:off x="6263640" y="6005160"/>
          <a:ext cx="943200" cy="25452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solidFill>
                <a:srgbClr val="000000"/>
              </a:solidFill>
              <a:latin typeface="Calibri"/>
            </a:rPr>
            <a:t>Equipment</a:t>
          </a:r>
          <a:endParaRPr b="0" lang="en-GB" sz="1100" spc="-1" strike="noStrike">
            <a:latin typeface="Times New Roman"/>
          </a:endParaRPr>
        </a:p>
      </xdr:txBody>
    </xdr:sp>
    <xdr:clientData/>
  </xdr:twoCellAnchor>
  <xdr:twoCellAnchor editAs="absolute">
    <xdr:from>
      <xdr:col>0</xdr:col>
      <xdr:colOff>4511160</xdr:colOff>
      <xdr:row>26</xdr:row>
      <xdr:rowOff>129600</xdr:rowOff>
    </xdr:from>
    <xdr:to>
      <xdr:col>0</xdr:col>
      <xdr:colOff>6261840</xdr:colOff>
      <xdr:row>28</xdr:row>
      <xdr:rowOff>124200</xdr:rowOff>
    </xdr:to>
    <xdr:sp>
      <xdr:nvSpPr>
        <xdr:cNvPr id="40" name="Elbow Connector 196"/>
        <xdr:cNvSpPr/>
      </xdr:nvSpPr>
      <xdr:spPr>
        <a:xfrm>
          <a:off x="4511160" y="4949280"/>
          <a:ext cx="1750680" cy="356400"/>
        </a:xfrm>
        <a:prstGeom prst="bentConnector3">
          <a:avLst>
            <a:gd name="adj1" fmla="val 50000"/>
          </a:avLst>
        </a:prstGeom>
        <a:noFill/>
        <a:ln w="0">
          <a:solidFill>
            <a:srgbClr val="4472c4"/>
          </a:solidFill>
          <a:tailEnd len="med" type="triangle" w="med"/>
        </a:ln>
      </xdr:spPr>
      <xdr:style>
        <a:lnRef idx="1">
          <a:schemeClr val="accent1"/>
        </a:lnRef>
        <a:fillRef idx="0">
          <a:schemeClr val="accent1"/>
        </a:fillRef>
        <a:effectRef idx="0">
          <a:schemeClr val="accent1"/>
        </a:effectRef>
        <a:fontRef idx="minor"/>
      </xdr:style>
    </xdr:sp>
    <xdr:clientData/>
  </xdr:twoCellAnchor>
  <xdr:twoCellAnchor editAs="absolute">
    <xdr:from>
      <xdr:col>0</xdr:col>
      <xdr:colOff>4511160</xdr:colOff>
      <xdr:row>26</xdr:row>
      <xdr:rowOff>137160</xdr:rowOff>
    </xdr:from>
    <xdr:to>
      <xdr:col>0</xdr:col>
      <xdr:colOff>6261840</xdr:colOff>
      <xdr:row>30</xdr:row>
      <xdr:rowOff>180720</xdr:rowOff>
    </xdr:to>
    <xdr:sp>
      <xdr:nvSpPr>
        <xdr:cNvPr id="41" name="Elbow Connector 197"/>
        <xdr:cNvSpPr/>
      </xdr:nvSpPr>
      <xdr:spPr>
        <a:xfrm>
          <a:off x="4511160" y="4956840"/>
          <a:ext cx="1750680" cy="767520"/>
        </a:xfrm>
        <a:prstGeom prst="bentConnector3">
          <a:avLst>
            <a:gd name="adj1" fmla="val 50000"/>
          </a:avLst>
        </a:prstGeom>
        <a:noFill/>
        <a:ln w="0">
          <a:solidFill>
            <a:srgbClr val="4472c4"/>
          </a:solidFill>
          <a:tailEnd len="med" type="triangle" w="med"/>
        </a:ln>
      </xdr:spPr>
      <xdr:style>
        <a:lnRef idx="1">
          <a:schemeClr val="accent1"/>
        </a:lnRef>
        <a:fillRef idx="0">
          <a:schemeClr val="accent1"/>
        </a:fillRef>
        <a:effectRef idx="0">
          <a:schemeClr val="accent1"/>
        </a:effectRef>
        <a:fontRef idx="minor"/>
      </xdr:style>
    </xdr:sp>
    <xdr:clientData/>
  </xdr:twoCellAnchor>
  <xdr:twoCellAnchor editAs="absolute">
    <xdr:from>
      <xdr:col>0</xdr:col>
      <xdr:colOff>4533840</xdr:colOff>
      <xdr:row>26</xdr:row>
      <xdr:rowOff>144720</xdr:rowOff>
    </xdr:from>
    <xdr:to>
      <xdr:col>0</xdr:col>
      <xdr:colOff>6261840</xdr:colOff>
      <xdr:row>33</xdr:row>
      <xdr:rowOff>45360</xdr:rowOff>
    </xdr:to>
    <xdr:sp>
      <xdr:nvSpPr>
        <xdr:cNvPr id="42" name="Elbow Connector 192"/>
        <xdr:cNvSpPr/>
      </xdr:nvSpPr>
      <xdr:spPr>
        <a:xfrm>
          <a:off x="4533840" y="4964400"/>
          <a:ext cx="1728000" cy="1167480"/>
        </a:xfrm>
        <a:prstGeom prst="bentConnector3">
          <a:avLst>
            <a:gd name="adj1" fmla="val 50000"/>
          </a:avLst>
        </a:prstGeom>
        <a:noFill/>
        <a:ln w="0">
          <a:solidFill>
            <a:srgbClr val="4472c4"/>
          </a:solidFill>
          <a:tailEnd len="med" type="triangle" w="med"/>
        </a:ln>
      </xdr:spPr>
      <xdr:style>
        <a:lnRef idx="1">
          <a:schemeClr val="accent1"/>
        </a:lnRef>
        <a:fillRef idx="0">
          <a:schemeClr val="accent1"/>
        </a:fillRef>
        <a:effectRef idx="0">
          <a:schemeClr val="accent1"/>
        </a:effectRef>
        <a:fontRef idx="minor"/>
      </xdr:style>
    </xdr:sp>
    <xdr:clientData/>
  </xdr:twoCellAnchor>
  <xdr:twoCellAnchor editAs="absolute">
    <xdr:from>
      <xdr:col>0</xdr:col>
      <xdr:colOff>4217760</xdr:colOff>
      <xdr:row>35</xdr:row>
      <xdr:rowOff>132480</xdr:rowOff>
    </xdr:from>
    <xdr:to>
      <xdr:col>0</xdr:col>
      <xdr:colOff>4897800</xdr:colOff>
      <xdr:row>37</xdr:row>
      <xdr:rowOff>47880</xdr:rowOff>
    </xdr:to>
    <xdr:sp>
      <xdr:nvSpPr>
        <xdr:cNvPr id="43" name="TextBox 207"/>
        <xdr:cNvSpPr/>
      </xdr:nvSpPr>
      <xdr:spPr>
        <a:xfrm>
          <a:off x="4217760" y="6580800"/>
          <a:ext cx="680040" cy="27756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gn="ctr">
            <a:lnSpc>
              <a:spcPct val="100000"/>
            </a:lnSpc>
          </a:pPr>
          <a:r>
            <a:rPr b="0" lang="en-US" sz="1100" spc="-1" strike="noStrike">
              <a:solidFill>
                <a:srgbClr val="000000"/>
              </a:solidFill>
              <a:latin typeface="Calibri"/>
            </a:rPr>
            <a:t>Footwear</a:t>
          </a:r>
          <a:endParaRPr b="0" lang="en-GB" sz="1100" spc="-1" strike="noStrike">
            <a:latin typeface="Times New Roman"/>
          </a:endParaRPr>
        </a:p>
      </xdr:txBody>
    </xdr:sp>
    <xdr:clientData/>
  </xdr:twoCellAnchor>
  <xdr:twoCellAnchor editAs="absolute">
    <xdr:from>
      <xdr:col>0</xdr:col>
      <xdr:colOff>3440520</xdr:colOff>
      <xdr:row>35</xdr:row>
      <xdr:rowOff>155160</xdr:rowOff>
    </xdr:from>
    <xdr:to>
      <xdr:col>0</xdr:col>
      <xdr:colOff>4105440</xdr:colOff>
      <xdr:row>37</xdr:row>
      <xdr:rowOff>6120</xdr:rowOff>
    </xdr:to>
    <xdr:sp>
      <xdr:nvSpPr>
        <xdr:cNvPr id="44" name="TextBox 208"/>
        <xdr:cNvSpPr/>
      </xdr:nvSpPr>
      <xdr:spPr>
        <a:xfrm>
          <a:off x="3440520" y="6603480"/>
          <a:ext cx="664920" cy="21312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solidFill>
                <a:srgbClr val="000000"/>
              </a:solidFill>
              <a:latin typeface="Calibri"/>
            </a:rPr>
            <a:t>Apparel</a:t>
          </a:r>
          <a:endParaRPr b="0" lang="en-GB" sz="1100" spc="-1" strike="noStrike">
            <a:latin typeface="Times New Roman"/>
          </a:endParaRPr>
        </a:p>
      </xdr:txBody>
    </xdr:sp>
    <xdr:clientData/>
  </xdr:twoCellAnchor>
  <xdr:twoCellAnchor editAs="absolute">
    <xdr:from>
      <xdr:col>0</xdr:col>
      <xdr:colOff>2461320</xdr:colOff>
      <xdr:row>35</xdr:row>
      <xdr:rowOff>159120</xdr:rowOff>
    </xdr:from>
    <xdr:to>
      <xdr:col>0</xdr:col>
      <xdr:colOff>3236760</xdr:colOff>
      <xdr:row>37</xdr:row>
      <xdr:rowOff>51840</xdr:rowOff>
    </xdr:to>
    <xdr:sp>
      <xdr:nvSpPr>
        <xdr:cNvPr id="45" name="TextBox 209"/>
        <xdr:cNvSpPr/>
      </xdr:nvSpPr>
      <xdr:spPr>
        <a:xfrm>
          <a:off x="2461320" y="6607440"/>
          <a:ext cx="775440" cy="25488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gn="ctr">
            <a:lnSpc>
              <a:spcPct val="100000"/>
            </a:lnSpc>
          </a:pPr>
          <a:r>
            <a:rPr b="0" lang="en-US" sz="1100" spc="-1" strike="noStrike">
              <a:solidFill>
                <a:srgbClr val="000000"/>
              </a:solidFill>
              <a:latin typeface="Calibri"/>
            </a:rPr>
            <a:t>Equipment</a:t>
          </a:r>
          <a:endParaRPr b="0" lang="en-GB" sz="1100" spc="-1" strike="noStrike">
            <a:latin typeface="Times New Roman"/>
          </a:endParaRPr>
        </a:p>
      </xdr:txBody>
    </xdr:sp>
    <xdr:clientData/>
  </xdr:twoCellAnchor>
  <xdr:twoCellAnchor editAs="absolute">
    <xdr:from>
      <xdr:col>0</xdr:col>
      <xdr:colOff>4001040</xdr:colOff>
      <xdr:row>31</xdr:row>
      <xdr:rowOff>7560</xdr:rowOff>
    </xdr:from>
    <xdr:to>
      <xdr:col>0</xdr:col>
      <xdr:colOff>4403160</xdr:colOff>
      <xdr:row>35</xdr:row>
      <xdr:rowOff>119520</xdr:rowOff>
    </xdr:to>
    <xdr:sp>
      <xdr:nvSpPr>
        <xdr:cNvPr id="46" name="Elbow Connector 210"/>
        <xdr:cNvSpPr/>
      </xdr:nvSpPr>
      <xdr:spPr>
        <a:xfrm flipH="1" rot="16200000">
          <a:off x="3783600" y="5948640"/>
          <a:ext cx="835920" cy="402120"/>
        </a:xfrm>
        <a:prstGeom prst="bentConnector3">
          <a:avLst>
            <a:gd name="adj1" fmla="val 50000"/>
          </a:avLst>
        </a:prstGeom>
        <a:noFill/>
        <a:ln w="0">
          <a:solidFill>
            <a:srgbClr val="4472c4"/>
          </a:solidFill>
          <a:tailEnd len="med" type="triangle" w="med"/>
        </a:ln>
      </xdr:spPr>
      <xdr:style>
        <a:lnRef idx="1">
          <a:schemeClr val="accent1"/>
        </a:lnRef>
        <a:fillRef idx="0">
          <a:schemeClr val="accent1"/>
        </a:fillRef>
        <a:effectRef idx="0">
          <a:schemeClr val="accent1"/>
        </a:effectRef>
        <a:fontRef idx="minor"/>
      </xdr:style>
    </xdr:sp>
    <xdr:clientData/>
  </xdr:twoCellAnchor>
  <xdr:twoCellAnchor editAs="absolute">
    <xdr:from>
      <xdr:col>0</xdr:col>
      <xdr:colOff>3819600</xdr:colOff>
      <xdr:row>31</xdr:row>
      <xdr:rowOff>15120</xdr:rowOff>
    </xdr:from>
    <xdr:to>
      <xdr:col>0</xdr:col>
      <xdr:colOff>4008240</xdr:colOff>
      <xdr:row>35</xdr:row>
      <xdr:rowOff>96840</xdr:rowOff>
    </xdr:to>
    <xdr:sp>
      <xdr:nvSpPr>
        <xdr:cNvPr id="47" name="Elbow Connector 211"/>
        <xdr:cNvSpPr/>
      </xdr:nvSpPr>
      <xdr:spPr>
        <a:xfrm rot="5400000">
          <a:off x="3511080" y="6048000"/>
          <a:ext cx="805680" cy="188640"/>
        </a:xfrm>
        <a:prstGeom prst="bentConnector3">
          <a:avLst>
            <a:gd name="adj1" fmla="val 50000"/>
          </a:avLst>
        </a:prstGeom>
        <a:noFill/>
        <a:ln w="0">
          <a:solidFill>
            <a:srgbClr val="4472c4"/>
          </a:solidFill>
          <a:tailEnd len="med" type="triangle" w="med"/>
        </a:ln>
      </xdr:spPr>
      <xdr:style>
        <a:lnRef idx="1">
          <a:schemeClr val="accent1"/>
        </a:lnRef>
        <a:fillRef idx="0">
          <a:schemeClr val="accent1"/>
        </a:fillRef>
        <a:effectRef idx="0">
          <a:schemeClr val="accent1"/>
        </a:effectRef>
        <a:fontRef idx="minor"/>
      </xdr:style>
    </xdr:sp>
    <xdr:clientData/>
  </xdr:twoCellAnchor>
  <xdr:twoCellAnchor editAs="absolute">
    <xdr:from>
      <xdr:col>0</xdr:col>
      <xdr:colOff>3194640</xdr:colOff>
      <xdr:row>31</xdr:row>
      <xdr:rowOff>15120</xdr:rowOff>
    </xdr:from>
    <xdr:to>
      <xdr:col>0</xdr:col>
      <xdr:colOff>4008240</xdr:colOff>
      <xdr:row>35</xdr:row>
      <xdr:rowOff>104400</xdr:rowOff>
    </xdr:to>
    <xdr:sp>
      <xdr:nvSpPr>
        <xdr:cNvPr id="48" name="Elbow Connector 206"/>
        <xdr:cNvSpPr/>
      </xdr:nvSpPr>
      <xdr:spPr>
        <a:xfrm rot="5400000">
          <a:off x="3194640" y="5739120"/>
          <a:ext cx="813240" cy="813600"/>
        </a:xfrm>
        <a:prstGeom prst="bentConnector3">
          <a:avLst>
            <a:gd name="adj1" fmla="val 50000"/>
          </a:avLst>
        </a:prstGeom>
        <a:noFill/>
        <a:ln w="0">
          <a:solidFill>
            <a:srgbClr val="4472c4"/>
          </a:solidFill>
          <a:tailEnd len="med" type="triangle" w="med"/>
        </a:ln>
      </xdr:spPr>
      <xdr:style>
        <a:lnRef idx="1">
          <a:schemeClr val="accent1"/>
        </a:lnRef>
        <a:fillRef idx="0">
          <a:schemeClr val="accent1"/>
        </a:fillRef>
        <a:effectRef idx="0">
          <a:schemeClr val="accent1"/>
        </a:effectRef>
        <a:fontRef idx="minor"/>
      </xdr:style>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12"/>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11" activeCellId="0" sqref="A11"/>
    </sheetView>
  </sheetViews>
  <sheetFormatPr defaultColWidth="8.73046875" defaultRowHeight="14.25" zeroHeight="false" outlineLevelRow="0" outlineLevelCol="0"/>
  <cols>
    <col collapsed="false" customWidth="true" hidden="false" outlineLevel="0" max="1" min="1" style="1" width="176.11"/>
  </cols>
  <sheetData>
    <row r="1" customFormat="false" ht="23.25" hidden="false" customHeight="false" outlineLevel="0" collapsed="false">
      <c r="A1" s="2" t="s">
        <v>0</v>
      </c>
    </row>
    <row r="2" customFormat="false" ht="14.25" hidden="false" customHeight="false" outlineLevel="0" collapsed="false">
      <c r="A2" s="3" t="s">
        <v>1</v>
      </c>
    </row>
    <row r="3" customFormat="false" ht="14.25" hidden="false" customHeight="false" outlineLevel="0" collapsed="false">
      <c r="A3" s="4" t="s">
        <v>2</v>
      </c>
    </row>
    <row r="4" customFormat="false" ht="14.25" hidden="false" customHeight="false" outlineLevel="0" collapsed="false">
      <c r="A4" s="3" t="s">
        <v>3</v>
      </c>
    </row>
    <row r="5" customFormat="false" ht="14.25" hidden="false" customHeight="false" outlineLevel="0" collapsed="false">
      <c r="A5" s="5" t="s">
        <v>4</v>
      </c>
    </row>
    <row r="6" customFormat="false" ht="14.25" hidden="false" customHeight="false" outlineLevel="0" collapsed="false">
      <c r="A6" s="3"/>
    </row>
    <row r="7" customFormat="false" ht="14.25" hidden="false" customHeight="false" outlineLevel="0" collapsed="false">
      <c r="A7" s="3"/>
    </row>
    <row r="8" customFormat="false" ht="14.25" hidden="false" customHeight="false" outlineLevel="0" collapsed="false">
      <c r="A8" s="5"/>
    </row>
    <row r="9" s="6" customFormat="true" ht="14.25" hidden="false" customHeight="false" outlineLevel="0" collapsed="false">
      <c r="A9" s="5"/>
    </row>
    <row r="10" customFormat="false" ht="14.25" hidden="false" customHeight="false" outlineLevel="0" collapsed="false">
      <c r="A10" s="4"/>
    </row>
    <row r="11" customFormat="false" ht="14.25" hidden="false" customHeight="false" outlineLevel="0" collapsed="false">
      <c r="A11" s="4"/>
    </row>
    <row r="12" customFormat="false" ht="14.25" hidden="false" customHeight="false" outlineLevel="0" collapsed="false">
      <c r="A12" s="4"/>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204"/>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pane xSplit="0" ySplit="1" topLeftCell="A127" activePane="bottomLeft" state="frozen"/>
      <selection pane="topLeft" activeCell="A1" activeCellId="0" sqref="A1"/>
      <selection pane="bottomLeft" activeCell="I146" activeCellId="0" sqref="I146"/>
    </sheetView>
  </sheetViews>
  <sheetFormatPr defaultColWidth="8.73046875" defaultRowHeight="14.25" zeroHeight="false" outlineLevelRow="0" outlineLevelCol="0"/>
  <cols>
    <col collapsed="false" customWidth="true" hidden="false" outlineLevel="0" max="1" min="1" style="0" width="78.12"/>
    <col collapsed="false" customWidth="true" hidden="false" outlineLevel="0" max="7" min="2" style="0" width="9"/>
    <col collapsed="false" customWidth="true" hidden="false" outlineLevel="0" max="8" min="8" style="0" width="10.45"/>
    <col collapsed="false" customWidth="true" hidden="false" outlineLevel="0" max="9" min="9" style="0" width="10.65"/>
  </cols>
  <sheetData>
    <row r="1" customFormat="false" ht="60" hidden="false" customHeight="true" outlineLevel="0" collapsed="false">
      <c r="A1" s="7" t="s">
        <v>5</v>
      </c>
      <c r="B1" s="8" t="n">
        <f aca="false">+C1-1</f>
        <v>2015</v>
      </c>
      <c r="C1" s="8" t="n">
        <f aca="false">+D1-1</f>
        <v>2016</v>
      </c>
      <c r="D1" s="8" t="n">
        <f aca="false">+E1-1</f>
        <v>2017</v>
      </c>
      <c r="E1" s="8" t="n">
        <f aca="false">+F1-1</f>
        <v>2018</v>
      </c>
      <c r="F1" s="8" t="n">
        <f aca="false">+G1-1</f>
        <v>2019</v>
      </c>
      <c r="G1" s="8" t="n">
        <f aca="false">+H1-1</f>
        <v>2020</v>
      </c>
      <c r="H1" s="8" t="n">
        <f aca="false">+I1-1</f>
        <v>2021</v>
      </c>
      <c r="I1" s="8" t="n">
        <v>2022</v>
      </c>
    </row>
    <row r="2" customFormat="false" ht="13.8" hidden="false" customHeight="false" outlineLevel="0" collapsed="false">
      <c r="A2" s="0" t="s">
        <v>6</v>
      </c>
      <c r="B2" s="9" t="n">
        <v>30601</v>
      </c>
      <c r="C2" s="9" t="n">
        <v>32376</v>
      </c>
      <c r="D2" s="9" t="n">
        <v>34350</v>
      </c>
      <c r="E2" s="9" t="n">
        <f aca="false">36397</f>
        <v>36397</v>
      </c>
      <c r="F2" s="9" t="n">
        <v>39117</v>
      </c>
      <c r="G2" s="9" t="n">
        <f aca="false">37403</f>
        <v>37403</v>
      </c>
      <c r="H2" s="9" t="n">
        <v>44538</v>
      </c>
      <c r="I2" s="9" t="n">
        <v>46710</v>
      </c>
    </row>
    <row r="3" customFormat="false" ht="13.8" hidden="false" customHeight="false" outlineLevel="0" collapsed="false">
      <c r="A3" s="10" t="s">
        <v>7</v>
      </c>
      <c r="B3" s="11" t="n">
        <v>16534</v>
      </c>
      <c r="C3" s="11" t="n">
        <v>17405</v>
      </c>
      <c r="D3" s="11" t="n">
        <v>19038</v>
      </c>
      <c r="E3" s="11" t="n">
        <v>20441</v>
      </c>
      <c r="F3" s="11" t="n">
        <v>21643</v>
      </c>
      <c r="G3" s="11" t="n">
        <v>21162</v>
      </c>
      <c r="H3" s="11" t="n">
        <v>24576</v>
      </c>
      <c r="I3" s="11" t="n">
        <v>25231</v>
      </c>
    </row>
    <row r="4" s="14" customFormat="true" ht="13.8" hidden="false" customHeight="false" outlineLevel="0" collapsed="false">
      <c r="A4" s="12" t="s">
        <v>8</v>
      </c>
      <c r="B4" s="13" t="n">
        <f aca="false">+B2-B3</f>
        <v>14067</v>
      </c>
      <c r="C4" s="13" t="n">
        <f aca="false">+C2-C3</f>
        <v>14971</v>
      </c>
      <c r="D4" s="13" t="n">
        <f aca="false">+D2-D3</f>
        <v>15312</v>
      </c>
      <c r="E4" s="13" t="n">
        <f aca="false">+E2-E3</f>
        <v>15956</v>
      </c>
      <c r="F4" s="13" t="n">
        <f aca="false">+F2-F3</f>
        <v>17474</v>
      </c>
      <c r="G4" s="13" t="n">
        <f aca="false">+G2-G3</f>
        <v>16241</v>
      </c>
      <c r="H4" s="13" t="n">
        <f aca="false">+H2-H3</f>
        <v>19962</v>
      </c>
      <c r="I4" s="13" t="n">
        <f aca="false">+I2-I3</f>
        <v>21479</v>
      </c>
    </row>
    <row r="5" customFormat="false" ht="13.8" hidden="false" customHeight="false" outlineLevel="0" collapsed="false">
      <c r="A5" s="15" t="s">
        <v>9</v>
      </c>
      <c r="B5" s="9" t="n">
        <v>3213</v>
      </c>
      <c r="C5" s="9" t="n">
        <v>3278</v>
      </c>
      <c r="D5" s="9" t="n">
        <v>3341</v>
      </c>
      <c r="E5" s="9" t="n">
        <v>3577</v>
      </c>
      <c r="F5" s="9" t="n">
        <v>3753</v>
      </c>
      <c r="G5" s="9" t="n">
        <v>3592</v>
      </c>
      <c r="H5" s="9" t="n">
        <v>3114</v>
      </c>
      <c r="I5" s="9" t="n">
        <v>3850</v>
      </c>
    </row>
    <row r="6" customFormat="false" ht="13.8" hidden="false" customHeight="false" outlineLevel="0" collapsed="false">
      <c r="A6" s="15" t="s">
        <v>10</v>
      </c>
      <c r="B6" s="9" t="n">
        <v>6679</v>
      </c>
      <c r="C6" s="9" t="n">
        <v>7191</v>
      </c>
      <c r="D6" s="9" t="n">
        <v>7222</v>
      </c>
      <c r="E6" s="9" t="n">
        <v>7934</v>
      </c>
      <c r="F6" s="9" t="n">
        <v>8949</v>
      </c>
      <c r="G6" s="9" t="n">
        <v>9534</v>
      </c>
      <c r="H6" s="9" t="n">
        <v>9911</v>
      </c>
      <c r="I6" s="9" t="n">
        <v>10954</v>
      </c>
    </row>
    <row r="7" customFormat="false" ht="13.8" hidden="false" customHeight="false" outlineLevel="0" collapsed="false">
      <c r="A7" s="16" t="s">
        <v>11</v>
      </c>
      <c r="B7" s="17" t="n">
        <f aca="false">+B5+B6</f>
        <v>9892</v>
      </c>
      <c r="C7" s="17" t="n">
        <f aca="false">+C5+C6</f>
        <v>10469</v>
      </c>
      <c r="D7" s="17" t="n">
        <f aca="false">+D5+D6</f>
        <v>10563</v>
      </c>
      <c r="E7" s="17" t="n">
        <f aca="false">+E5+E6</f>
        <v>11511</v>
      </c>
      <c r="F7" s="17" t="n">
        <f aca="false">+F5+F6</f>
        <v>12702</v>
      </c>
      <c r="G7" s="17" t="n">
        <f aca="false">+G5+G6</f>
        <v>13126</v>
      </c>
      <c r="H7" s="17" t="n">
        <f aca="false">+H5+H6</f>
        <v>13025</v>
      </c>
      <c r="I7" s="17" t="n">
        <f aca="false">+I5+I6</f>
        <v>14804</v>
      </c>
    </row>
    <row r="8" customFormat="false" ht="13.8" hidden="false" customHeight="false" outlineLevel="0" collapsed="false">
      <c r="A8" s="18" t="s">
        <v>12</v>
      </c>
      <c r="B8" s="9" t="n">
        <v>28</v>
      </c>
      <c r="C8" s="9" t="n">
        <v>19</v>
      </c>
      <c r="D8" s="9" t="n">
        <v>59</v>
      </c>
      <c r="E8" s="9" t="n">
        <v>54</v>
      </c>
      <c r="F8" s="9" t="n">
        <v>49</v>
      </c>
      <c r="G8" s="9" t="n">
        <v>89</v>
      </c>
      <c r="H8" s="9" t="n">
        <v>262</v>
      </c>
      <c r="I8" s="9" t="n">
        <v>205</v>
      </c>
    </row>
    <row r="9" customFormat="false" ht="13.8" hidden="false" customHeight="false" outlineLevel="0" collapsed="false">
      <c r="A9" s="18" t="s">
        <v>13</v>
      </c>
      <c r="B9" s="9" t="n">
        <v>-58</v>
      </c>
      <c r="C9" s="9" t="n">
        <v>-140</v>
      </c>
      <c r="D9" s="9" t="n">
        <v>-196</v>
      </c>
      <c r="E9" s="9" t="n">
        <v>66</v>
      </c>
      <c r="F9" s="9" t="n">
        <v>-78</v>
      </c>
      <c r="G9" s="9" t="n">
        <v>139</v>
      </c>
      <c r="H9" s="9" t="n">
        <v>14</v>
      </c>
      <c r="I9" s="9" t="n">
        <v>-181</v>
      </c>
    </row>
    <row r="10" customFormat="false" ht="13.8" hidden="false" customHeight="false" outlineLevel="0" collapsed="false">
      <c r="A10" s="19" t="s">
        <v>14</v>
      </c>
      <c r="B10" s="20" t="n">
        <f aca="false">+B4-B7-B8-B9</f>
        <v>4205</v>
      </c>
      <c r="C10" s="20" t="n">
        <f aca="false">+C4-C7-C8-C9</f>
        <v>4623</v>
      </c>
      <c r="D10" s="20" t="n">
        <f aca="false">+D4-D7-D8-D9</f>
        <v>4886</v>
      </c>
      <c r="E10" s="20" t="n">
        <f aca="false">+E4-E7-E8-E9</f>
        <v>4325</v>
      </c>
      <c r="F10" s="20" t="n">
        <f aca="false">+F4-F7-F8-F9</f>
        <v>4801</v>
      </c>
      <c r="G10" s="20" t="n">
        <f aca="false">+G4-G7-G8-G9</f>
        <v>2887</v>
      </c>
      <c r="H10" s="20" t="n">
        <f aca="false">+H4-H7-H8-H9</f>
        <v>6661</v>
      </c>
      <c r="I10" s="20" t="n">
        <f aca="false">+I4-I7-I8-I9</f>
        <v>6651</v>
      </c>
    </row>
    <row r="11" customFormat="false" ht="13.8" hidden="false" customHeight="false" outlineLevel="0" collapsed="false">
      <c r="A11" s="18" t="s">
        <v>15</v>
      </c>
      <c r="B11" s="9" t="n">
        <v>932</v>
      </c>
      <c r="C11" s="9" t="n">
        <v>863</v>
      </c>
      <c r="D11" s="9" t="n">
        <v>646</v>
      </c>
      <c r="E11" s="9" t="n">
        <v>2392</v>
      </c>
      <c r="F11" s="9" t="n">
        <v>772</v>
      </c>
      <c r="G11" s="9" t="n">
        <v>348</v>
      </c>
      <c r="H11" s="9" t="n">
        <v>934</v>
      </c>
      <c r="I11" s="9" t="n">
        <v>605</v>
      </c>
    </row>
    <row r="12" customFormat="false" ht="13.8" hidden="false" customHeight="false" outlineLevel="0" collapsed="false">
      <c r="A12" s="21" t="s">
        <v>16</v>
      </c>
      <c r="B12" s="22" t="n">
        <f aca="false">+B10-B11</f>
        <v>3273</v>
      </c>
      <c r="C12" s="22" t="n">
        <f aca="false">+C10-C11</f>
        <v>3760</v>
      </c>
      <c r="D12" s="22" t="n">
        <f aca="false">+D10-D11</f>
        <v>4240</v>
      </c>
      <c r="E12" s="22" t="n">
        <f aca="false">+E10-E11</f>
        <v>1933</v>
      </c>
      <c r="F12" s="22" t="n">
        <f aca="false">+F10-F11</f>
        <v>4029</v>
      </c>
      <c r="G12" s="22" t="n">
        <f aca="false">+G10-G11</f>
        <v>2539</v>
      </c>
      <c r="H12" s="22" t="n">
        <f aca="false">+H10-H11</f>
        <v>5727</v>
      </c>
      <c r="I12" s="22" t="n">
        <f aca="false">+I10-I11</f>
        <v>6046</v>
      </c>
    </row>
    <row r="13" customFormat="false" ht="13.8" hidden="false" customHeight="false" outlineLevel="0" collapsed="false">
      <c r="A13" s="14" t="s">
        <v>17</v>
      </c>
    </row>
    <row r="14" customFormat="false" ht="13.8" hidden="false" customHeight="false" outlineLevel="0" collapsed="false">
      <c r="A14" s="18" t="s">
        <v>18</v>
      </c>
      <c r="B14" s="0" t="n">
        <v>1.9</v>
      </c>
      <c r="C14" s="0" t="n">
        <v>2.21</v>
      </c>
      <c r="D14" s="0" t="n">
        <v>2.56</v>
      </c>
      <c r="E14" s="0" t="n">
        <v>1.19</v>
      </c>
      <c r="F14" s="0" t="n">
        <v>2.55</v>
      </c>
      <c r="G14" s="0" t="n">
        <v>1.63</v>
      </c>
      <c r="H14" s="0" t="n">
        <v>3.64</v>
      </c>
      <c r="I14" s="0" t="n">
        <v>3.83</v>
      </c>
    </row>
    <row r="15" customFormat="false" ht="13.8" hidden="false" customHeight="false" outlineLevel="0" collapsed="false">
      <c r="A15" s="18" t="s">
        <v>19</v>
      </c>
      <c r="B15" s="0" t="n">
        <v>1.85</v>
      </c>
      <c r="C15" s="0" t="n">
        <v>2.16</v>
      </c>
      <c r="D15" s="0" t="n">
        <v>2.51</v>
      </c>
      <c r="E15" s="0" t="n">
        <v>1.17</v>
      </c>
      <c r="F15" s="0" t="n">
        <v>2.49</v>
      </c>
      <c r="G15" s="0" t="n">
        <v>1.6</v>
      </c>
      <c r="H15" s="0" t="n">
        <v>3.56</v>
      </c>
      <c r="I15" s="0" t="n">
        <v>3.75</v>
      </c>
    </row>
    <row r="16" customFormat="false" ht="13.8" hidden="false" customHeight="false" outlineLevel="0" collapsed="false">
      <c r="A16" s="14" t="s">
        <v>20</v>
      </c>
    </row>
    <row r="17" customFormat="false" ht="13.8" hidden="false" customHeight="false" outlineLevel="0" collapsed="false">
      <c r="A17" s="18" t="s">
        <v>18</v>
      </c>
      <c r="B17" s="0" t="n">
        <v>1723.5</v>
      </c>
      <c r="C17" s="0" t="n">
        <v>1697.9</v>
      </c>
      <c r="D17" s="0" t="n">
        <v>1657.8</v>
      </c>
      <c r="E17" s="0" t="n">
        <v>1623.8</v>
      </c>
      <c r="F17" s="0" t="n">
        <v>1579.7</v>
      </c>
      <c r="G17" s="23" t="n">
        <v>1558.8</v>
      </c>
      <c r="H17" s="23" t="n">
        <v>1573</v>
      </c>
      <c r="I17" s="23" t="n">
        <v>1578.8</v>
      </c>
    </row>
    <row r="18" customFormat="false" ht="13.8" hidden="false" customHeight="false" outlineLevel="0" collapsed="false">
      <c r="A18" s="18" t="s">
        <v>19</v>
      </c>
      <c r="B18" s="0" t="n">
        <v>1768.8</v>
      </c>
      <c r="C18" s="0" t="n">
        <v>1742.5</v>
      </c>
      <c r="D18" s="0" t="n">
        <v>1692</v>
      </c>
      <c r="E18" s="0" t="n">
        <v>1659.1</v>
      </c>
      <c r="F18" s="0" t="n">
        <v>1618.4</v>
      </c>
      <c r="G18" s="23" t="n">
        <v>1591.6</v>
      </c>
      <c r="H18" s="23" t="n">
        <v>1609.4</v>
      </c>
      <c r="I18" s="23" t="n">
        <v>1610.8</v>
      </c>
    </row>
    <row r="20" s="24" customFormat="true" ht="14.25" hidden="false" customHeight="false" outlineLevel="0" collapsed="false">
      <c r="A20" s="24" t="s">
        <v>21</v>
      </c>
      <c r="B20" s="25" t="n">
        <f aca="false">+ROUND(((B12/B18)-B15),2)</f>
        <v>0</v>
      </c>
      <c r="C20" s="25" t="n">
        <f aca="false">+ROUND(((C12/C18)-C15),2)</f>
        <v>-0</v>
      </c>
      <c r="D20" s="25" t="n">
        <f aca="false">+ROUND(((D12/D18)-D15),2)</f>
        <v>-0</v>
      </c>
      <c r="E20" s="25" t="n">
        <f aca="false">+ROUND(((E12/E18)-E15),2)</f>
        <v>-0</v>
      </c>
      <c r="F20" s="25" t="n">
        <f aca="false">+ROUND(((F12/F18)-F15),2)</f>
        <v>-0</v>
      </c>
      <c r="G20" s="25" t="n">
        <f aca="false">+ROUND(((G12/G18)-G15),2)</f>
        <v>-0</v>
      </c>
      <c r="H20" s="25" t="n">
        <f aca="false">+ROUND(((H12/H18)-H15),2)</f>
        <v>-0</v>
      </c>
      <c r="I20" s="25" t="n">
        <f aca="false">+ROUND(((I12/I18)-I15),2)</f>
        <v>0</v>
      </c>
    </row>
    <row r="22" customFormat="false" ht="14.25" hidden="false" customHeight="false" outlineLevel="0" collapsed="false">
      <c r="A22" s="26" t="s">
        <v>22</v>
      </c>
      <c r="B22" s="26"/>
      <c r="C22" s="26"/>
      <c r="D22" s="26"/>
      <c r="E22" s="26"/>
      <c r="F22" s="26"/>
      <c r="G22" s="26"/>
      <c r="H22" s="26"/>
      <c r="I22" s="26"/>
    </row>
    <row r="23" customFormat="false" ht="14.25" hidden="false" customHeight="false" outlineLevel="0" collapsed="false">
      <c r="A23" s="14" t="s">
        <v>23</v>
      </c>
    </row>
    <row r="24" customFormat="false" ht="14.25" hidden="false" customHeight="false" outlineLevel="0" collapsed="false">
      <c r="A24" s="27" t="s">
        <v>24</v>
      </c>
      <c r="B24" s="9"/>
      <c r="C24" s="9"/>
      <c r="D24" s="9"/>
      <c r="E24" s="9"/>
      <c r="F24" s="9"/>
      <c r="G24" s="9"/>
      <c r="H24" s="9"/>
      <c r="I24" s="9"/>
    </row>
    <row r="25" customFormat="false" ht="13.8" hidden="false" customHeight="false" outlineLevel="0" collapsed="false">
      <c r="A25" s="15" t="s">
        <v>25</v>
      </c>
      <c r="B25" s="9" t="n">
        <v>3852</v>
      </c>
      <c r="C25" s="9" t="n">
        <v>3138</v>
      </c>
      <c r="D25" s="9" t="n">
        <v>3808</v>
      </c>
      <c r="E25" s="9" t="n">
        <v>4249</v>
      </c>
      <c r="F25" s="9" t="n">
        <v>4466</v>
      </c>
      <c r="G25" s="9" t="n">
        <v>8348</v>
      </c>
      <c r="H25" s="9" t="n">
        <v>9889</v>
      </c>
      <c r="I25" s="9" t="n">
        <v>8574</v>
      </c>
    </row>
    <row r="26" customFormat="false" ht="13.8" hidden="false" customHeight="false" outlineLevel="0" collapsed="false">
      <c r="A26" s="15" t="s">
        <v>26</v>
      </c>
      <c r="B26" s="9" t="n">
        <v>2072</v>
      </c>
      <c r="C26" s="9" t="n">
        <v>2319</v>
      </c>
      <c r="D26" s="9" t="n">
        <v>2371</v>
      </c>
      <c r="E26" s="9" t="n">
        <v>996</v>
      </c>
      <c r="F26" s="9" t="n">
        <v>197</v>
      </c>
      <c r="G26" s="9" t="n">
        <v>439</v>
      </c>
      <c r="H26" s="9" t="n">
        <v>3587</v>
      </c>
      <c r="I26" s="9" t="n">
        <v>4423</v>
      </c>
    </row>
    <row r="27" customFormat="false" ht="13.8" hidden="false" customHeight="false" outlineLevel="0" collapsed="false">
      <c r="A27" s="15" t="s">
        <v>27</v>
      </c>
      <c r="B27" s="9" t="n">
        <v>3358</v>
      </c>
      <c r="C27" s="9" t="n">
        <v>3241</v>
      </c>
      <c r="D27" s="9" t="n">
        <v>3677</v>
      </c>
      <c r="E27" s="9" t="n">
        <v>3498</v>
      </c>
      <c r="F27" s="9" t="n">
        <v>4272</v>
      </c>
      <c r="G27" s="9" t="n">
        <v>2749</v>
      </c>
      <c r="H27" s="9" t="n">
        <v>4463</v>
      </c>
      <c r="I27" s="9" t="n">
        <v>4667</v>
      </c>
    </row>
    <row r="28" customFormat="false" ht="13.8" hidden="false" customHeight="false" outlineLevel="0" collapsed="false">
      <c r="A28" s="15" t="s">
        <v>28</v>
      </c>
      <c r="B28" s="9" t="n">
        <v>4337</v>
      </c>
      <c r="C28" s="9" t="n">
        <v>4838</v>
      </c>
      <c r="D28" s="9" t="n">
        <v>5055</v>
      </c>
      <c r="E28" s="9" t="n">
        <v>5261</v>
      </c>
      <c r="F28" s="9" t="n">
        <v>5622</v>
      </c>
      <c r="G28" s="9" t="n">
        <v>7367</v>
      </c>
      <c r="H28" s="9" t="n">
        <v>6854</v>
      </c>
      <c r="I28" s="9" t="n">
        <v>8420</v>
      </c>
    </row>
    <row r="29" customFormat="false" ht="13.8" hidden="false" customHeight="false" outlineLevel="0" collapsed="false">
      <c r="A29" s="15" t="s">
        <v>29</v>
      </c>
      <c r="B29" s="9" t="n">
        <v>1968</v>
      </c>
      <c r="C29" s="9" t="n">
        <v>1489</v>
      </c>
      <c r="D29" s="9" t="n">
        <v>1150</v>
      </c>
      <c r="E29" s="9" t="n">
        <v>1130</v>
      </c>
      <c r="F29" s="9" t="n">
        <v>1968</v>
      </c>
      <c r="G29" s="9" t="n">
        <v>1653</v>
      </c>
      <c r="H29" s="9" t="n">
        <v>1498</v>
      </c>
      <c r="I29" s="9" t="n">
        <v>2129</v>
      </c>
    </row>
    <row r="30" customFormat="false" ht="13.8" hidden="false" customHeight="false" outlineLevel="0" collapsed="false">
      <c r="A30" s="19" t="s">
        <v>30</v>
      </c>
      <c r="B30" s="20" t="n">
        <f aca="false">+SUM(B25:B29)</f>
        <v>15587</v>
      </c>
      <c r="C30" s="20" t="n">
        <f aca="false">+SUM(C25:C29)</f>
        <v>15025</v>
      </c>
      <c r="D30" s="20" t="n">
        <f aca="false">+SUM(D25:D29)</f>
        <v>16061</v>
      </c>
      <c r="E30" s="20" t="n">
        <f aca="false">+SUM(E25:E29)</f>
        <v>15134</v>
      </c>
      <c r="F30" s="20" t="n">
        <f aca="false">+SUM(F25:F29)</f>
        <v>16525</v>
      </c>
      <c r="G30" s="20" t="n">
        <f aca="false">+SUM(G25:G29)</f>
        <v>20556</v>
      </c>
      <c r="H30" s="20" t="n">
        <f aca="false">+SUM(H25:H29)</f>
        <v>26291</v>
      </c>
      <c r="I30" s="20" t="n">
        <f aca="false">+SUM(I25:I29)</f>
        <v>28213</v>
      </c>
    </row>
    <row r="31" customFormat="false" ht="13.8" hidden="false" customHeight="false" outlineLevel="0" collapsed="false">
      <c r="A31" s="18" t="s">
        <v>31</v>
      </c>
      <c r="B31" s="9" t="n">
        <v>3011</v>
      </c>
      <c r="C31" s="9" t="n">
        <v>3520</v>
      </c>
      <c r="D31" s="9" t="n">
        <v>3989</v>
      </c>
      <c r="E31" s="9" t="n">
        <v>4454</v>
      </c>
      <c r="F31" s="9" t="n">
        <v>4744</v>
      </c>
      <c r="G31" s="9" t="n">
        <v>4866</v>
      </c>
      <c r="H31" s="9" t="n">
        <v>4904</v>
      </c>
      <c r="I31" s="9" t="n">
        <v>4791</v>
      </c>
    </row>
    <row r="32" customFormat="false" ht="13.8" hidden="false" customHeight="false" outlineLevel="0" collapsed="false">
      <c r="A32" s="18" t="s">
        <v>32</v>
      </c>
      <c r="B32" s="9" t="n">
        <v>3</v>
      </c>
      <c r="C32" s="9" t="n">
        <v>0</v>
      </c>
      <c r="D32" s="9" t="n">
        <v>0</v>
      </c>
      <c r="E32" s="9" t="n">
        <v>0</v>
      </c>
      <c r="F32" s="9" t="n">
        <v>0</v>
      </c>
      <c r="G32" s="9" t="n">
        <v>3097</v>
      </c>
      <c r="H32" s="9" t="n">
        <v>3113</v>
      </c>
      <c r="I32" s="9" t="n">
        <v>2926</v>
      </c>
    </row>
    <row r="33" customFormat="false" ht="13.8" hidden="false" customHeight="false" outlineLevel="0" collapsed="false">
      <c r="A33" s="18" t="s">
        <v>33</v>
      </c>
      <c r="B33" s="9" t="n">
        <v>281</v>
      </c>
      <c r="C33" s="9" t="n">
        <v>281</v>
      </c>
      <c r="D33" s="9" t="n">
        <v>283</v>
      </c>
      <c r="E33" s="9" t="n">
        <v>285</v>
      </c>
      <c r="F33" s="9" t="n">
        <v>283</v>
      </c>
      <c r="G33" s="9" t="n">
        <v>274</v>
      </c>
      <c r="H33" s="9" t="n">
        <v>269</v>
      </c>
      <c r="I33" s="9" t="n">
        <v>286</v>
      </c>
    </row>
    <row r="34" customFormat="false" ht="13.8" hidden="false" customHeight="false" outlineLevel="0" collapsed="false">
      <c r="A34" s="18" t="s">
        <v>34</v>
      </c>
      <c r="B34" s="9" t="n">
        <v>131</v>
      </c>
      <c r="C34" s="9" t="n">
        <v>131</v>
      </c>
      <c r="D34" s="9" t="n">
        <v>139</v>
      </c>
      <c r="E34" s="9" t="n">
        <v>154</v>
      </c>
      <c r="F34" s="9" t="n">
        <v>154</v>
      </c>
      <c r="G34" s="9" t="n">
        <v>223</v>
      </c>
      <c r="H34" s="9" t="n">
        <v>242</v>
      </c>
      <c r="I34" s="9" t="n">
        <v>284</v>
      </c>
    </row>
    <row r="35" customFormat="false" ht="13.8" hidden="false" customHeight="false" outlineLevel="0" collapsed="false">
      <c r="A35" s="18" t="s">
        <v>35</v>
      </c>
      <c r="B35" s="9" t="n">
        <v>2587</v>
      </c>
      <c r="C35" s="9" t="n">
        <v>2439</v>
      </c>
      <c r="D35" s="9" t="n">
        <v>2787</v>
      </c>
      <c r="E35" s="9" t="n">
        <v>2509</v>
      </c>
      <c r="F35" s="9" t="n">
        <v>2011</v>
      </c>
      <c r="G35" s="9" t="n">
        <v>2326</v>
      </c>
      <c r="H35" s="9" t="n">
        <v>2921</v>
      </c>
      <c r="I35" s="9" t="n">
        <v>3821</v>
      </c>
    </row>
    <row r="36" customFormat="false" ht="13.8" hidden="false" customHeight="false" outlineLevel="0" collapsed="false">
      <c r="A36" s="21" t="s">
        <v>36</v>
      </c>
      <c r="B36" s="22" t="n">
        <f aca="false">+SUM(B30:B35)</f>
        <v>21600</v>
      </c>
      <c r="C36" s="22" t="n">
        <f aca="false">+SUM(C30:C35)</f>
        <v>21396</v>
      </c>
      <c r="D36" s="22" t="n">
        <f aca="false">+SUM(D30:D35)</f>
        <v>23259</v>
      </c>
      <c r="E36" s="22" t="n">
        <f aca="false">+SUM(E30:E35)</f>
        <v>22536</v>
      </c>
      <c r="F36" s="22" t="n">
        <f aca="false">+SUM(F30:F35)</f>
        <v>23717</v>
      </c>
      <c r="G36" s="22" t="n">
        <f aca="false">+SUM(G30:G35)</f>
        <v>31342</v>
      </c>
      <c r="H36" s="22" t="n">
        <f aca="false">+SUM(H30:H35)</f>
        <v>37740</v>
      </c>
      <c r="I36" s="22" t="n">
        <f aca="false">+SUM(I30:I35)</f>
        <v>40321</v>
      </c>
    </row>
    <row r="37" customFormat="false" ht="15" hidden="false" customHeight="false" outlineLevel="0" collapsed="false">
      <c r="A37" s="14" t="s">
        <v>37</v>
      </c>
      <c r="B37" s="9"/>
      <c r="C37" s="9"/>
      <c r="D37" s="9"/>
      <c r="E37" s="9"/>
      <c r="F37" s="9"/>
      <c r="G37" s="9"/>
      <c r="H37" s="9"/>
      <c r="I37" s="9"/>
    </row>
    <row r="38" customFormat="false" ht="14.25" hidden="false" customHeight="false" outlineLevel="0" collapsed="false">
      <c r="A38" s="18" t="s">
        <v>38</v>
      </c>
      <c r="B38" s="9"/>
      <c r="C38" s="9"/>
      <c r="D38" s="9"/>
      <c r="E38" s="9"/>
      <c r="F38" s="9"/>
      <c r="G38" s="9"/>
      <c r="H38" s="9"/>
      <c r="I38" s="9"/>
    </row>
    <row r="39" customFormat="false" ht="13.8" hidden="false" customHeight="false" outlineLevel="0" collapsed="false">
      <c r="A39" s="15" t="s">
        <v>39</v>
      </c>
      <c r="B39" s="9" t="n">
        <v>107</v>
      </c>
      <c r="C39" s="9" t="n">
        <v>44</v>
      </c>
      <c r="D39" s="9" t="n">
        <v>6</v>
      </c>
      <c r="E39" s="9" t="n">
        <v>6</v>
      </c>
      <c r="F39" s="9" t="n">
        <v>6</v>
      </c>
      <c r="G39" s="9" t="n">
        <v>3</v>
      </c>
      <c r="H39" s="9" t="n">
        <v>0</v>
      </c>
      <c r="I39" s="9" t="n">
        <v>500</v>
      </c>
    </row>
    <row r="40" customFormat="false" ht="13.8" hidden="false" customHeight="false" outlineLevel="0" collapsed="false">
      <c r="A40" s="15" t="s">
        <v>40</v>
      </c>
      <c r="B40" s="9" t="n">
        <v>74</v>
      </c>
      <c r="C40" s="9" t="n">
        <v>1</v>
      </c>
      <c r="D40" s="9" t="n">
        <v>325</v>
      </c>
      <c r="E40" s="9" t="n">
        <v>336</v>
      </c>
      <c r="F40" s="9" t="n">
        <v>9</v>
      </c>
      <c r="G40" s="9" t="n">
        <v>248</v>
      </c>
      <c r="H40" s="9" t="n">
        <v>2</v>
      </c>
      <c r="I40" s="9" t="n">
        <v>10</v>
      </c>
    </row>
    <row r="41" customFormat="false" ht="13.8" hidden="false" customHeight="false" outlineLevel="0" collapsed="false">
      <c r="A41" s="15" t="s">
        <v>41</v>
      </c>
      <c r="B41" s="9" t="n">
        <v>2131</v>
      </c>
      <c r="C41" s="9" t="n">
        <v>2191</v>
      </c>
      <c r="D41" s="9" t="n">
        <v>2048</v>
      </c>
      <c r="E41" s="9" t="n">
        <v>2279</v>
      </c>
      <c r="F41" s="9" t="n">
        <v>2612</v>
      </c>
      <c r="G41" s="9" t="n">
        <v>2248</v>
      </c>
      <c r="H41" s="9" t="n">
        <v>2836</v>
      </c>
      <c r="I41" s="9" t="n">
        <v>3358</v>
      </c>
    </row>
    <row r="42" customFormat="false" ht="13.8" hidden="false" customHeight="false" outlineLevel="0" collapsed="false">
      <c r="A42" s="15" t="s">
        <v>42</v>
      </c>
      <c r="B42" s="9" t="n">
        <v>0</v>
      </c>
      <c r="C42" s="9" t="n">
        <v>0</v>
      </c>
      <c r="D42" s="9" t="n">
        <v>0</v>
      </c>
      <c r="E42" s="9" t="n">
        <v>0</v>
      </c>
      <c r="F42" s="9" t="n">
        <v>0</v>
      </c>
      <c r="G42" s="9" t="n">
        <v>445</v>
      </c>
      <c r="H42" s="9" t="n">
        <v>467</v>
      </c>
      <c r="I42" s="9" t="n">
        <v>420</v>
      </c>
    </row>
    <row r="43" customFormat="false" ht="13.8" hidden="false" customHeight="false" outlineLevel="0" collapsed="false">
      <c r="A43" s="15" t="s">
        <v>43</v>
      </c>
      <c r="B43" s="9" t="n">
        <v>3949</v>
      </c>
      <c r="C43" s="9" t="n">
        <v>3037</v>
      </c>
      <c r="D43" s="9" t="n">
        <v>3011</v>
      </c>
      <c r="E43" s="9" t="n">
        <v>3269</v>
      </c>
      <c r="F43" s="9" t="n">
        <v>5010</v>
      </c>
      <c r="G43" s="9" t="n">
        <v>5184</v>
      </c>
      <c r="H43" s="9" t="n">
        <v>6063</v>
      </c>
      <c r="I43" s="9" t="n">
        <v>6220</v>
      </c>
    </row>
    <row r="44" customFormat="false" ht="13.8" hidden="false" customHeight="false" outlineLevel="0" collapsed="false">
      <c r="A44" s="15" t="s">
        <v>44</v>
      </c>
      <c r="B44" s="9" t="n">
        <v>71</v>
      </c>
      <c r="C44" s="9" t="n">
        <v>85</v>
      </c>
      <c r="D44" s="9" t="n">
        <v>84</v>
      </c>
      <c r="E44" s="9" t="n">
        <v>150</v>
      </c>
      <c r="F44" s="9" t="n">
        <v>229</v>
      </c>
      <c r="G44" s="9" t="n">
        <v>156</v>
      </c>
      <c r="H44" s="9" t="n">
        <v>306</v>
      </c>
      <c r="I44" s="9" t="n">
        <v>222</v>
      </c>
    </row>
    <row r="45" customFormat="false" ht="13.8" hidden="false" customHeight="false" outlineLevel="0" collapsed="false">
      <c r="A45" s="19" t="s">
        <v>45</v>
      </c>
      <c r="B45" s="20" t="n">
        <f aca="false">+SUM(B39:B44)</f>
        <v>6332</v>
      </c>
      <c r="C45" s="20" t="n">
        <f aca="false">+SUM(C39:C44)</f>
        <v>5358</v>
      </c>
      <c r="D45" s="20" t="n">
        <f aca="false">+SUM(D39:D44)</f>
        <v>5474</v>
      </c>
      <c r="E45" s="20" t="n">
        <f aca="false">+SUM(E39:E44)</f>
        <v>6040</v>
      </c>
      <c r="F45" s="20" t="n">
        <f aca="false">+SUM(F39:F44)</f>
        <v>7866</v>
      </c>
      <c r="G45" s="20" t="n">
        <f aca="false">+SUM(G39:G44)</f>
        <v>8284</v>
      </c>
      <c r="H45" s="20" t="n">
        <f aca="false">+SUM(H39:H44)</f>
        <v>9674</v>
      </c>
      <c r="I45" s="20" t="n">
        <f aca="false">+SUM(I39:I44)</f>
        <v>10730</v>
      </c>
    </row>
    <row r="46" customFormat="false" ht="13.8" hidden="false" customHeight="false" outlineLevel="0" collapsed="false">
      <c r="A46" s="18" t="s">
        <v>46</v>
      </c>
      <c r="B46" s="9" t="n">
        <v>1079</v>
      </c>
      <c r="C46" s="9" t="n">
        <v>2010</v>
      </c>
      <c r="D46" s="9" t="n">
        <v>3471</v>
      </c>
      <c r="E46" s="9" t="n">
        <v>3468</v>
      </c>
      <c r="F46" s="9" t="n">
        <v>3464</v>
      </c>
      <c r="G46" s="9" t="n">
        <v>9406</v>
      </c>
      <c r="H46" s="9" t="n">
        <v>9413</v>
      </c>
      <c r="I46" s="9" t="n">
        <v>8920</v>
      </c>
    </row>
    <row r="47" customFormat="false" ht="13.8" hidden="false" customHeight="false" outlineLevel="0" collapsed="false">
      <c r="A47" s="18" t="s">
        <v>47</v>
      </c>
      <c r="B47" s="9" t="n">
        <v>3</v>
      </c>
      <c r="C47" s="9" t="n">
        <v>0</v>
      </c>
      <c r="D47" s="9" t="n">
        <v>0</v>
      </c>
      <c r="E47" s="9" t="n">
        <v>0</v>
      </c>
      <c r="F47" s="9" t="n">
        <v>0</v>
      </c>
      <c r="G47" s="9" t="n">
        <v>2913</v>
      </c>
      <c r="H47" s="9" t="n">
        <v>2931</v>
      </c>
      <c r="I47" s="9" t="n">
        <v>2777</v>
      </c>
    </row>
    <row r="48" customFormat="false" ht="13.8" hidden="false" customHeight="false" outlineLevel="0" collapsed="false">
      <c r="A48" s="18" t="s">
        <v>48</v>
      </c>
      <c r="B48" s="9" t="n">
        <v>1479</v>
      </c>
      <c r="C48" s="9" t="n">
        <v>1770</v>
      </c>
      <c r="D48" s="9" t="n">
        <v>1907</v>
      </c>
      <c r="E48" s="9" t="n">
        <v>3216</v>
      </c>
      <c r="F48" s="9" t="n">
        <v>3347</v>
      </c>
      <c r="G48" s="9" t="n">
        <v>2684</v>
      </c>
      <c r="H48" s="9" t="n">
        <v>2955</v>
      </c>
      <c r="I48" s="9" t="n">
        <v>2613</v>
      </c>
    </row>
    <row r="49" customFormat="false" ht="14.25" hidden="false" customHeight="false" outlineLevel="0" collapsed="false">
      <c r="A49" s="18" t="s">
        <v>49</v>
      </c>
      <c r="B49" s="9"/>
      <c r="C49" s="9"/>
      <c r="D49" s="9"/>
      <c r="E49" s="9"/>
      <c r="F49" s="9"/>
      <c r="G49" s="9"/>
      <c r="H49" s="9"/>
      <c r="I49" s="9"/>
    </row>
    <row r="50" customFormat="false" ht="14.25" hidden="false" customHeight="false" outlineLevel="0" collapsed="false">
      <c r="A50" s="15" t="s">
        <v>50</v>
      </c>
      <c r="B50" s="9" t="n">
        <v>0</v>
      </c>
      <c r="C50" s="9" t="n">
        <v>0</v>
      </c>
      <c r="D50" s="9" t="n">
        <v>0</v>
      </c>
      <c r="E50" s="9" t="n">
        <v>0</v>
      </c>
      <c r="F50" s="9" t="n">
        <v>0</v>
      </c>
      <c r="G50" s="9" t="n">
        <v>0</v>
      </c>
      <c r="H50" s="9" t="n">
        <v>0</v>
      </c>
      <c r="I50" s="9" t="n">
        <v>0</v>
      </c>
    </row>
    <row r="51" customFormat="false" ht="14.25" hidden="false" customHeight="false" outlineLevel="0" collapsed="false">
      <c r="A51" s="18" t="s">
        <v>51</v>
      </c>
      <c r="B51" s="9"/>
      <c r="C51" s="9"/>
      <c r="D51" s="9"/>
      <c r="E51" s="9"/>
      <c r="F51" s="9"/>
      <c r="G51" s="9"/>
      <c r="H51" s="9"/>
      <c r="I51" s="9"/>
    </row>
    <row r="52" customFormat="false" ht="14.25" hidden="false" customHeight="false" outlineLevel="0" collapsed="false">
      <c r="A52" s="15" t="s">
        <v>52</v>
      </c>
      <c r="B52" s="9"/>
      <c r="C52" s="9"/>
      <c r="D52" s="9"/>
      <c r="E52" s="9"/>
      <c r="F52" s="9"/>
      <c r="G52" s="9"/>
      <c r="H52" s="9"/>
      <c r="I52" s="9"/>
    </row>
    <row r="53" customFormat="false" ht="14.25" hidden="false" customHeight="false" outlineLevel="0" collapsed="false">
      <c r="A53" s="28" t="s">
        <v>53</v>
      </c>
      <c r="B53" s="9"/>
      <c r="C53" s="9"/>
      <c r="D53" s="9"/>
      <c r="E53" s="9"/>
      <c r="F53" s="9"/>
      <c r="G53" s="9"/>
      <c r="H53" s="9"/>
      <c r="I53" s="9"/>
    </row>
    <row r="54" customFormat="false" ht="13.8" hidden="false" customHeight="false" outlineLevel="0" collapsed="false">
      <c r="A54" s="28" t="s">
        <v>54</v>
      </c>
      <c r="B54" s="9" t="n">
        <v>3</v>
      </c>
      <c r="C54" s="9" t="n">
        <v>3</v>
      </c>
      <c r="D54" s="9" t="n">
        <v>3</v>
      </c>
      <c r="E54" s="9" t="n">
        <v>3</v>
      </c>
      <c r="F54" s="9" t="n">
        <v>3</v>
      </c>
      <c r="G54" s="9" t="n">
        <v>3</v>
      </c>
      <c r="H54" s="9" t="n">
        <v>3</v>
      </c>
      <c r="I54" s="9" t="n">
        <v>3</v>
      </c>
    </row>
    <row r="55" customFormat="false" ht="13.8" hidden="false" customHeight="false" outlineLevel="0" collapsed="false">
      <c r="A55" s="28" t="s">
        <v>55</v>
      </c>
      <c r="B55" s="9" t="n">
        <v>6773</v>
      </c>
      <c r="C55" s="9" t="n">
        <v>7786</v>
      </c>
      <c r="D55" s="9" t="n">
        <v>5710</v>
      </c>
      <c r="E55" s="9" t="n">
        <v>6384</v>
      </c>
      <c r="F55" s="9" t="n">
        <v>7163</v>
      </c>
      <c r="G55" s="9" t="n">
        <v>8299</v>
      </c>
      <c r="H55" s="9" t="n">
        <v>9965</v>
      </c>
      <c r="I55" s="9" t="n">
        <v>11484</v>
      </c>
    </row>
    <row r="56" customFormat="false" ht="13.8" hidden="false" customHeight="false" outlineLevel="0" collapsed="false">
      <c r="A56" s="28" t="s">
        <v>56</v>
      </c>
      <c r="B56" s="9" t="n">
        <v>1246</v>
      </c>
      <c r="C56" s="9" t="n">
        <v>318</v>
      </c>
      <c r="D56" s="9" t="n">
        <v>-213</v>
      </c>
      <c r="E56" s="9" t="n">
        <v>-92</v>
      </c>
      <c r="F56" s="9" t="n">
        <v>231</v>
      </c>
      <c r="G56" s="9" t="n">
        <v>-56</v>
      </c>
      <c r="H56" s="9" t="n">
        <v>-380</v>
      </c>
      <c r="I56" s="9" t="n">
        <v>318</v>
      </c>
    </row>
    <row r="57" customFormat="false" ht="13.8" hidden="false" customHeight="false" outlineLevel="0" collapsed="false">
      <c r="A57" s="28" t="s">
        <v>57</v>
      </c>
      <c r="B57" s="9" t="n">
        <v>4685</v>
      </c>
      <c r="C57" s="9" t="n">
        <v>4151</v>
      </c>
      <c r="D57" s="9" t="n">
        <v>6907</v>
      </c>
      <c r="E57" s="9" t="n">
        <v>3517</v>
      </c>
      <c r="F57" s="9" t="n">
        <v>1643</v>
      </c>
      <c r="G57" s="9" t="n">
        <v>-191</v>
      </c>
      <c r="H57" s="9" t="n">
        <v>3179</v>
      </c>
      <c r="I57" s="9" t="n">
        <v>3476</v>
      </c>
    </row>
    <row r="58" customFormat="false" ht="13.8" hidden="false" customHeight="false" outlineLevel="0" collapsed="false">
      <c r="A58" s="19" t="s">
        <v>58</v>
      </c>
      <c r="B58" s="20" t="n">
        <f aca="false">+SUM(B53:B57)</f>
        <v>12707</v>
      </c>
      <c r="C58" s="20" t="n">
        <f aca="false">+SUM(C53:C57)</f>
        <v>12258</v>
      </c>
      <c r="D58" s="20" t="n">
        <f aca="false">+SUM(D53:D57)</f>
        <v>12407</v>
      </c>
      <c r="E58" s="20" t="n">
        <f aca="false">+SUM(E53:E57)</f>
        <v>9812</v>
      </c>
      <c r="F58" s="20" t="n">
        <f aca="false">+SUM(F53:F57)</f>
        <v>9040</v>
      </c>
      <c r="G58" s="20" t="n">
        <f aca="false">+SUM(G53:G57)</f>
        <v>8055</v>
      </c>
      <c r="H58" s="20" t="n">
        <f aca="false">+SUM(H53:H57)</f>
        <v>12767</v>
      </c>
      <c r="I58" s="20" t="n">
        <f aca="false">+SUM(I53:I57)</f>
        <v>15281</v>
      </c>
    </row>
    <row r="59" customFormat="false" ht="15" hidden="false" customHeight="false" outlineLevel="0" collapsed="false">
      <c r="A59" s="21" t="s">
        <v>59</v>
      </c>
      <c r="B59" s="22" t="n">
        <f aca="false">+SUM(B45:B50)+B58</f>
        <v>21600</v>
      </c>
      <c r="C59" s="22" t="n">
        <f aca="false">+SUM(C45:C50)+C58</f>
        <v>21396</v>
      </c>
      <c r="D59" s="22" t="n">
        <f aca="false">+SUM(D45:D50)+D58</f>
        <v>23259</v>
      </c>
      <c r="E59" s="22" t="n">
        <f aca="false">+SUM(E45:E50)+E58</f>
        <v>22536</v>
      </c>
      <c r="F59" s="22" t="n">
        <f aca="false">+SUM(F45:F50)+F58</f>
        <v>23717</v>
      </c>
      <c r="G59" s="22" t="n">
        <f aca="false">+SUM(G45:G50)+G58</f>
        <v>31342</v>
      </c>
      <c r="H59" s="22" t="n">
        <f aca="false">+SUM(H45:H50)+H58</f>
        <v>37740</v>
      </c>
      <c r="I59" s="22" t="n">
        <f aca="false">+SUM(I45:I50)+I58</f>
        <v>40321</v>
      </c>
    </row>
    <row r="60" s="24" customFormat="true" ht="15" hidden="false" customHeight="false" outlineLevel="0" collapsed="false">
      <c r="A60" s="24" t="s">
        <v>60</v>
      </c>
      <c r="B60" s="25" t="n">
        <f aca="false">+B59-B36</f>
        <v>0</v>
      </c>
      <c r="C60" s="25" t="n">
        <f aca="false">+C59-C36</f>
        <v>0</v>
      </c>
      <c r="D60" s="25" t="n">
        <f aca="false">+D59-D36</f>
        <v>0</v>
      </c>
      <c r="E60" s="25" t="n">
        <f aca="false">+E59-E36</f>
        <v>0</v>
      </c>
      <c r="F60" s="25" t="n">
        <f aca="false">+F59-F36</f>
        <v>0</v>
      </c>
      <c r="G60" s="25" t="n">
        <f aca="false">+G59-G36</f>
        <v>0</v>
      </c>
      <c r="H60" s="25" t="n">
        <f aca="false">+H59-H36</f>
        <v>0</v>
      </c>
      <c r="I60" s="25" t="n">
        <f aca="false">+I59-I36</f>
        <v>0</v>
      </c>
    </row>
    <row r="61" customFormat="false" ht="14.25" hidden="false" customHeight="false" outlineLevel="0" collapsed="false">
      <c r="A61" s="26" t="s">
        <v>61</v>
      </c>
      <c r="B61" s="26"/>
      <c r="C61" s="26"/>
      <c r="D61" s="26"/>
      <c r="E61" s="26"/>
      <c r="F61" s="26"/>
      <c r="G61" s="26"/>
      <c r="H61" s="26"/>
      <c r="I61" s="26"/>
    </row>
    <row r="62" customFormat="false" ht="14.25" hidden="false" customHeight="false" outlineLevel="0" collapsed="false">
      <c r="A62" s="0" t="s">
        <v>62</v>
      </c>
    </row>
    <row r="63" customFormat="false" ht="14.25" hidden="false" customHeight="false" outlineLevel="0" collapsed="false">
      <c r="A63" s="14" t="s">
        <v>63</v>
      </c>
    </row>
    <row r="64" s="14" customFormat="true" ht="13.8" hidden="false" customHeight="false" outlineLevel="0" collapsed="false">
      <c r="A64" s="27" t="s">
        <v>64</v>
      </c>
      <c r="B64" s="13" t="n">
        <v>3273</v>
      </c>
      <c r="C64" s="13" t="n">
        <v>3760</v>
      </c>
      <c r="D64" s="13" t="n">
        <v>4240</v>
      </c>
      <c r="E64" s="13" t="n">
        <v>1933</v>
      </c>
      <c r="F64" s="13" t="n">
        <v>4029</v>
      </c>
      <c r="G64" s="13" t="n">
        <v>2539</v>
      </c>
      <c r="H64" s="13" t="n">
        <f aca="false">+H12</f>
        <v>5727</v>
      </c>
      <c r="I64" s="13" t="n">
        <f aca="false">+I12</f>
        <v>6046</v>
      </c>
    </row>
    <row r="65" s="14" customFormat="true" ht="13.8" hidden="false" customHeight="false" outlineLevel="0" collapsed="false">
      <c r="A65" s="18" t="s">
        <v>65</v>
      </c>
      <c r="B65" s="9"/>
      <c r="C65" s="9"/>
      <c r="D65" s="9"/>
      <c r="E65" s="9"/>
      <c r="F65" s="9"/>
      <c r="G65" s="9"/>
      <c r="H65" s="9"/>
      <c r="I65" s="9"/>
    </row>
    <row r="66" s="6" customFormat="true" ht="13.8" hidden="false" customHeight="false" outlineLevel="0" collapsed="false">
      <c r="A66" s="15" t="s">
        <v>66</v>
      </c>
      <c r="B66" s="9" t="n">
        <v>606</v>
      </c>
      <c r="C66" s="9" t="n">
        <v>649</v>
      </c>
      <c r="D66" s="9" t="n">
        <v>706</v>
      </c>
      <c r="E66" s="9" t="n">
        <v>747</v>
      </c>
      <c r="F66" s="9" t="n">
        <v>705</v>
      </c>
      <c r="G66" s="9" t="n">
        <v>721</v>
      </c>
      <c r="H66" s="9" t="n">
        <v>744</v>
      </c>
      <c r="I66" s="9" t="n">
        <v>717</v>
      </c>
    </row>
    <row r="67" s="6" customFormat="true" ht="13.8" hidden="false" customHeight="false" outlineLevel="0" collapsed="false">
      <c r="A67" s="15" t="s">
        <v>67</v>
      </c>
      <c r="B67" s="9" t="n">
        <v>-113</v>
      </c>
      <c r="C67" s="9" t="n">
        <v>-80</v>
      </c>
      <c r="D67" s="9" t="n">
        <v>-273</v>
      </c>
      <c r="E67" s="9" t="n">
        <v>647</v>
      </c>
      <c r="F67" s="9" t="n">
        <v>34</v>
      </c>
      <c r="G67" s="9" t="n">
        <v>-380</v>
      </c>
      <c r="H67" s="9" t="n">
        <v>-385</v>
      </c>
      <c r="I67" s="9" t="n">
        <v>-650</v>
      </c>
    </row>
    <row r="68" s="6" customFormat="true" ht="13.8" hidden="false" customHeight="false" outlineLevel="0" collapsed="false">
      <c r="A68" s="15" t="s">
        <v>68</v>
      </c>
      <c r="B68" s="9" t="n">
        <v>191</v>
      </c>
      <c r="C68" s="9" t="n">
        <v>236</v>
      </c>
      <c r="D68" s="9" t="n">
        <v>215</v>
      </c>
      <c r="E68" s="9" t="n">
        <v>218</v>
      </c>
      <c r="F68" s="9" t="n">
        <v>325</v>
      </c>
      <c r="G68" s="9" t="n">
        <v>429</v>
      </c>
      <c r="H68" s="9" t="n">
        <v>611</v>
      </c>
      <c r="I68" s="9" t="n">
        <v>638</v>
      </c>
    </row>
    <row r="69" s="6" customFormat="true" ht="13.8" hidden="false" customHeight="false" outlineLevel="0" collapsed="false">
      <c r="A69" s="15" t="s">
        <v>69</v>
      </c>
      <c r="B69" s="9" t="n">
        <v>43</v>
      </c>
      <c r="C69" s="9" t="n">
        <v>13</v>
      </c>
      <c r="D69" s="9" t="n">
        <v>10</v>
      </c>
      <c r="E69" s="9" t="n">
        <v>27</v>
      </c>
      <c r="F69" s="9" t="n">
        <v>15</v>
      </c>
      <c r="G69" s="9" t="n">
        <v>398</v>
      </c>
      <c r="H69" s="9" t="n">
        <v>53</v>
      </c>
      <c r="I69" s="9" t="n">
        <v>123</v>
      </c>
    </row>
    <row r="70" s="6" customFormat="true" ht="13.8" hidden="false" customHeight="false" outlineLevel="0" collapsed="false">
      <c r="A70" s="15" t="s">
        <v>70</v>
      </c>
      <c r="B70" s="9" t="n">
        <v>424</v>
      </c>
      <c r="C70" s="9" t="n">
        <v>98</v>
      </c>
      <c r="D70" s="9" t="n">
        <v>-117</v>
      </c>
      <c r="E70" s="9" t="n">
        <v>-99</v>
      </c>
      <c r="F70" s="9" t="n">
        <v>233</v>
      </c>
      <c r="G70" s="9" t="n">
        <v>23</v>
      </c>
      <c r="H70" s="9" t="n">
        <v>-138</v>
      </c>
      <c r="I70" s="9" t="n">
        <v>-26</v>
      </c>
    </row>
    <row r="71" s="6" customFormat="true" ht="13.8" hidden="false" customHeight="false" outlineLevel="0" collapsed="false">
      <c r="A71" s="18" t="s">
        <v>71</v>
      </c>
      <c r="B71" s="9"/>
      <c r="C71" s="9"/>
      <c r="D71" s="9"/>
      <c r="E71" s="9"/>
      <c r="F71" s="9"/>
      <c r="G71" s="9"/>
      <c r="H71" s="9"/>
      <c r="I71" s="9"/>
    </row>
    <row r="72" s="6" customFormat="true" ht="13.8" hidden="false" customHeight="false" outlineLevel="0" collapsed="false">
      <c r="A72" s="15" t="s">
        <v>72</v>
      </c>
      <c r="B72" s="9" t="n">
        <v>-216</v>
      </c>
      <c r="C72" s="9" t="n">
        <v>60</v>
      </c>
      <c r="D72" s="9" t="n">
        <v>-426</v>
      </c>
      <c r="E72" s="9" t="n">
        <v>187</v>
      </c>
      <c r="F72" s="9" t="n">
        <v>-270</v>
      </c>
      <c r="G72" s="9" t="n">
        <v>1239</v>
      </c>
      <c r="H72" s="9" t="n">
        <v>-1606</v>
      </c>
      <c r="I72" s="9" t="n">
        <v>-504</v>
      </c>
    </row>
    <row r="73" s="6" customFormat="true" ht="13.8" hidden="false" customHeight="false" outlineLevel="0" collapsed="false">
      <c r="A73" s="15" t="s">
        <v>73</v>
      </c>
      <c r="B73" s="9" t="n">
        <v>-621</v>
      </c>
      <c r="C73" s="9" t="n">
        <v>-590</v>
      </c>
      <c r="D73" s="9" t="n">
        <v>-231</v>
      </c>
      <c r="E73" s="9" t="n">
        <v>-255</v>
      </c>
      <c r="F73" s="9" t="n">
        <v>-490</v>
      </c>
      <c r="G73" s="9" t="n">
        <v>-1854</v>
      </c>
      <c r="H73" s="9" t="n">
        <v>507</v>
      </c>
      <c r="I73" s="9" t="n">
        <v>-1676</v>
      </c>
    </row>
    <row r="74" s="6" customFormat="true" ht="13.8" hidden="false" customHeight="false" outlineLevel="0" collapsed="false">
      <c r="A74" s="15" t="s">
        <v>74</v>
      </c>
      <c r="B74" s="9" t="n">
        <v>-144</v>
      </c>
      <c r="C74" s="9" t="n">
        <v>-161</v>
      </c>
      <c r="D74" s="9" t="n">
        <v>-120</v>
      </c>
      <c r="E74" s="9" t="n">
        <v>35</v>
      </c>
      <c r="F74" s="9" t="n">
        <v>-203</v>
      </c>
      <c r="G74" s="9" t="n">
        <v>-654</v>
      </c>
      <c r="H74" s="9" t="n">
        <v>-182</v>
      </c>
      <c r="I74" s="9" t="n">
        <v>-845</v>
      </c>
    </row>
    <row r="75" s="6" customFormat="true" ht="13.8" hidden="false" customHeight="false" outlineLevel="0" collapsed="false">
      <c r="A75" s="15" t="s">
        <v>75</v>
      </c>
      <c r="B75" s="9" t="n">
        <v>1237</v>
      </c>
      <c r="C75" s="9" t="n">
        <v>-889</v>
      </c>
      <c r="D75" s="9" t="n">
        <v>-158</v>
      </c>
      <c r="E75" s="9" t="n">
        <v>1515</v>
      </c>
      <c r="F75" s="9" t="n">
        <v>1525</v>
      </c>
      <c r="G75" s="9" t="n">
        <v>24</v>
      </c>
      <c r="H75" s="9" t="n">
        <v>1326</v>
      </c>
      <c r="I75" s="9" t="n">
        <v>1365</v>
      </c>
    </row>
    <row r="76" s="6" customFormat="true" ht="13.8" hidden="false" customHeight="false" outlineLevel="0" collapsed="false">
      <c r="A76" s="29" t="s">
        <v>76</v>
      </c>
      <c r="B76" s="30" t="n">
        <f aca="false">+SUM(B64:B75)</f>
        <v>4680</v>
      </c>
      <c r="C76" s="30" t="n">
        <f aca="false">+SUM(C64:C75)</f>
        <v>3096</v>
      </c>
      <c r="D76" s="30" t="n">
        <f aca="false">+SUM(D64:D75)</f>
        <v>3846</v>
      </c>
      <c r="E76" s="30" t="n">
        <f aca="false">+SUM(E64:E75)</f>
        <v>4955</v>
      </c>
      <c r="F76" s="30" t="n">
        <f aca="false">+SUM(F64:F75)</f>
        <v>5903</v>
      </c>
      <c r="G76" s="30" t="n">
        <f aca="false">+SUM(G64:G75)</f>
        <v>2485</v>
      </c>
      <c r="H76" s="30" t="n">
        <f aca="false">+SUM(H64:H75)</f>
        <v>6657</v>
      </c>
      <c r="I76" s="30" t="n">
        <f aca="false">+SUM(I64:I75)</f>
        <v>5188</v>
      </c>
    </row>
    <row r="77" s="6" customFormat="true" ht="14.25" hidden="false" customHeight="false" outlineLevel="0" collapsed="false">
      <c r="A77" s="14" t="s">
        <v>77</v>
      </c>
      <c r="B77" s="9"/>
      <c r="C77" s="9"/>
      <c r="D77" s="9"/>
      <c r="E77" s="9"/>
      <c r="F77" s="9"/>
      <c r="G77" s="9"/>
      <c r="H77" s="9"/>
      <c r="I77" s="9"/>
    </row>
    <row r="78" s="6" customFormat="true" ht="13.8" hidden="false" customHeight="false" outlineLevel="0" collapsed="false">
      <c r="A78" s="18" t="s">
        <v>78</v>
      </c>
      <c r="B78" s="9" t="n">
        <v>-4936</v>
      </c>
      <c r="C78" s="9" t="n">
        <v>-5367</v>
      </c>
      <c r="D78" s="9" t="n">
        <v>-5928</v>
      </c>
      <c r="E78" s="9" t="n">
        <v>-4783</v>
      </c>
      <c r="F78" s="9" t="n">
        <v>-2937</v>
      </c>
      <c r="G78" s="9" t="n">
        <v>-2426</v>
      </c>
      <c r="H78" s="9" t="n">
        <v>-9961</v>
      </c>
      <c r="I78" s="9" t="n">
        <v>-12913</v>
      </c>
    </row>
    <row r="79" s="6" customFormat="true" ht="13.8" hidden="false" customHeight="false" outlineLevel="0" collapsed="false">
      <c r="A79" s="18" t="s">
        <v>79</v>
      </c>
      <c r="B79" s="9" t="n">
        <v>3655</v>
      </c>
      <c r="C79" s="9" t="n">
        <v>2924</v>
      </c>
      <c r="D79" s="9" t="n">
        <v>3623</v>
      </c>
      <c r="E79" s="9" t="n">
        <v>3613</v>
      </c>
      <c r="F79" s="9" t="n">
        <v>1715</v>
      </c>
      <c r="G79" s="9" t="n">
        <v>74</v>
      </c>
      <c r="H79" s="9" t="n">
        <v>4236</v>
      </c>
      <c r="I79" s="9" t="n">
        <v>8199</v>
      </c>
    </row>
    <row r="80" s="6" customFormat="true" ht="13.8" hidden="false" customHeight="false" outlineLevel="0" collapsed="false">
      <c r="A80" s="18" t="s">
        <v>80</v>
      </c>
      <c r="B80" s="9" t="n">
        <v>2216</v>
      </c>
      <c r="C80" s="9" t="n">
        <v>2386</v>
      </c>
      <c r="D80" s="9" t="n">
        <v>2423</v>
      </c>
      <c r="E80" s="9" t="n">
        <v>2496</v>
      </c>
      <c r="F80" s="9" t="n">
        <v>2072</v>
      </c>
      <c r="G80" s="9" t="n">
        <v>2379</v>
      </c>
      <c r="H80" s="9" t="n">
        <v>2449</v>
      </c>
      <c r="I80" s="9" t="n">
        <v>3967</v>
      </c>
    </row>
    <row r="81" s="6" customFormat="true" ht="13.8" hidden="false" customHeight="false" outlineLevel="0" collapsed="false">
      <c r="A81" s="18" t="s">
        <v>81</v>
      </c>
      <c r="B81" s="9" t="n">
        <v>-960</v>
      </c>
      <c r="C81" s="9" t="n">
        <v>-1133</v>
      </c>
      <c r="D81" s="9" t="n">
        <v>-1092</v>
      </c>
      <c r="E81" s="9" t="n">
        <v>-1025</v>
      </c>
      <c r="F81" s="9" t="n">
        <v>-1119</v>
      </c>
      <c r="G81" s="9" t="n">
        <v>-1086</v>
      </c>
      <c r="H81" s="9" t="n">
        <v>-695</v>
      </c>
      <c r="I81" s="9" t="n">
        <v>-758</v>
      </c>
    </row>
    <row r="82" s="6" customFormat="true" ht="13.8" hidden="false" customHeight="false" outlineLevel="0" collapsed="false">
      <c r="A82" s="18" t="s">
        <v>82</v>
      </c>
      <c r="B82" s="9" t="n">
        <v>-150</v>
      </c>
      <c r="C82" s="9" t="n">
        <v>156</v>
      </c>
      <c r="D82" s="9" t="n">
        <v>-34</v>
      </c>
      <c r="E82" s="9" t="n">
        <v>-25</v>
      </c>
      <c r="F82" s="9" t="n">
        <v>5</v>
      </c>
      <c r="G82" s="9" t="n">
        <v>31</v>
      </c>
      <c r="H82" s="9" t="n">
        <v>171</v>
      </c>
      <c r="I82" s="9" t="n">
        <v>-19</v>
      </c>
    </row>
    <row r="83" s="6" customFormat="true" ht="13.8" hidden="false" customHeight="false" outlineLevel="0" collapsed="false">
      <c r="A83" s="31" t="s">
        <v>83</v>
      </c>
      <c r="B83" s="30" t="n">
        <f aca="false">+SUM(B78:B82)</f>
        <v>-175</v>
      </c>
      <c r="C83" s="30" t="n">
        <f aca="false">+SUM(C78:C82)</f>
        <v>-1034</v>
      </c>
      <c r="D83" s="30" t="n">
        <f aca="false">+SUM(D78:D82)</f>
        <v>-1008</v>
      </c>
      <c r="E83" s="30" t="n">
        <f aca="false">+SUM(E78:E82)</f>
        <v>276</v>
      </c>
      <c r="F83" s="30" t="n">
        <f aca="false">+SUM(F78:F82)</f>
        <v>-264</v>
      </c>
      <c r="G83" s="30" t="n">
        <f aca="false">+SUM(G78:G82)</f>
        <v>-1028</v>
      </c>
      <c r="H83" s="30" t="n">
        <f aca="false">+SUM(H78:H82)</f>
        <v>-3800</v>
      </c>
      <c r="I83" s="30" t="n">
        <f aca="false">+SUM(I78:I82)</f>
        <v>-1524</v>
      </c>
    </row>
    <row r="84" s="6" customFormat="true" ht="14.25" hidden="false" customHeight="false" outlineLevel="0" collapsed="false">
      <c r="A84" s="14" t="s">
        <v>84</v>
      </c>
      <c r="B84" s="9"/>
      <c r="C84" s="9"/>
      <c r="D84" s="9"/>
      <c r="E84" s="9"/>
      <c r="F84" s="9"/>
      <c r="G84" s="9"/>
      <c r="H84" s="9"/>
      <c r="I84" s="9"/>
    </row>
    <row r="85" s="6" customFormat="true" ht="13.8" hidden="false" customHeight="false" outlineLevel="0" collapsed="false">
      <c r="A85" s="18" t="s">
        <v>85</v>
      </c>
      <c r="B85" s="9" t="n">
        <v>0</v>
      </c>
      <c r="C85" s="9" t="n">
        <v>981</v>
      </c>
      <c r="D85" s="9" t="n">
        <v>1482</v>
      </c>
      <c r="E85" s="9" t="n">
        <v>0</v>
      </c>
      <c r="F85" s="9" t="n">
        <v>0</v>
      </c>
      <c r="G85" s="9" t="n">
        <v>6134</v>
      </c>
      <c r="H85" s="9" t="n">
        <v>0</v>
      </c>
      <c r="I85" s="9" t="n">
        <v>0</v>
      </c>
    </row>
    <row r="86" s="6" customFormat="true" ht="13.8" hidden="false" customHeight="false" outlineLevel="0" collapsed="false">
      <c r="A86" s="18" t="s">
        <v>86</v>
      </c>
      <c r="B86" s="9" t="n">
        <v>-63</v>
      </c>
      <c r="C86" s="9" t="n">
        <v>-67</v>
      </c>
      <c r="D86" s="9" t="n">
        <v>327</v>
      </c>
      <c r="E86" s="9" t="n">
        <v>13</v>
      </c>
      <c r="F86" s="9" t="n">
        <v>-325</v>
      </c>
      <c r="G86" s="9" t="n">
        <v>49</v>
      </c>
      <c r="H86" s="9" t="n">
        <v>-52</v>
      </c>
      <c r="I86" s="9" t="n">
        <v>15</v>
      </c>
    </row>
    <row r="87" s="6" customFormat="true" ht="13.8" hidden="false" customHeight="false" outlineLevel="0" collapsed="false">
      <c r="A87" s="18" t="s">
        <v>87</v>
      </c>
      <c r="B87" s="9" t="n">
        <v>-26</v>
      </c>
      <c r="C87" s="9" t="n">
        <v>-113</v>
      </c>
      <c r="D87" s="9" t="n">
        <v>-61</v>
      </c>
      <c r="E87" s="9" t="n">
        <v>0</v>
      </c>
      <c r="F87" s="9" t="n">
        <v>0</v>
      </c>
      <c r="G87" s="9" t="n">
        <v>0</v>
      </c>
      <c r="H87" s="9" t="n">
        <v>-197</v>
      </c>
      <c r="I87" s="9" t="n">
        <v>0</v>
      </c>
    </row>
    <row r="88" s="6" customFormat="true" ht="13.8" hidden="false" customHeight="false" outlineLevel="0" collapsed="false">
      <c r="A88" s="18" t="s">
        <v>88</v>
      </c>
      <c r="B88" s="9" t="n">
        <v>514</v>
      </c>
      <c r="C88" s="9" t="n">
        <v>507</v>
      </c>
      <c r="D88" s="9" t="n">
        <v>489</v>
      </c>
      <c r="E88" s="9" t="n">
        <v>733</v>
      </c>
      <c r="F88" s="9" t="n">
        <v>700</v>
      </c>
      <c r="G88" s="9" t="n">
        <v>885</v>
      </c>
      <c r="H88" s="9" t="n">
        <v>1172</v>
      </c>
      <c r="I88" s="9" t="n">
        <v>1151</v>
      </c>
    </row>
    <row r="89" s="6" customFormat="true" ht="13.8" hidden="false" customHeight="false" outlineLevel="0" collapsed="false">
      <c r="A89" s="18" t="s">
        <v>89</v>
      </c>
      <c r="B89" s="9" t="n">
        <v>-2534</v>
      </c>
      <c r="C89" s="9" t="n">
        <v>-3238</v>
      </c>
      <c r="D89" s="9" t="n">
        <v>-3223</v>
      </c>
      <c r="E89" s="9" t="n">
        <v>-4254</v>
      </c>
      <c r="F89" s="9" t="n">
        <v>-4286</v>
      </c>
      <c r="G89" s="9" t="n">
        <v>-3067</v>
      </c>
      <c r="H89" s="9" t="n">
        <v>-608</v>
      </c>
      <c r="I89" s="9" t="n">
        <v>-4014</v>
      </c>
    </row>
    <row r="90" s="6" customFormat="true" ht="13.8" hidden="false" customHeight="false" outlineLevel="0" collapsed="false">
      <c r="A90" s="18" t="s">
        <v>90</v>
      </c>
      <c r="B90" s="9" t="n">
        <v>-899</v>
      </c>
      <c r="C90" s="9" t="n">
        <v>-1022</v>
      </c>
      <c r="D90" s="9" t="n">
        <v>-1133</v>
      </c>
      <c r="E90" s="9" t="n">
        <v>-1243</v>
      </c>
      <c r="F90" s="9" t="n">
        <v>-1332</v>
      </c>
      <c r="G90" s="9" t="n">
        <v>-1452</v>
      </c>
      <c r="H90" s="9" t="n">
        <v>-1638</v>
      </c>
      <c r="I90" s="9" t="n">
        <v>-1837</v>
      </c>
    </row>
    <row r="91" s="6" customFormat="true" ht="13.8" hidden="false" customHeight="false" outlineLevel="0" collapsed="false">
      <c r="A91" s="18" t="s">
        <v>91</v>
      </c>
      <c r="B91" s="9" t="n">
        <v>218</v>
      </c>
      <c r="C91" s="9" t="n">
        <v>-22</v>
      </c>
      <c r="D91" s="9" t="n">
        <v>-29</v>
      </c>
      <c r="E91" s="9" t="n">
        <v>-84</v>
      </c>
      <c r="F91" s="9" t="n">
        <v>-50</v>
      </c>
      <c r="G91" s="9" t="n">
        <v>-58</v>
      </c>
      <c r="H91" s="9" t="n">
        <v>-136</v>
      </c>
      <c r="I91" s="9" t="n">
        <v>-151</v>
      </c>
    </row>
    <row r="92" s="6" customFormat="true" ht="13.8" hidden="false" customHeight="false" outlineLevel="0" collapsed="false">
      <c r="A92" s="31" t="s">
        <v>92</v>
      </c>
      <c r="B92" s="30" t="n">
        <f aca="false">+SUM(B85:B91)</f>
        <v>-2790</v>
      </c>
      <c r="C92" s="30" t="n">
        <f aca="false">+SUM(C85:C91)</f>
        <v>-2974</v>
      </c>
      <c r="D92" s="30" t="n">
        <f aca="false">+SUM(D85:D91)</f>
        <v>-2148</v>
      </c>
      <c r="E92" s="30" t="n">
        <f aca="false">+SUM(E85:E91)</f>
        <v>-4835</v>
      </c>
      <c r="F92" s="30" t="n">
        <f aca="false">+SUM(F85:F91)</f>
        <v>-5293</v>
      </c>
      <c r="G92" s="30" t="n">
        <f aca="false">+SUM(G85:G91)</f>
        <v>2491</v>
      </c>
      <c r="H92" s="30" t="n">
        <f aca="false">+SUM(H85:H91)</f>
        <v>-1459</v>
      </c>
      <c r="I92" s="30" t="n">
        <f aca="false">+SUM(I85:I91)</f>
        <v>-4836</v>
      </c>
    </row>
    <row r="93" s="6" customFormat="true" ht="13.8" hidden="false" customHeight="false" outlineLevel="0" collapsed="false">
      <c r="A93" s="18" t="s">
        <v>93</v>
      </c>
      <c r="B93" s="9" t="n">
        <v>-83</v>
      </c>
      <c r="C93" s="9" t="n">
        <v>-105</v>
      </c>
      <c r="D93" s="9" t="n">
        <v>-20</v>
      </c>
      <c r="E93" s="9" t="n">
        <v>45</v>
      </c>
      <c r="F93" s="9" t="n">
        <v>-129</v>
      </c>
      <c r="G93" s="9" t="n">
        <v>-66</v>
      </c>
      <c r="H93" s="9" t="n">
        <v>143</v>
      </c>
      <c r="I93" s="9" t="n">
        <v>-143</v>
      </c>
    </row>
    <row r="94" s="6" customFormat="true" ht="13.8" hidden="false" customHeight="false" outlineLevel="0" collapsed="false">
      <c r="A94" s="31" t="s">
        <v>94</v>
      </c>
      <c r="B94" s="30" t="n">
        <f aca="false">+B76+B83+B92+B93</f>
        <v>1632</v>
      </c>
      <c r="C94" s="30" t="n">
        <f aca="false">+C76+C83+C92+C93</f>
        <v>-1017</v>
      </c>
      <c r="D94" s="30" t="n">
        <f aca="false">+D76+D83+D92+D93</f>
        <v>670</v>
      </c>
      <c r="E94" s="30" t="n">
        <f aca="false">+E76+E83+E92+E93</f>
        <v>441</v>
      </c>
      <c r="F94" s="30" t="n">
        <f aca="false">+F76+F83+F92+F93</f>
        <v>217</v>
      </c>
      <c r="G94" s="30" t="n">
        <f aca="false">+G76+G83+G92+G93</f>
        <v>3882</v>
      </c>
      <c r="H94" s="30" t="n">
        <f aca="false">+H76+H83+H92+H93</f>
        <v>1541</v>
      </c>
      <c r="I94" s="30" t="n">
        <f aca="false">+I76+I83+I92+I93</f>
        <v>-1315</v>
      </c>
    </row>
    <row r="95" s="6" customFormat="true" ht="13.8" hidden="false" customHeight="false" outlineLevel="0" collapsed="false">
      <c r="A95" s="6" t="s">
        <v>95</v>
      </c>
      <c r="B95" s="9" t="n">
        <v>2220</v>
      </c>
      <c r="C95" s="9" t="n">
        <v>3852</v>
      </c>
      <c r="D95" s="9" t="n">
        <v>3138</v>
      </c>
      <c r="E95" s="9" t="n">
        <v>3808</v>
      </c>
      <c r="F95" s="9" t="n">
        <v>4249</v>
      </c>
      <c r="G95" s="9" t="n">
        <v>4466</v>
      </c>
      <c r="H95" s="9" t="n">
        <v>8348</v>
      </c>
      <c r="I95" s="9" t="n">
        <f aca="false">+H96</f>
        <v>9889</v>
      </c>
    </row>
    <row r="96" s="6" customFormat="true" ht="13.8" hidden="false" customHeight="false" outlineLevel="0" collapsed="false">
      <c r="A96" s="21" t="s">
        <v>96</v>
      </c>
      <c r="B96" s="22" t="n">
        <v>3852</v>
      </c>
      <c r="C96" s="22" t="n">
        <v>3138</v>
      </c>
      <c r="D96" s="22" t="n">
        <v>3808</v>
      </c>
      <c r="E96" s="22" t="n">
        <v>4249</v>
      </c>
      <c r="F96" s="22" t="n">
        <v>4466</v>
      </c>
      <c r="G96" s="22" t="n">
        <v>8348</v>
      </c>
      <c r="H96" s="22" t="n">
        <f aca="false">+H94+H95</f>
        <v>9889</v>
      </c>
      <c r="I96" s="22" t="n">
        <f aca="false">+I94+I95</f>
        <v>8574</v>
      </c>
    </row>
    <row r="97" s="24" customFormat="true" ht="15" hidden="false" customHeight="false" outlineLevel="0" collapsed="false">
      <c r="A97" s="24" t="s">
        <v>97</v>
      </c>
      <c r="B97" s="25" t="n">
        <f aca="false">+B96-B25</f>
        <v>0</v>
      </c>
      <c r="C97" s="25" t="n">
        <f aca="false">+C96-C25</f>
        <v>0</v>
      </c>
      <c r="D97" s="25" t="n">
        <f aca="false">+D96-D25</f>
        <v>0</v>
      </c>
      <c r="E97" s="25" t="n">
        <f aca="false">+E96-E25</f>
        <v>0</v>
      </c>
      <c r="F97" s="25" t="n">
        <f aca="false">+F96-F25</f>
        <v>0</v>
      </c>
      <c r="G97" s="25" t="n">
        <f aca="false">+G96-G25</f>
        <v>0</v>
      </c>
      <c r="H97" s="25" t="n">
        <f aca="false">+H96-H25</f>
        <v>0</v>
      </c>
      <c r="I97" s="25" t="n">
        <f aca="false">+I96-I25</f>
        <v>0</v>
      </c>
    </row>
    <row r="98" s="6" customFormat="true" ht="14.25" hidden="false" customHeight="false" outlineLevel="0" collapsed="false">
      <c r="A98" s="6" t="s">
        <v>98</v>
      </c>
      <c r="B98" s="9"/>
      <c r="C98" s="9"/>
      <c r="D98" s="9"/>
      <c r="E98" s="9"/>
      <c r="F98" s="9"/>
      <c r="G98" s="9"/>
      <c r="H98" s="9"/>
      <c r="I98" s="9"/>
    </row>
    <row r="99" s="6" customFormat="true" ht="14.25" hidden="false" customHeight="false" outlineLevel="0" collapsed="false">
      <c r="A99" s="18" t="s">
        <v>99</v>
      </c>
      <c r="B99" s="9"/>
      <c r="C99" s="9"/>
      <c r="D99" s="9"/>
      <c r="E99" s="9"/>
      <c r="F99" s="9"/>
      <c r="G99" s="9"/>
      <c r="H99" s="9"/>
      <c r="I99" s="9"/>
    </row>
    <row r="100" s="6" customFormat="true" ht="13.8" hidden="false" customHeight="false" outlineLevel="0" collapsed="false">
      <c r="A100" s="15" t="s">
        <v>100</v>
      </c>
      <c r="B100" s="9" t="n">
        <v>53</v>
      </c>
      <c r="C100" s="9" t="n">
        <v>70</v>
      </c>
      <c r="D100" s="9" t="n">
        <v>98</v>
      </c>
      <c r="E100" s="9" t="n">
        <v>125</v>
      </c>
      <c r="F100" s="9" t="n">
        <v>153</v>
      </c>
      <c r="G100" s="9" t="n">
        <v>140</v>
      </c>
      <c r="H100" s="9" t="n">
        <v>293</v>
      </c>
      <c r="I100" s="9" t="n">
        <v>290</v>
      </c>
    </row>
    <row r="101" s="6" customFormat="true" ht="13.8" hidden="false" customHeight="false" outlineLevel="0" collapsed="false">
      <c r="A101" s="15" t="s">
        <v>101</v>
      </c>
      <c r="B101" s="9" t="n">
        <v>1262</v>
      </c>
      <c r="C101" s="9" t="n">
        <v>748</v>
      </c>
      <c r="D101" s="9" t="n">
        <v>703</v>
      </c>
      <c r="E101" s="9" t="n">
        <v>529</v>
      </c>
      <c r="F101" s="9" t="n">
        <v>757</v>
      </c>
      <c r="G101" s="9" t="n">
        <v>1028</v>
      </c>
      <c r="H101" s="9" t="n">
        <v>1177</v>
      </c>
      <c r="I101" s="9" t="n">
        <v>1231</v>
      </c>
    </row>
    <row r="102" s="6" customFormat="true" ht="13.8" hidden="false" customHeight="false" outlineLevel="0" collapsed="false">
      <c r="A102" s="15" t="s">
        <v>102</v>
      </c>
      <c r="B102" s="9" t="n">
        <v>206</v>
      </c>
      <c r="C102" s="9" t="n">
        <v>252</v>
      </c>
      <c r="D102" s="9" t="n">
        <v>266</v>
      </c>
      <c r="E102" s="9" t="n">
        <v>294</v>
      </c>
      <c r="F102" s="9" t="n">
        <v>160</v>
      </c>
      <c r="G102" s="9" t="n">
        <v>121</v>
      </c>
      <c r="H102" s="9" t="n">
        <v>179</v>
      </c>
      <c r="I102" s="9" t="n">
        <v>160</v>
      </c>
    </row>
    <row r="103" s="6" customFormat="true" ht="13.8" hidden="false" customHeight="false" outlineLevel="0" collapsed="false">
      <c r="A103" s="15" t="s">
        <v>103</v>
      </c>
      <c r="B103" s="9" t="n">
        <v>240</v>
      </c>
      <c r="C103" s="9" t="n">
        <v>271</v>
      </c>
      <c r="D103" s="9" t="n">
        <v>300</v>
      </c>
      <c r="E103" s="9" t="n">
        <v>320</v>
      </c>
      <c r="F103" s="9" t="n">
        <v>347</v>
      </c>
      <c r="G103" s="9" t="n">
        <v>385</v>
      </c>
      <c r="H103" s="9" t="n">
        <v>438</v>
      </c>
      <c r="I103" s="9" t="n">
        <v>480</v>
      </c>
    </row>
    <row r="105" customFormat="false" ht="14.25" hidden="false" customHeight="false" outlineLevel="0" collapsed="false">
      <c r="A105" s="26" t="s">
        <v>104</v>
      </c>
      <c r="B105" s="26"/>
      <c r="C105" s="26"/>
      <c r="D105" s="26"/>
      <c r="E105" s="26"/>
      <c r="F105" s="26"/>
      <c r="G105" s="26"/>
      <c r="H105" s="26"/>
      <c r="I105" s="26"/>
    </row>
    <row r="106" customFormat="false" ht="14.25" hidden="false" customHeight="false" outlineLevel="0" collapsed="false">
      <c r="A106" s="32" t="s">
        <v>105</v>
      </c>
      <c r="B106" s="9"/>
      <c r="C106" s="9"/>
      <c r="D106" s="9"/>
      <c r="E106" s="9"/>
      <c r="F106" s="9"/>
      <c r="G106" s="9"/>
      <c r="H106" s="9"/>
      <c r="I106" s="9"/>
    </row>
    <row r="107" customFormat="false" ht="13.8" hidden="false" customHeight="false" outlineLevel="0" collapsed="false">
      <c r="A107" s="18" t="s">
        <v>106</v>
      </c>
      <c r="B107" s="9" t="n">
        <v>13740</v>
      </c>
      <c r="C107" s="9" t="n">
        <v>14764</v>
      </c>
      <c r="D107" s="9" t="n">
        <v>15216</v>
      </c>
      <c r="E107" s="9" t="n">
        <v>14855</v>
      </c>
      <c r="F107" s="9" t="n">
        <v>15902</v>
      </c>
      <c r="G107" s="9" t="n">
        <v>14484</v>
      </c>
      <c r="H107" s="9" t="n">
        <f aca="false">+SUM(H108:H110)</f>
        <v>17179</v>
      </c>
      <c r="I107" s="9" t="n">
        <f aca="false">+SUM(I108:I110)</f>
        <v>18353</v>
      </c>
    </row>
    <row r="108" customFormat="false" ht="13.8" hidden="false" customHeight="false" outlineLevel="0" collapsed="false">
      <c r="A108" s="15" t="s">
        <v>107</v>
      </c>
      <c r="B108" s="0" t="n">
        <v>8506</v>
      </c>
      <c r="C108" s="0" t="n">
        <v>9299</v>
      </c>
      <c r="D108" s="0" t="n">
        <v>9684</v>
      </c>
      <c r="E108" s="0" t="n">
        <v>9322</v>
      </c>
      <c r="F108" s="0" t="n">
        <v>10045</v>
      </c>
      <c r="G108" s="0" t="n">
        <v>9329</v>
      </c>
      <c r="H108" s="23" t="n">
        <v>11644</v>
      </c>
      <c r="I108" s="23" t="n">
        <v>12228</v>
      </c>
    </row>
    <row r="109" customFormat="false" ht="13.8" hidden="false" customHeight="false" outlineLevel="0" collapsed="false">
      <c r="A109" s="15" t="s">
        <v>108</v>
      </c>
      <c r="B109" s="0" t="n">
        <v>4410</v>
      </c>
      <c r="C109" s="0" t="n">
        <v>4746</v>
      </c>
      <c r="D109" s="0" t="n">
        <v>4886</v>
      </c>
      <c r="E109" s="0" t="n">
        <v>4938</v>
      </c>
      <c r="F109" s="0" t="n">
        <v>5260</v>
      </c>
      <c r="G109" s="0" t="n">
        <v>4639</v>
      </c>
      <c r="H109" s="23" t="n">
        <v>5028</v>
      </c>
      <c r="I109" s="23" t="n">
        <v>5492</v>
      </c>
    </row>
    <row r="110" customFormat="false" ht="13.8" hidden="false" customHeight="false" outlineLevel="0" collapsed="false">
      <c r="A110" s="15" t="s">
        <v>109</v>
      </c>
      <c r="B110" s="0" t="n">
        <v>824</v>
      </c>
      <c r="C110" s="0" t="n">
        <v>719</v>
      </c>
      <c r="D110" s="0" t="n">
        <v>646</v>
      </c>
      <c r="E110" s="0" t="n">
        <v>595</v>
      </c>
      <c r="F110" s="0" t="n">
        <v>597</v>
      </c>
      <c r="G110" s="0" t="n">
        <v>516</v>
      </c>
      <c r="H110" s="0" t="n">
        <v>507</v>
      </c>
      <c r="I110" s="0" t="n">
        <v>633</v>
      </c>
    </row>
    <row r="111" customFormat="false" ht="13.8" hidden="false" customHeight="false" outlineLevel="0" collapsed="false">
      <c r="A111" s="18" t="s">
        <v>110</v>
      </c>
      <c r="B111" s="9" t="n">
        <f aca="false">+SUM(B112:B114)</f>
        <v>7126</v>
      </c>
      <c r="C111" s="9" t="n">
        <f aca="false">+SUM(C112:C114)</f>
        <v>7568</v>
      </c>
      <c r="D111" s="9" t="n">
        <f aca="false">+SUM(D112:D114)</f>
        <v>7970</v>
      </c>
      <c r="E111" s="9" t="n">
        <f aca="false">+SUM(E112:E114)</f>
        <v>9242</v>
      </c>
      <c r="F111" s="9" t="n">
        <f aca="false">+SUM(F112:F114)</f>
        <v>9812</v>
      </c>
      <c r="G111" s="9" t="n">
        <f aca="false">+SUM(G112:G114)</f>
        <v>9347</v>
      </c>
      <c r="H111" s="9" t="n">
        <f aca="false">+SUM(H112:H114)</f>
        <v>11456</v>
      </c>
      <c r="I111" s="9" t="n">
        <f aca="false">+SUM(I112:I114)</f>
        <v>12479</v>
      </c>
    </row>
    <row r="112" customFormat="false" ht="13.8" hidden="false" customHeight="false" outlineLevel="0" collapsed="false">
      <c r="A112" s="15" t="s">
        <v>107</v>
      </c>
      <c r="B112" s="0" t="n">
        <f aca="false">3876+827</f>
        <v>4703</v>
      </c>
      <c r="C112" s="0" t="n">
        <v>5043</v>
      </c>
      <c r="D112" s="0" t="n">
        <v>5192</v>
      </c>
      <c r="E112" s="0" t="n">
        <v>5875</v>
      </c>
      <c r="F112" s="0" t="n">
        <v>6293</v>
      </c>
      <c r="G112" s="0" t="n">
        <v>5892</v>
      </c>
      <c r="H112" s="23" t="n">
        <v>6970</v>
      </c>
      <c r="I112" s="23" t="n">
        <v>7388</v>
      </c>
    </row>
    <row r="113" customFormat="false" ht="13.8" hidden="false" customHeight="false" outlineLevel="0" collapsed="false">
      <c r="A113" s="15" t="s">
        <v>108</v>
      </c>
      <c r="B113" s="0" t="n">
        <f aca="false">1552+499</f>
        <v>2051</v>
      </c>
      <c r="C113" s="0" t="n">
        <v>2149</v>
      </c>
      <c r="D113" s="0" t="n">
        <v>2395</v>
      </c>
      <c r="E113" s="0" t="n">
        <v>2940</v>
      </c>
      <c r="F113" s="0" t="n">
        <v>3087</v>
      </c>
      <c r="G113" s="0" t="n">
        <v>3053</v>
      </c>
      <c r="H113" s="23" t="n">
        <v>3996</v>
      </c>
      <c r="I113" s="23" t="n">
        <v>4527</v>
      </c>
    </row>
    <row r="114" customFormat="false" ht="13.8" hidden="false" customHeight="false" outlineLevel="0" collapsed="false">
      <c r="A114" s="15" t="s">
        <v>109</v>
      </c>
      <c r="B114" s="0" t="n">
        <f aca="false">277+95</f>
        <v>372</v>
      </c>
      <c r="C114" s="0" t="n">
        <v>376</v>
      </c>
      <c r="D114" s="0" t="n">
        <v>383</v>
      </c>
      <c r="E114" s="0" t="n">
        <v>427</v>
      </c>
      <c r="F114" s="0" t="n">
        <v>432</v>
      </c>
      <c r="G114" s="0" t="n">
        <v>402</v>
      </c>
      <c r="H114" s="0" t="n">
        <v>490</v>
      </c>
      <c r="I114" s="0" t="n">
        <v>564</v>
      </c>
    </row>
    <row r="115" customFormat="false" ht="13.8" hidden="false" customHeight="false" outlineLevel="0" collapsed="false">
      <c r="A115" s="18" t="s">
        <v>111</v>
      </c>
      <c r="B115" s="9" t="n">
        <v>3067</v>
      </c>
      <c r="C115" s="9" t="n">
        <v>3785</v>
      </c>
      <c r="D115" s="9" t="n">
        <v>4237</v>
      </c>
      <c r="E115" s="9" t="n">
        <v>5134</v>
      </c>
      <c r="F115" s="9" t="n">
        <v>6208</v>
      </c>
      <c r="G115" s="9" t="n">
        <v>6679</v>
      </c>
      <c r="H115" s="9" t="n">
        <f aca="false">+SUM(H116:H118)</f>
        <v>8290</v>
      </c>
      <c r="I115" s="9" t="n">
        <f aca="false">+SUM(I116:I118)</f>
        <v>7547</v>
      </c>
    </row>
    <row r="116" customFormat="false" ht="13.8" hidden="false" customHeight="false" outlineLevel="0" collapsed="false">
      <c r="A116" s="15" t="s">
        <v>107</v>
      </c>
      <c r="B116" s="0" t="n">
        <v>2016</v>
      </c>
      <c r="C116" s="0" t="n">
        <v>2599</v>
      </c>
      <c r="D116" s="0" t="n">
        <v>2920</v>
      </c>
      <c r="E116" s="0" t="n">
        <v>3496</v>
      </c>
      <c r="F116" s="0" t="n">
        <v>4262</v>
      </c>
      <c r="G116" s="0" t="n">
        <v>4635</v>
      </c>
      <c r="H116" s="23" t="n">
        <v>5748</v>
      </c>
      <c r="I116" s="23" t="n">
        <v>5416</v>
      </c>
    </row>
    <row r="117" customFormat="false" ht="13.8" hidden="false" customHeight="false" outlineLevel="0" collapsed="false">
      <c r="A117" s="15" t="s">
        <v>108</v>
      </c>
      <c r="B117" s="0" t="n">
        <v>925</v>
      </c>
      <c r="C117" s="0" t="n">
        <v>1055</v>
      </c>
      <c r="D117" s="0" t="n">
        <v>1188</v>
      </c>
      <c r="E117" s="0" t="n">
        <v>1508</v>
      </c>
      <c r="F117" s="0" t="n">
        <v>1808</v>
      </c>
      <c r="G117" s="0" t="n">
        <v>1896</v>
      </c>
      <c r="H117" s="23" t="n">
        <v>2347</v>
      </c>
      <c r="I117" s="23" t="n">
        <v>1938</v>
      </c>
    </row>
    <row r="118" customFormat="false" ht="13.8" hidden="false" customHeight="false" outlineLevel="0" collapsed="false">
      <c r="A118" s="15" t="s">
        <v>109</v>
      </c>
      <c r="B118" s="0" t="n">
        <v>126</v>
      </c>
      <c r="C118" s="0" t="n">
        <v>131</v>
      </c>
      <c r="D118" s="0" t="n">
        <v>129</v>
      </c>
      <c r="E118" s="0" t="n">
        <v>130</v>
      </c>
      <c r="F118" s="0" t="n">
        <v>138</v>
      </c>
      <c r="G118" s="0" t="n">
        <v>148</v>
      </c>
      <c r="H118" s="0" t="n">
        <v>195</v>
      </c>
      <c r="I118" s="0" t="n">
        <v>193</v>
      </c>
    </row>
    <row r="119" customFormat="false" ht="13.8" hidden="false" customHeight="false" outlineLevel="0" collapsed="false">
      <c r="A119" s="18" t="s">
        <v>112</v>
      </c>
      <c r="B119" s="9" t="n">
        <f aca="false">+SUM(B120:B122)</f>
        <v>4653</v>
      </c>
      <c r="C119" s="9" t="n">
        <f aca="false">+SUM(C120:C122)</f>
        <v>4317</v>
      </c>
      <c r="D119" s="9" t="n">
        <f aca="false">+SUM(D120:D122)</f>
        <v>4737</v>
      </c>
      <c r="E119" s="9" t="n">
        <f aca="false">+SUM(E120:E122)</f>
        <v>5166</v>
      </c>
      <c r="F119" s="9" t="n">
        <f aca="false">+SUM(F120:F122)</f>
        <v>5254</v>
      </c>
      <c r="G119" s="9" t="n">
        <f aca="false">+SUM(G120:G122)</f>
        <v>5028</v>
      </c>
      <c r="H119" s="9" t="n">
        <f aca="false">+SUM(H120:H122)</f>
        <v>5343</v>
      </c>
      <c r="I119" s="9" t="n">
        <f aca="false">+SUM(I120:I122)</f>
        <v>5955</v>
      </c>
    </row>
    <row r="120" customFormat="false" ht="13.8" hidden="false" customHeight="false" outlineLevel="0" collapsed="false">
      <c r="A120" s="15" t="s">
        <v>107</v>
      </c>
      <c r="B120" s="0" t="n">
        <v>3093</v>
      </c>
      <c r="C120" s="0" t="n">
        <v>2930</v>
      </c>
      <c r="D120" s="0" t="n">
        <v>3285</v>
      </c>
      <c r="E120" s="0" t="n">
        <v>3575</v>
      </c>
      <c r="F120" s="0" t="n">
        <v>3622</v>
      </c>
      <c r="G120" s="0" t="n">
        <v>3449</v>
      </c>
      <c r="H120" s="23" t="n">
        <v>3659</v>
      </c>
      <c r="I120" s="23" t="n">
        <v>4111</v>
      </c>
    </row>
    <row r="121" customFormat="false" ht="13.8" hidden="false" customHeight="false" outlineLevel="0" collapsed="false">
      <c r="A121" s="15" t="s">
        <v>108</v>
      </c>
      <c r="B121" s="0" t="n">
        <v>1251</v>
      </c>
      <c r="C121" s="0" t="n">
        <v>1117</v>
      </c>
      <c r="D121" s="0" t="n">
        <v>1185</v>
      </c>
      <c r="E121" s="0" t="n">
        <v>1347</v>
      </c>
      <c r="F121" s="0" t="n">
        <v>1395</v>
      </c>
      <c r="G121" s="0" t="n">
        <v>1365</v>
      </c>
      <c r="H121" s="23" t="n">
        <v>1494</v>
      </c>
      <c r="I121" s="23" t="n">
        <v>1610</v>
      </c>
    </row>
    <row r="122" customFormat="false" ht="13.8" hidden="false" customHeight="false" outlineLevel="0" collapsed="false">
      <c r="A122" s="15" t="s">
        <v>109</v>
      </c>
      <c r="B122" s="0" t="n">
        <v>309</v>
      </c>
      <c r="C122" s="0" t="n">
        <v>270</v>
      </c>
      <c r="D122" s="0" t="n">
        <v>267</v>
      </c>
      <c r="E122" s="0" t="n">
        <v>244</v>
      </c>
      <c r="F122" s="0" t="n">
        <v>237</v>
      </c>
      <c r="G122" s="0" t="n">
        <v>214</v>
      </c>
      <c r="H122" s="0" t="n">
        <v>190</v>
      </c>
      <c r="I122" s="0" t="n">
        <v>234</v>
      </c>
    </row>
    <row r="123" customFormat="false" ht="13.8" hidden="false" customHeight="false" outlineLevel="0" collapsed="false">
      <c r="A123" s="18" t="s">
        <v>113</v>
      </c>
      <c r="B123" s="9" t="n">
        <v>115</v>
      </c>
      <c r="C123" s="9" t="n">
        <v>73</v>
      </c>
      <c r="D123" s="9" t="n">
        <v>73</v>
      </c>
      <c r="E123" s="9" t="n">
        <v>88</v>
      </c>
      <c r="F123" s="9" t="n">
        <v>42</v>
      </c>
      <c r="G123" s="9" t="n">
        <v>30</v>
      </c>
      <c r="H123" s="9" t="n">
        <v>25</v>
      </c>
      <c r="I123" s="9" t="n">
        <v>102</v>
      </c>
    </row>
    <row r="124" customFormat="false" ht="13.8" hidden="false" customHeight="false" outlineLevel="0" collapsed="false">
      <c r="A124" s="19" t="s">
        <v>114</v>
      </c>
      <c r="B124" s="20" t="n">
        <f aca="false">+B107+B111+B115+B119+B123</f>
        <v>28701</v>
      </c>
      <c r="C124" s="20" t="n">
        <f aca="false">+C107+C111+C115+C119+C123</f>
        <v>30507</v>
      </c>
      <c r="D124" s="20" t="n">
        <f aca="false">+D107+D111+D115+D119+D123</f>
        <v>32233</v>
      </c>
      <c r="E124" s="20" t="n">
        <f aca="false">+E107+E111+E115+E119+E123</f>
        <v>34485</v>
      </c>
      <c r="F124" s="20" t="n">
        <f aca="false">+F107+F111+F115+F119+F123</f>
        <v>37218</v>
      </c>
      <c r="G124" s="20" t="n">
        <f aca="false">+G107+G111+G115+G119+G123</f>
        <v>35568</v>
      </c>
      <c r="H124" s="20" t="n">
        <f aca="false">+H107+H111+H115+H119+H123</f>
        <v>42293</v>
      </c>
      <c r="I124" s="20" t="n">
        <f aca="false">+I107+I111+I115+I119+I123</f>
        <v>44436</v>
      </c>
    </row>
    <row r="125" customFormat="false" ht="13.8" hidden="false" customHeight="false" outlineLevel="0" collapsed="false">
      <c r="A125" s="18" t="s">
        <v>115</v>
      </c>
      <c r="B125" s="9" t="n">
        <v>1982</v>
      </c>
      <c r="C125" s="9" t="n">
        <v>1955</v>
      </c>
      <c r="D125" s="9" t="n">
        <v>2042</v>
      </c>
      <c r="E125" s="9" t="n">
        <v>1886</v>
      </c>
      <c r="F125" s="9" t="n">
        <v>1906</v>
      </c>
      <c r="G125" s="9" t="n">
        <v>1846</v>
      </c>
      <c r="H125" s="9" t="n">
        <f aca="false">+SUM(H126:H129)</f>
        <v>2205</v>
      </c>
      <c r="I125" s="9" t="n">
        <f aca="false">+SUM(I126:I129)</f>
        <v>2346</v>
      </c>
    </row>
    <row r="126" customFormat="false" ht="13.8" hidden="false" customHeight="false" outlineLevel="0" collapsed="false">
      <c r="A126" s="15" t="s">
        <v>107</v>
      </c>
      <c r="B126" s="9" t="n">
        <v>18318</v>
      </c>
      <c r="C126" s="9" t="n">
        <v>19871</v>
      </c>
      <c r="D126" s="9" t="n">
        <v>21081</v>
      </c>
      <c r="E126" s="9" t="n">
        <v>22268</v>
      </c>
      <c r="F126" s="9" t="n">
        <v>25880</v>
      </c>
      <c r="G126" s="9" t="n">
        <v>24947</v>
      </c>
      <c r="H126" s="9" t="n">
        <v>1986</v>
      </c>
      <c r="I126" s="9" t="n">
        <v>2094</v>
      </c>
    </row>
    <row r="127" customFormat="false" ht="13.8" hidden="false" customHeight="false" outlineLevel="0" collapsed="false">
      <c r="A127" s="15" t="s">
        <v>108</v>
      </c>
      <c r="B127" s="9" t="n">
        <v>8637</v>
      </c>
      <c r="C127" s="9" t="n">
        <v>9067</v>
      </c>
      <c r="D127" s="9" t="n">
        <v>9654</v>
      </c>
      <c r="E127" s="9" t="n">
        <v>10733</v>
      </c>
      <c r="F127" s="9" t="n">
        <v>11668</v>
      </c>
      <c r="G127" s="9" t="n">
        <v>11042</v>
      </c>
      <c r="H127" s="9" t="n">
        <v>104</v>
      </c>
      <c r="I127" s="9" t="n">
        <v>103</v>
      </c>
    </row>
    <row r="128" customFormat="false" ht="13.8" hidden="false" customHeight="false" outlineLevel="0" collapsed="false">
      <c r="A128" s="15" t="s">
        <v>109</v>
      </c>
      <c r="B128" s="9" t="n">
        <v>1631</v>
      </c>
      <c r="C128" s="9" t="n">
        <v>1496</v>
      </c>
      <c r="D128" s="9" t="n">
        <v>1425</v>
      </c>
      <c r="E128" s="9" t="n">
        <v>1396</v>
      </c>
      <c r="F128" s="9" t="n">
        <v>1428</v>
      </c>
      <c r="G128" s="9" t="n">
        <v>1305</v>
      </c>
      <c r="H128" s="9" t="n">
        <v>29</v>
      </c>
      <c r="I128" s="9" t="n">
        <v>26</v>
      </c>
    </row>
    <row r="129" customFormat="false" ht="13.8" hidden="false" customHeight="false" outlineLevel="0" collapsed="false">
      <c r="A129" s="15" t="s">
        <v>116</v>
      </c>
      <c r="B129" s="9" t="n">
        <v>2015</v>
      </c>
      <c r="C129" s="9" t="n">
        <v>1942</v>
      </c>
      <c r="D129" s="9" t="n">
        <v>2190</v>
      </c>
      <c r="E129" s="9" t="n">
        <v>2000</v>
      </c>
      <c r="F129" s="9" t="n">
        <v>141</v>
      </c>
      <c r="G129" s="9" t="n">
        <v>109</v>
      </c>
      <c r="H129" s="9" t="n">
        <v>86</v>
      </c>
      <c r="I129" s="9" t="n">
        <v>123</v>
      </c>
    </row>
    <row r="130" customFormat="false" ht="13.8" hidden="false" customHeight="false" outlineLevel="0" collapsed="false">
      <c r="A130" s="18" t="s">
        <v>117</v>
      </c>
      <c r="B130" s="9" t="n">
        <v>-82</v>
      </c>
      <c r="C130" s="9" t="n">
        <v>-86</v>
      </c>
      <c r="D130" s="9" t="n">
        <v>75</v>
      </c>
      <c r="E130" s="9" t="n">
        <v>26</v>
      </c>
      <c r="F130" s="9" t="n">
        <v>-7</v>
      </c>
      <c r="G130" s="9" t="n">
        <v>-11</v>
      </c>
      <c r="H130" s="9" t="n">
        <v>40</v>
      </c>
      <c r="I130" s="9" t="n">
        <v>-72</v>
      </c>
    </row>
    <row r="131" customFormat="false" ht="15" hidden="false" customHeight="false" outlineLevel="0" collapsed="false">
      <c r="A131" s="21" t="s">
        <v>118</v>
      </c>
      <c r="B131" s="22" t="n">
        <f aca="false">+B124+B125+B130</f>
        <v>30601</v>
      </c>
      <c r="C131" s="22" t="n">
        <f aca="false">+C124+C125+C130</f>
        <v>32376</v>
      </c>
      <c r="D131" s="22" t="n">
        <f aca="false">+D124+D125+D130</f>
        <v>34350</v>
      </c>
      <c r="E131" s="22" t="n">
        <f aca="false">+E124+E125+E130</f>
        <v>36397</v>
      </c>
      <c r="F131" s="22" t="n">
        <f aca="false">+F124+F125+F130</f>
        <v>39117</v>
      </c>
      <c r="G131" s="22" t="n">
        <f aca="false">+G124+G125+G130</f>
        <v>37403</v>
      </c>
      <c r="H131" s="22" t="n">
        <f aca="false">+H124+H125+H130</f>
        <v>44538</v>
      </c>
      <c r="I131" s="22" t="n">
        <f aca="false">+I124+I125+I130</f>
        <v>46710</v>
      </c>
    </row>
    <row r="132" s="24" customFormat="true" ht="15" hidden="false" customHeight="false" outlineLevel="0" collapsed="false">
      <c r="A132" s="24" t="s">
        <v>119</v>
      </c>
      <c r="B132" s="25" t="n">
        <f aca="false">+I131-I2</f>
        <v>0</v>
      </c>
      <c r="C132" s="25" t="n">
        <f aca="false">+C131-C2</f>
        <v>0</v>
      </c>
      <c r="D132" s="25" t="n">
        <f aca="false">+D131-D2</f>
        <v>0</v>
      </c>
      <c r="E132" s="25" t="n">
        <f aca="false">+E131-E2</f>
        <v>0</v>
      </c>
      <c r="F132" s="25" t="n">
        <f aca="false">+F131-F2</f>
        <v>0</v>
      </c>
      <c r="G132" s="25" t="n">
        <f aca="false">+G131-G2</f>
        <v>0</v>
      </c>
      <c r="H132" s="25" t="n">
        <f aca="false">+H131-H2</f>
        <v>0</v>
      </c>
    </row>
    <row r="133" customFormat="false" ht="14.25" hidden="false" customHeight="false" outlineLevel="0" collapsed="false">
      <c r="A133" s="14" t="s">
        <v>120</v>
      </c>
    </row>
    <row r="134" customFormat="false" ht="13.8" hidden="false" customHeight="false" outlineLevel="0" collapsed="false">
      <c r="A134" s="18" t="s">
        <v>106</v>
      </c>
      <c r="B134" s="9" t="n">
        <v>3645</v>
      </c>
      <c r="C134" s="9" t="n">
        <v>3763</v>
      </c>
      <c r="D134" s="9" t="n">
        <v>3875</v>
      </c>
      <c r="E134" s="9" t="n">
        <v>3600</v>
      </c>
      <c r="F134" s="9" t="n">
        <v>3925</v>
      </c>
      <c r="G134" s="9" t="n">
        <v>2899</v>
      </c>
      <c r="H134" s="9" t="n">
        <v>5089</v>
      </c>
      <c r="I134" s="9" t="n">
        <v>5114</v>
      </c>
    </row>
    <row r="135" customFormat="false" ht="13.8" hidden="false" customHeight="false" outlineLevel="0" collapsed="false">
      <c r="A135" s="18" t="s">
        <v>110</v>
      </c>
      <c r="B135" s="9" t="n">
        <v>1524</v>
      </c>
      <c r="C135" s="9" t="n">
        <v>1787</v>
      </c>
      <c r="D135" s="9" t="n">
        <v>1507</v>
      </c>
      <c r="E135" s="9" t="n">
        <v>1587</v>
      </c>
      <c r="F135" s="9" t="n">
        <v>1995</v>
      </c>
      <c r="G135" s="9" t="n">
        <v>1541</v>
      </c>
      <c r="H135" s="9" t="n">
        <v>2435</v>
      </c>
      <c r="I135" s="9" t="n">
        <v>3293</v>
      </c>
    </row>
    <row r="136" customFormat="false" ht="13.8" hidden="false" customHeight="false" outlineLevel="0" collapsed="false">
      <c r="A136" s="18" t="s">
        <v>111</v>
      </c>
      <c r="B136" s="9" t="n">
        <v>993</v>
      </c>
      <c r="C136" s="9" t="n">
        <v>1372</v>
      </c>
      <c r="D136" s="9" t="n">
        <v>1507</v>
      </c>
      <c r="E136" s="9" t="n">
        <v>1807</v>
      </c>
      <c r="F136" s="9" t="n">
        <v>2376</v>
      </c>
      <c r="G136" s="9" t="n">
        <v>2490</v>
      </c>
      <c r="H136" s="9" t="n">
        <v>3243</v>
      </c>
      <c r="I136" s="9" t="n">
        <v>2365</v>
      </c>
    </row>
    <row r="137" customFormat="false" ht="13.8" hidden="false" customHeight="false" outlineLevel="0" collapsed="false">
      <c r="A137" s="18" t="s">
        <v>112</v>
      </c>
      <c r="B137" s="9" t="n">
        <v>918</v>
      </c>
      <c r="C137" s="9" t="n">
        <v>1002</v>
      </c>
      <c r="D137" s="9" t="n">
        <v>980</v>
      </c>
      <c r="E137" s="9" t="n">
        <v>1189</v>
      </c>
      <c r="F137" s="9" t="n">
        <v>1323</v>
      </c>
      <c r="G137" s="9" t="n">
        <v>1184</v>
      </c>
      <c r="H137" s="9" t="n">
        <v>1530</v>
      </c>
      <c r="I137" s="9" t="n">
        <v>1896</v>
      </c>
    </row>
    <row r="138" customFormat="false" ht="13.8" hidden="false" customHeight="false" outlineLevel="0" collapsed="false">
      <c r="A138" s="18" t="s">
        <v>113</v>
      </c>
      <c r="B138" s="9" t="n">
        <v>-2267</v>
      </c>
      <c r="C138" s="9" t="n">
        <v>-2596</v>
      </c>
      <c r="D138" s="9" t="n">
        <v>-2677</v>
      </c>
      <c r="E138" s="9" t="n">
        <v>-2658</v>
      </c>
      <c r="F138" s="9" t="n">
        <v>-3262</v>
      </c>
      <c r="G138" s="9" t="n">
        <v>-3468</v>
      </c>
      <c r="H138" s="9" t="n">
        <v>-3656</v>
      </c>
      <c r="I138" s="9" t="n">
        <v>-4262</v>
      </c>
    </row>
    <row r="139" customFormat="false" ht="13.8" hidden="false" customHeight="false" outlineLevel="0" collapsed="false">
      <c r="A139" s="19" t="s">
        <v>114</v>
      </c>
      <c r="B139" s="20" t="n">
        <f aca="false">+SUM(B134:B138)</f>
        <v>4813</v>
      </c>
      <c r="C139" s="20" t="n">
        <f aca="false">+SUM(C134:C138)</f>
        <v>5328</v>
      </c>
      <c r="D139" s="20" t="n">
        <f aca="false">+SUM(D134:D138)</f>
        <v>5192</v>
      </c>
      <c r="E139" s="20" t="n">
        <f aca="false">+SUM(E134:E138)</f>
        <v>5525</v>
      </c>
      <c r="F139" s="20" t="n">
        <f aca="false">+SUM(F134:F138)</f>
        <v>6357</v>
      </c>
      <c r="G139" s="20" t="n">
        <f aca="false">+SUM(G134:G138)</f>
        <v>4646</v>
      </c>
      <c r="H139" s="20" t="n">
        <f aca="false">+SUM(H134:H138)</f>
        <v>8641</v>
      </c>
      <c r="I139" s="20" t="n">
        <f aca="false">+SUM(I134:I138)</f>
        <v>8406</v>
      </c>
    </row>
    <row r="140" customFormat="false" ht="13.8" hidden="false" customHeight="false" outlineLevel="0" collapsed="false">
      <c r="A140" s="18" t="s">
        <v>115</v>
      </c>
      <c r="B140" s="9" t="n">
        <v>517</v>
      </c>
      <c r="C140" s="9" t="n">
        <v>487</v>
      </c>
      <c r="D140" s="9" t="n">
        <v>477</v>
      </c>
      <c r="E140" s="9" t="n">
        <v>310</v>
      </c>
      <c r="F140" s="9" t="n">
        <v>303</v>
      </c>
      <c r="G140" s="9" t="n">
        <v>297</v>
      </c>
      <c r="H140" s="9" t="n">
        <v>543</v>
      </c>
      <c r="I140" s="9" t="n">
        <v>669</v>
      </c>
    </row>
    <row r="141" customFormat="false" ht="13.8" hidden="false" customHeight="false" outlineLevel="0" collapsed="false">
      <c r="A141" s="18" t="s">
        <v>117</v>
      </c>
      <c r="B141" s="9" t="n">
        <v>-1097</v>
      </c>
      <c r="C141" s="9" t="n">
        <v>-1173</v>
      </c>
      <c r="D141" s="9" t="n">
        <v>-724</v>
      </c>
      <c r="E141" s="9" t="n">
        <v>-1456</v>
      </c>
      <c r="F141" s="9" t="n">
        <v>-1810</v>
      </c>
      <c r="G141" s="9" t="n">
        <v>-1967</v>
      </c>
      <c r="H141" s="9" t="n">
        <v>-2261</v>
      </c>
      <c r="I141" s="9" t="n">
        <v>-2219</v>
      </c>
    </row>
    <row r="142" customFormat="false" ht="15" hidden="false" customHeight="false" outlineLevel="0" collapsed="false">
      <c r="A142" s="21" t="s">
        <v>121</v>
      </c>
      <c r="B142" s="22" t="n">
        <f aca="false">+SUM(B139:B141)</f>
        <v>4233</v>
      </c>
      <c r="C142" s="22" t="n">
        <f aca="false">+SUM(C139:C141)</f>
        <v>4642</v>
      </c>
      <c r="D142" s="22" t="n">
        <f aca="false">+SUM(D139:D141)</f>
        <v>4945</v>
      </c>
      <c r="E142" s="22" t="n">
        <f aca="false">+SUM(E139:E141)</f>
        <v>4379</v>
      </c>
      <c r="F142" s="22" t="n">
        <f aca="false">+SUM(F139:F141)</f>
        <v>4850</v>
      </c>
      <c r="G142" s="22" t="n">
        <f aca="false">+SUM(G139:G141)</f>
        <v>2976</v>
      </c>
      <c r="H142" s="22" t="n">
        <f aca="false">+SUM(H139:H141)</f>
        <v>6923</v>
      </c>
      <c r="I142" s="22" t="n">
        <f aca="false">+SUM(I139:I141)</f>
        <v>6856</v>
      </c>
    </row>
    <row r="143" s="24" customFormat="true" ht="15" hidden="false" customHeight="false" outlineLevel="0" collapsed="false">
      <c r="A143" s="24" t="s">
        <v>119</v>
      </c>
      <c r="B143" s="25" t="n">
        <f aca="false">+B142-B10-B8</f>
        <v>0</v>
      </c>
      <c r="C143" s="25" t="n">
        <f aca="false">+C142-C10-C8</f>
        <v>0</v>
      </c>
      <c r="D143" s="25" t="n">
        <f aca="false">+D142-D10-D8</f>
        <v>0</v>
      </c>
      <c r="E143" s="25" t="n">
        <f aca="false">+E142-E10-E8</f>
        <v>0</v>
      </c>
      <c r="F143" s="25" t="n">
        <f aca="false">+F142-F10-F8</f>
        <v>0</v>
      </c>
      <c r="G143" s="25" t="n">
        <f aca="false">+G142-G10-G8</f>
        <v>0</v>
      </c>
      <c r="H143" s="25" t="n">
        <f aca="false">+H142-H10-H8</f>
        <v>0</v>
      </c>
      <c r="I143" s="25" t="n">
        <f aca="false">+I142-I10-I8</f>
        <v>0</v>
      </c>
    </row>
    <row r="144" customFormat="false" ht="14.25" hidden="false" customHeight="false" outlineLevel="0" collapsed="false">
      <c r="A144" s="14" t="s">
        <v>122</v>
      </c>
    </row>
    <row r="145" customFormat="false" ht="13.8" hidden="false" customHeight="false" outlineLevel="0" collapsed="false">
      <c r="A145" s="18" t="s">
        <v>106</v>
      </c>
      <c r="B145" s="9" t="n">
        <v>632</v>
      </c>
      <c r="C145" s="9" t="n">
        <v>742</v>
      </c>
      <c r="D145" s="9" t="n">
        <v>819</v>
      </c>
      <c r="E145" s="9" t="n">
        <v>848</v>
      </c>
      <c r="F145" s="9" t="n">
        <v>814</v>
      </c>
      <c r="G145" s="9" t="n">
        <v>645</v>
      </c>
      <c r="H145" s="9" t="n">
        <v>617</v>
      </c>
      <c r="I145" s="9" t="n">
        <v>639</v>
      </c>
    </row>
    <row r="146" customFormat="false" ht="13.8" hidden="false" customHeight="false" outlineLevel="0" collapsed="false">
      <c r="A146" s="18" t="s">
        <v>110</v>
      </c>
      <c r="B146" s="9" t="n">
        <v>498</v>
      </c>
      <c r="C146" s="9" t="n">
        <v>639</v>
      </c>
      <c r="D146" s="9" t="n">
        <v>709</v>
      </c>
      <c r="E146" s="9" t="n">
        <v>849</v>
      </c>
      <c r="F146" s="9" t="n">
        <v>929</v>
      </c>
      <c r="G146" s="9" t="n">
        <v>885</v>
      </c>
      <c r="H146" s="9" t="n">
        <v>982</v>
      </c>
      <c r="I146" s="9" t="n">
        <v>920</v>
      </c>
    </row>
    <row r="147" customFormat="false" ht="13.8" hidden="false" customHeight="false" outlineLevel="0" collapsed="false">
      <c r="A147" s="18" t="s">
        <v>111</v>
      </c>
      <c r="B147" s="9" t="n">
        <v>254</v>
      </c>
      <c r="C147" s="9" t="n">
        <v>234</v>
      </c>
      <c r="D147" s="9" t="n">
        <v>225</v>
      </c>
      <c r="E147" s="9" t="n">
        <v>256</v>
      </c>
      <c r="F147" s="9" t="n">
        <v>237</v>
      </c>
      <c r="G147" s="9" t="n">
        <v>214</v>
      </c>
      <c r="H147" s="9" t="n">
        <v>288</v>
      </c>
      <c r="I147" s="9" t="n">
        <v>303</v>
      </c>
    </row>
    <row r="148" customFormat="false" ht="13.8" hidden="false" customHeight="false" outlineLevel="0" collapsed="false">
      <c r="A148" s="18" t="s">
        <v>123</v>
      </c>
      <c r="B148" s="9" t="n">
        <v>308</v>
      </c>
      <c r="C148" s="9" t="n">
        <v>332</v>
      </c>
      <c r="D148" s="9" t="n">
        <v>340</v>
      </c>
      <c r="E148" s="9" t="n">
        <v>339</v>
      </c>
      <c r="F148" s="9" t="n">
        <v>326</v>
      </c>
      <c r="G148" s="9" t="n">
        <v>296</v>
      </c>
      <c r="H148" s="9" t="n">
        <v>304</v>
      </c>
      <c r="I148" s="9" t="n">
        <v>274</v>
      </c>
    </row>
    <row r="149" customFormat="false" ht="13.8" hidden="false" customHeight="false" outlineLevel="0" collapsed="false">
      <c r="A149" s="18" t="s">
        <v>113</v>
      </c>
      <c r="B149" s="9" t="n">
        <v>484</v>
      </c>
      <c r="C149" s="9" t="n">
        <v>511</v>
      </c>
      <c r="D149" s="9" t="n">
        <v>533</v>
      </c>
      <c r="E149" s="9" t="n">
        <v>597</v>
      </c>
      <c r="F149" s="9" t="n">
        <v>665</v>
      </c>
      <c r="G149" s="9" t="n">
        <v>830</v>
      </c>
      <c r="H149" s="9" t="n">
        <v>780</v>
      </c>
      <c r="I149" s="9" t="n">
        <v>789</v>
      </c>
    </row>
    <row r="150" customFormat="false" ht="13.8" hidden="false" customHeight="false" outlineLevel="0" collapsed="false">
      <c r="A150" s="19" t="s">
        <v>124</v>
      </c>
      <c r="B150" s="20" t="n">
        <f aca="false">+SUM(B145:B149)</f>
        <v>2176</v>
      </c>
      <c r="C150" s="20" t="n">
        <f aca="false">+SUM(C145:C149)</f>
        <v>2458</v>
      </c>
      <c r="D150" s="20" t="n">
        <f aca="false">+SUM(D145:D149)</f>
        <v>2626</v>
      </c>
      <c r="E150" s="20" t="n">
        <f aca="false">+SUM(E145:E149)</f>
        <v>2889</v>
      </c>
      <c r="F150" s="20" t="n">
        <f aca="false">+SUM(F145:F149)</f>
        <v>2971</v>
      </c>
      <c r="G150" s="20" t="n">
        <f aca="false">+SUM(G145:G149)</f>
        <v>2870</v>
      </c>
      <c r="H150" s="20" t="n">
        <f aca="false">+SUM(H145:H149)</f>
        <v>2971</v>
      </c>
      <c r="I150" s="20" t="n">
        <f aca="false">+SUM(I145:I149)</f>
        <v>2925</v>
      </c>
    </row>
    <row r="151" customFormat="false" ht="13.8" hidden="false" customHeight="false" outlineLevel="0" collapsed="false">
      <c r="A151" s="18" t="s">
        <v>115</v>
      </c>
      <c r="B151" s="9" t="n">
        <v>122</v>
      </c>
      <c r="C151" s="9" t="n">
        <v>125</v>
      </c>
      <c r="D151" s="9" t="n">
        <v>125</v>
      </c>
      <c r="E151" s="9" t="n">
        <v>115</v>
      </c>
      <c r="F151" s="9" t="n">
        <v>100</v>
      </c>
      <c r="G151" s="9" t="n">
        <v>80</v>
      </c>
      <c r="H151" s="9" t="n">
        <v>63</v>
      </c>
      <c r="I151" s="9" t="n">
        <v>49</v>
      </c>
    </row>
    <row r="152" customFormat="false" ht="13.8" hidden="false" customHeight="false" outlineLevel="0" collapsed="false">
      <c r="A152" s="18" t="s">
        <v>117</v>
      </c>
      <c r="B152" s="9" t="n">
        <v>713</v>
      </c>
      <c r="C152" s="9" t="n">
        <v>937</v>
      </c>
      <c r="D152" s="9" t="n">
        <v>1238</v>
      </c>
      <c r="E152" s="9" t="n">
        <v>1450</v>
      </c>
      <c r="F152" s="9" t="n">
        <v>1673</v>
      </c>
      <c r="G152" s="9" t="n">
        <v>1916</v>
      </c>
      <c r="H152" s="9" t="n">
        <v>1870</v>
      </c>
      <c r="I152" s="9" t="n">
        <v>1817</v>
      </c>
    </row>
    <row r="153" customFormat="false" ht="15" hidden="false" customHeight="false" outlineLevel="0" collapsed="false">
      <c r="A153" s="21" t="s">
        <v>125</v>
      </c>
      <c r="B153" s="22" t="n">
        <f aca="false">+SUM(B150:B152)</f>
        <v>3011</v>
      </c>
      <c r="C153" s="22" t="n">
        <f aca="false">+SUM(C150:C152)</f>
        <v>3520</v>
      </c>
      <c r="D153" s="22" t="n">
        <f aca="false">+SUM(D150:D152)</f>
        <v>3989</v>
      </c>
      <c r="E153" s="22" t="n">
        <f aca="false">+SUM(E150:E152)</f>
        <v>4454</v>
      </c>
      <c r="F153" s="22" t="n">
        <f aca="false">+SUM(F150:F152)</f>
        <v>4744</v>
      </c>
      <c r="G153" s="22" t="n">
        <f aca="false">+SUM(G150:G152)</f>
        <v>4866</v>
      </c>
      <c r="H153" s="22" t="n">
        <f aca="false">+SUM(H150:H152)</f>
        <v>4904</v>
      </c>
      <c r="I153" s="22" t="n">
        <f aca="false">+SUM(I150:I152)</f>
        <v>4791</v>
      </c>
    </row>
    <row r="154" customFormat="false" ht="15" hidden="false" customHeight="false" outlineLevel="0" collapsed="false">
      <c r="A154" s="24" t="s">
        <v>119</v>
      </c>
      <c r="B154" s="25" t="n">
        <f aca="false">+B153-B31</f>
        <v>0</v>
      </c>
      <c r="C154" s="25" t="n">
        <f aca="false">+C153-C31</f>
        <v>0</v>
      </c>
      <c r="D154" s="25" t="n">
        <f aca="false">+D153-D31</f>
        <v>0</v>
      </c>
      <c r="E154" s="25" t="n">
        <f aca="false">+E153-E31</f>
        <v>0</v>
      </c>
      <c r="F154" s="25" t="n">
        <f aca="false">+F153-F31</f>
        <v>0</v>
      </c>
      <c r="G154" s="25" t="n">
        <f aca="false">+G153-G31</f>
        <v>0</v>
      </c>
      <c r="H154" s="25" t="n">
        <f aca="false">+H153-H31</f>
        <v>0</v>
      </c>
      <c r="I154" s="25" t="n">
        <f aca="false">+I153-I31</f>
        <v>0</v>
      </c>
    </row>
    <row r="155" customFormat="false" ht="14.25" hidden="false" customHeight="false" outlineLevel="0" collapsed="false">
      <c r="A155" s="14" t="s">
        <v>126</v>
      </c>
    </row>
    <row r="156" customFormat="false" ht="13.8" hidden="false" customHeight="false" outlineLevel="0" collapsed="false">
      <c r="A156" s="18" t="s">
        <v>106</v>
      </c>
      <c r="B156" s="9" t="n">
        <v>208</v>
      </c>
      <c r="C156" s="9" t="n">
        <v>242</v>
      </c>
      <c r="D156" s="9" t="n">
        <v>223</v>
      </c>
      <c r="E156" s="9" t="n">
        <v>196</v>
      </c>
      <c r="F156" s="9" t="n">
        <v>117</v>
      </c>
      <c r="G156" s="9" t="n">
        <v>110</v>
      </c>
      <c r="H156" s="9" t="n">
        <v>98</v>
      </c>
      <c r="I156" s="9" t="n">
        <v>146</v>
      </c>
    </row>
    <row r="157" customFormat="false" ht="13.8" hidden="false" customHeight="false" outlineLevel="0" collapsed="false">
      <c r="A157" s="18" t="s">
        <v>110</v>
      </c>
      <c r="B157" s="9" t="n">
        <v>232</v>
      </c>
      <c r="C157" s="9" t="n">
        <v>236</v>
      </c>
      <c r="D157" s="9" t="n">
        <v>173</v>
      </c>
      <c r="E157" s="9" t="n">
        <v>240</v>
      </c>
      <c r="F157" s="9" t="n">
        <v>233</v>
      </c>
      <c r="G157" s="9" t="n">
        <v>139</v>
      </c>
      <c r="H157" s="9" t="n">
        <v>153</v>
      </c>
      <c r="I157" s="9" t="n">
        <v>197</v>
      </c>
    </row>
    <row r="158" customFormat="false" ht="13.8" hidden="false" customHeight="false" outlineLevel="0" collapsed="false">
      <c r="A158" s="18" t="s">
        <v>111</v>
      </c>
      <c r="B158" s="9" t="n">
        <v>69</v>
      </c>
      <c r="C158" s="9" t="n">
        <v>44</v>
      </c>
      <c r="D158" s="9" t="n">
        <v>51</v>
      </c>
      <c r="E158" s="9" t="n">
        <v>76</v>
      </c>
      <c r="F158" s="9" t="n">
        <v>49</v>
      </c>
      <c r="G158" s="9" t="n">
        <v>28</v>
      </c>
      <c r="H158" s="9" t="n">
        <v>94</v>
      </c>
      <c r="I158" s="9" t="n">
        <v>78</v>
      </c>
    </row>
    <row r="159" customFormat="false" ht="13.8" hidden="false" customHeight="false" outlineLevel="0" collapsed="false">
      <c r="A159" s="18" t="s">
        <v>123</v>
      </c>
      <c r="B159" s="9" t="n">
        <v>64</v>
      </c>
      <c r="C159" s="9" t="n">
        <v>52</v>
      </c>
      <c r="D159" s="9" t="n">
        <v>59</v>
      </c>
      <c r="E159" s="9" t="n">
        <v>49</v>
      </c>
      <c r="F159" s="9" t="n">
        <v>47</v>
      </c>
      <c r="G159" s="9" t="n">
        <v>41</v>
      </c>
      <c r="H159" s="9" t="n">
        <v>54</v>
      </c>
      <c r="I159" s="9" t="n">
        <v>56</v>
      </c>
    </row>
    <row r="160" customFormat="false" ht="13.8" hidden="false" customHeight="false" outlineLevel="0" collapsed="false">
      <c r="A160" s="18" t="s">
        <v>113</v>
      </c>
      <c r="B160" s="9" t="n">
        <v>225</v>
      </c>
      <c r="C160" s="9" t="n">
        <v>258</v>
      </c>
      <c r="D160" s="9" t="n">
        <v>278</v>
      </c>
      <c r="E160" s="9" t="n">
        <v>286</v>
      </c>
      <c r="F160" s="9" t="n">
        <v>278</v>
      </c>
      <c r="G160" s="9" t="n">
        <v>438</v>
      </c>
      <c r="H160" s="9" t="n">
        <v>278</v>
      </c>
      <c r="I160" s="9" t="n">
        <v>222</v>
      </c>
    </row>
    <row r="161" customFormat="false" ht="14.25" hidden="false" customHeight="false" outlineLevel="0" collapsed="false">
      <c r="A161" s="19" t="s">
        <v>124</v>
      </c>
      <c r="B161" s="20" t="n">
        <f aca="false">+SUM(B156:B160)</f>
        <v>798</v>
      </c>
      <c r="C161" s="20" t="n">
        <f aca="false">+SUM(C156:C160)</f>
        <v>832</v>
      </c>
      <c r="D161" s="20" t="n">
        <f aca="false">+SUM(D156:D160)</f>
        <v>784</v>
      </c>
      <c r="E161" s="20" t="n">
        <f aca="false">+SUM(E156:E160)</f>
        <v>847</v>
      </c>
      <c r="F161" s="20" t="n">
        <f aca="false">+SUM(F156:F160)</f>
        <v>724</v>
      </c>
      <c r="G161" s="20" t="n">
        <f aca="false">+SUM(G156:G160)</f>
        <v>756</v>
      </c>
      <c r="H161" s="20" t="n">
        <f aca="false">+SUM(H156:H160)</f>
        <v>677</v>
      </c>
      <c r="I161" s="20" t="n">
        <f aca="false">+SUM(I156:I160)</f>
        <v>699</v>
      </c>
    </row>
    <row r="162" customFormat="false" ht="13.8" hidden="false" customHeight="false" outlineLevel="0" collapsed="false">
      <c r="A162" s="18" t="s">
        <v>115</v>
      </c>
      <c r="B162" s="9" t="n">
        <v>69</v>
      </c>
      <c r="C162" s="9" t="n">
        <v>39</v>
      </c>
      <c r="D162" s="9" t="n">
        <v>30</v>
      </c>
      <c r="E162" s="9" t="n">
        <v>22</v>
      </c>
      <c r="F162" s="9" t="n">
        <v>18</v>
      </c>
      <c r="G162" s="9" t="n">
        <v>12</v>
      </c>
      <c r="H162" s="9" t="n">
        <v>7</v>
      </c>
      <c r="I162" s="9" t="n">
        <v>9</v>
      </c>
    </row>
    <row r="163" customFormat="false" ht="14.25" hidden="false" customHeight="false" outlineLevel="0" collapsed="false">
      <c r="A163" s="18" t="s">
        <v>117</v>
      </c>
      <c r="B163" s="9" t="n">
        <f aca="false">-(SUM(B161:B162)+B81)</f>
        <v>93</v>
      </c>
      <c r="C163" s="9" t="n">
        <f aca="false">-(SUM(C161:C162)+C81)</f>
        <v>262</v>
      </c>
      <c r="D163" s="9" t="n">
        <f aca="false">-(SUM(D161:D162)+D81)</f>
        <v>278</v>
      </c>
      <c r="E163" s="9" t="n">
        <f aca="false">-(SUM(E161:E162)+E81)</f>
        <v>156</v>
      </c>
      <c r="F163" s="9" t="n">
        <f aca="false">-(SUM(F161:F162)+F81)</f>
        <v>377</v>
      </c>
      <c r="G163" s="9" t="n">
        <f aca="false">-(SUM(G161:G162)+G81)</f>
        <v>318</v>
      </c>
      <c r="H163" s="9" t="n">
        <f aca="false">-(SUM(H161:H162)+H81)</f>
        <v>11</v>
      </c>
      <c r="I163" s="9" t="n">
        <f aca="false">-(SUM(I161:I162)+I81)</f>
        <v>50</v>
      </c>
    </row>
    <row r="164" customFormat="false" ht="15" hidden="false" customHeight="false" outlineLevel="0" collapsed="false">
      <c r="A164" s="21" t="s">
        <v>127</v>
      </c>
      <c r="B164" s="22" t="n">
        <f aca="false">+SUM(B161:B163)</f>
        <v>960</v>
      </c>
      <c r="C164" s="22" t="n">
        <f aca="false">+SUM(C161:C163)</f>
        <v>1133</v>
      </c>
      <c r="D164" s="22" t="n">
        <f aca="false">+SUM(D161:D163)</f>
        <v>1092</v>
      </c>
      <c r="E164" s="22" t="n">
        <f aca="false">+SUM(E161:E163)</f>
        <v>1025</v>
      </c>
      <c r="F164" s="22" t="n">
        <f aca="false">+SUM(F161:F163)</f>
        <v>1119</v>
      </c>
      <c r="G164" s="22" t="n">
        <f aca="false">+SUM(G161:G163)</f>
        <v>1086</v>
      </c>
      <c r="H164" s="22" t="n">
        <f aca="false">+SUM(H161:H163)</f>
        <v>695</v>
      </c>
      <c r="I164" s="22" t="n">
        <f aca="false">+SUM(I161:I163)</f>
        <v>758</v>
      </c>
    </row>
    <row r="165" customFormat="false" ht="15" hidden="false" customHeight="false" outlineLevel="0" collapsed="false">
      <c r="A165" s="24" t="s">
        <v>119</v>
      </c>
      <c r="B165" s="25" t="n">
        <f aca="false">+B164+B81</f>
        <v>0</v>
      </c>
      <c r="C165" s="25" t="n">
        <f aca="false">+C164+C81</f>
        <v>0</v>
      </c>
      <c r="D165" s="25" t="n">
        <f aca="false">+D164+D81</f>
        <v>0</v>
      </c>
      <c r="E165" s="25" t="n">
        <f aca="false">+E164+E81</f>
        <v>0</v>
      </c>
      <c r="F165" s="25" t="n">
        <f aca="false">+F164+F81</f>
        <v>0</v>
      </c>
      <c r="G165" s="25" t="n">
        <f aca="false">+G164+G81</f>
        <v>0</v>
      </c>
      <c r="H165" s="25" t="n">
        <f aca="false">+H164+H81</f>
        <v>0</v>
      </c>
      <c r="I165" s="25" t="n">
        <f aca="false">+I164+I81</f>
        <v>0</v>
      </c>
    </row>
    <row r="166" customFormat="false" ht="14.25" hidden="false" customHeight="false" outlineLevel="0" collapsed="false">
      <c r="A166" s="14" t="s">
        <v>128</v>
      </c>
    </row>
    <row r="167" customFormat="false" ht="13.8" hidden="false" customHeight="false" outlineLevel="0" collapsed="false">
      <c r="A167" s="18" t="s">
        <v>106</v>
      </c>
      <c r="B167" s="9" t="n">
        <v>121</v>
      </c>
      <c r="C167" s="9" t="n">
        <v>133</v>
      </c>
      <c r="D167" s="9" t="n">
        <v>140</v>
      </c>
      <c r="E167" s="9" t="n">
        <v>160</v>
      </c>
      <c r="F167" s="9" t="n">
        <v>149</v>
      </c>
      <c r="G167" s="9" t="n">
        <v>148</v>
      </c>
      <c r="H167" s="9" t="n">
        <v>130</v>
      </c>
      <c r="I167" s="9" t="n">
        <v>124</v>
      </c>
    </row>
    <row r="168" customFormat="false" ht="13.8" hidden="false" customHeight="false" outlineLevel="0" collapsed="false">
      <c r="A168" s="18" t="s">
        <v>110</v>
      </c>
      <c r="B168" s="9" t="n">
        <v>87</v>
      </c>
      <c r="C168" s="9" t="n">
        <v>85</v>
      </c>
      <c r="D168" s="9" t="n">
        <v>106</v>
      </c>
      <c r="E168" s="9" t="n">
        <v>116</v>
      </c>
      <c r="F168" s="9" t="n">
        <v>111</v>
      </c>
      <c r="G168" s="9" t="n">
        <v>132</v>
      </c>
      <c r="H168" s="9" t="n">
        <v>136</v>
      </c>
      <c r="I168" s="9" t="n">
        <v>134</v>
      </c>
    </row>
    <row r="169" customFormat="false" ht="13.8" hidden="false" customHeight="false" outlineLevel="0" collapsed="false">
      <c r="A169" s="18" t="s">
        <v>111</v>
      </c>
      <c r="B169" s="9" t="n">
        <v>46</v>
      </c>
      <c r="C169" s="9" t="n">
        <v>48</v>
      </c>
      <c r="D169" s="9" t="n">
        <v>54</v>
      </c>
      <c r="E169" s="9" t="n">
        <v>56</v>
      </c>
      <c r="F169" s="9" t="n">
        <v>50</v>
      </c>
      <c r="G169" s="9" t="n">
        <v>44</v>
      </c>
      <c r="H169" s="9" t="n">
        <v>46</v>
      </c>
      <c r="I169" s="9" t="n">
        <v>41</v>
      </c>
    </row>
    <row r="170" customFormat="false" ht="13.8" hidden="false" customHeight="false" outlineLevel="0" collapsed="false">
      <c r="A170" s="18" t="s">
        <v>112</v>
      </c>
      <c r="B170" s="9" t="n">
        <v>49</v>
      </c>
      <c r="C170" s="9" t="n">
        <v>42</v>
      </c>
      <c r="D170" s="9" t="n">
        <v>54</v>
      </c>
      <c r="E170" s="9" t="n">
        <v>55</v>
      </c>
      <c r="F170" s="9" t="n">
        <v>53</v>
      </c>
      <c r="G170" s="9" t="n">
        <v>46</v>
      </c>
      <c r="H170" s="9" t="n">
        <v>43</v>
      </c>
      <c r="I170" s="9" t="n">
        <v>42</v>
      </c>
    </row>
    <row r="171" customFormat="false" ht="13.8" hidden="false" customHeight="false" outlineLevel="0" collapsed="false">
      <c r="A171" s="18" t="s">
        <v>113</v>
      </c>
      <c r="B171" s="9" t="n">
        <v>210</v>
      </c>
      <c r="C171" s="9" t="n">
        <v>230</v>
      </c>
      <c r="D171" s="9" t="n">
        <v>233</v>
      </c>
      <c r="E171" s="9" t="n">
        <v>217</v>
      </c>
      <c r="F171" s="9" t="n">
        <v>195</v>
      </c>
      <c r="G171" s="9" t="n">
        <v>214</v>
      </c>
      <c r="H171" s="9" t="n">
        <v>222</v>
      </c>
      <c r="I171" s="9" t="n">
        <v>220</v>
      </c>
    </row>
    <row r="172" customFormat="false" ht="14.25" hidden="false" customHeight="false" outlineLevel="0" collapsed="false">
      <c r="A172" s="19" t="s">
        <v>124</v>
      </c>
      <c r="B172" s="20" t="n">
        <f aca="false">+SUM(B167:B171)</f>
        <v>513</v>
      </c>
      <c r="C172" s="20" t="n">
        <f aca="false">+SUM(C167:C171)</f>
        <v>538</v>
      </c>
      <c r="D172" s="20" t="n">
        <f aca="false">+SUM(D167:D171)</f>
        <v>587</v>
      </c>
      <c r="E172" s="20" t="n">
        <f aca="false">+SUM(E167:E171)</f>
        <v>604</v>
      </c>
      <c r="F172" s="20" t="n">
        <f aca="false">+SUM(F167:F171)</f>
        <v>558</v>
      </c>
      <c r="G172" s="20" t="n">
        <f aca="false">+SUM(G167:G171)</f>
        <v>584</v>
      </c>
      <c r="H172" s="20" t="n">
        <f aca="false">+SUM(H167:H171)</f>
        <v>577</v>
      </c>
      <c r="I172" s="20" t="n">
        <f aca="false">+SUM(I167:I171)</f>
        <v>561</v>
      </c>
    </row>
    <row r="173" customFormat="false" ht="13.8" hidden="false" customHeight="false" outlineLevel="0" collapsed="false">
      <c r="A173" s="18" t="s">
        <v>115</v>
      </c>
      <c r="B173" s="9" t="n">
        <v>18</v>
      </c>
      <c r="C173" s="9" t="n">
        <v>27</v>
      </c>
      <c r="D173" s="9" t="n">
        <v>28</v>
      </c>
      <c r="E173" s="9" t="n">
        <v>33</v>
      </c>
      <c r="F173" s="9" t="n">
        <v>31</v>
      </c>
      <c r="G173" s="9" t="n">
        <v>25</v>
      </c>
      <c r="H173" s="9" t="n">
        <v>26</v>
      </c>
      <c r="I173" s="9" t="n">
        <v>22</v>
      </c>
    </row>
    <row r="174" customFormat="false" ht="13.8" hidden="false" customHeight="false" outlineLevel="0" collapsed="false">
      <c r="A174" s="18" t="s">
        <v>117</v>
      </c>
      <c r="B174" s="9" t="n">
        <v>75</v>
      </c>
      <c r="C174" s="9" t="n">
        <v>84</v>
      </c>
      <c r="D174" s="9" t="n">
        <v>91</v>
      </c>
      <c r="E174" s="9" t="n">
        <v>110</v>
      </c>
      <c r="F174" s="9" t="n">
        <v>116</v>
      </c>
      <c r="G174" s="9" t="n">
        <v>112</v>
      </c>
      <c r="H174" s="9" t="n">
        <v>141</v>
      </c>
      <c r="I174" s="9" t="n">
        <v>134</v>
      </c>
    </row>
    <row r="175" customFormat="false" ht="15" hidden="false" customHeight="false" outlineLevel="0" collapsed="false">
      <c r="A175" s="21" t="s">
        <v>129</v>
      </c>
      <c r="B175" s="22" t="n">
        <f aca="false">+SUM(B172:B174)</f>
        <v>606</v>
      </c>
      <c r="C175" s="22" t="n">
        <f aca="false">+SUM(C172:C174)</f>
        <v>649</v>
      </c>
      <c r="D175" s="22" t="n">
        <f aca="false">+SUM(D172:D174)</f>
        <v>706</v>
      </c>
      <c r="E175" s="22" t="n">
        <f aca="false">+SUM(E172:E174)</f>
        <v>747</v>
      </c>
      <c r="F175" s="22" t="n">
        <f aca="false">+SUM(F172:F174)</f>
        <v>705</v>
      </c>
      <c r="G175" s="22" t="n">
        <f aca="false">+SUM(G172:G174)</f>
        <v>721</v>
      </c>
      <c r="H175" s="22" t="n">
        <f aca="false">+SUM(H172:H174)</f>
        <v>744</v>
      </c>
      <c r="I175" s="22" t="n">
        <f aca="false">+SUM(I172:I174)</f>
        <v>717</v>
      </c>
    </row>
    <row r="176" customFormat="false" ht="15" hidden="false" customHeight="false" outlineLevel="0" collapsed="false">
      <c r="A176" s="24" t="s">
        <v>119</v>
      </c>
      <c r="B176" s="25" t="n">
        <f aca="false">+B175-B66</f>
        <v>0</v>
      </c>
      <c r="C176" s="25" t="n">
        <f aca="false">+C175-C66</f>
        <v>0</v>
      </c>
      <c r="D176" s="25" t="n">
        <f aca="false">+D175-D66</f>
        <v>0</v>
      </c>
      <c r="E176" s="25" t="n">
        <f aca="false">+E175-E66</f>
        <v>0</v>
      </c>
      <c r="F176" s="25" t="n">
        <f aca="false">+F175-F66</f>
        <v>0</v>
      </c>
      <c r="G176" s="25" t="n">
        <f aca="false">+G175-G66</f>
        <v>0</v>
      </c>
      <c r="H176" s="25" t="n">
        <f aca="false">+H175-H66</f>
        <v>0</v>
      </c>
      <c r="I176" s="25" t="n">
        <f aca="false">+I175-I66</f>
        <v>0</v>
      </c>
    </row>
    <row r="177" customFormat="false" ht="14.25" hidden="false" customHeight="false" outlineLevel="0" collapsed="false">
      <c r="A177" s="26" t="s">
        <v>130</v>
      </c>
      <c r="B177" s="26"/>
      <c r="C177" s="26"/>
      <c r="D177" s="26"/>
      <c r="E177" s="26"/>
      <c r="F177" s="26"/>
      <c r="G177" s="26"/>
      <c r="H177" s="26"/>
      <c r="I177" s="26"/>
    </row>
    <row r="178" customFormat="false" ht="14.25" hidden="false" customHeight="false" outlineLevel="0" collapsed="false">
      <c r="A178" s="32" t="s">
        <v>131</v>
      </c>
    </row>
    <row r="179" customFormat="false" ht="13.8" hidden="false" customHeight="false" outlineLevel="0" collapsed="false">
      <c r="A179" s="33" t="s">
        <v>106</v>
      </c>
      <c r="B179" s="34" t="n">
        <f aca="false">(13740-12299)/12299</f>
        <v>0.117163997072933</v>
      </c>
      <c r="C179" s="34" t="n">
        <f aca="false">((C107-B107)/B107)</f>
        <v>0.0745269286754003</v>
      </c>
      <c r="D179" s="34" t="n">
        <f aca="false">((D107-C107)/C107)</f>
        <v>0.0306150094825251</v>
      </c>
      <c r="E179" s="34" t="n">
        <f aca="false">((E107-D107)/D107)</f>
        <v>-0.0237250262881178</v>
      </c>
      <c r="F179" s="34" t="n">
        <f aca="false">((F107-E107)/E107)</f>
        <v>0.0704813194210704</v>
      </c>
      <c r="G179" s="34" t="n">
        <f aca="false">((G107-F107)/F107)</f>
        <v>-0.0891711734373035</v>
      </c>
      <c r="H179" s="34" t="n">
        <f aca="false">((H107-G107)/G107)</f>
        <v>0.186067384700359</v>
      </c>
      <c r="I179" s="34" t="n">
        <v>0.07</v>
      </c>
    </row>
    <row r="180" customFormat="false" ht="13.8" hidden="false" customHeight="false" outlineLevel="0" collapsed="false">
      <c r="A180" s="35" t="s">
        <v>107</v>
      </c>
      <c r="B180" s="36" t="n">
        <f aca="false">(8506-7495)/7495</f>
        <v>0.134889926617745</v>
      </c>
      <c r="C180" s="36" t="n">
        <f aca="false">((C108-B108)/B108)</f>
        <v>0.0932283094286386</v>
      </c>
      <c r="D180" s="36" t="n">
        <f aca="false">((D108-C108)/C108)</f>
        <v>0.0414023013227229</v>
      </c>
      <c r="E180" s="36" t="n">
        <f aca="false">((E108-D108)/D108)</f>
        <v>-0.0373812474184221</v>
      </c>
      <c r="F180" s="36" t="n">
        <f aca="false">((F108-E108)/E108)</f>
        <v>0.0775584638489595</v>
      </c>
      <c r="G180" s="36" t="n">
        <f aca="false">((G108-F108)/F108)</f>
        <v>-0.071279243404679</v>
      </c>
      <c r="H180" s="36" t="n">
        <f aca="false">((H108-G108)/G108)</f>
        <v>0.248150927216207</v>
      </c>
      <c r="I180" s="36" t="n">
        <v>0.05</v>
      </c>
    </row>
    <row r="181" customFormat="false" ht="13.8" hidden="false" customHeight="false" outlineLevel="0" collapsed="false">
      <c r="A181" s="35" t="s">
        <v>108</v>
      </c>
      <c r="B181" s="36" t="n">
        <f aca="false">(4410-3937)/3937</f>
        <v>0.120142240284481</v>
      </c>
      <c r="C181" s="36" t="n">
        <f aca="false">((C109-B109)/B109)</f>
        <v>0.0761904761904762</v>
      </c>
      <c r="D181" s="36" t="n">
        <f aca="false">((D109-C109)/C109)</f>
        <v>0.0294985250737463</v>
      </c>
      <c r="E181" s="36" t="n">
        <f aca="false">((E109-D109)/D109)</f>
        <v>0.0106426524764634</v>
      </c>
      <c r="F181" s="36" t="n">
        <f aca="false">((F109-E109)/E109)</f>
        <v>0.065208586472256</v>
      </c>
      <c r="G181" s="36" t="n">
        <f aca="false">((G109-F109)/F109)</f>
        <v>-0.118060836501901</v>
      </c>
      <c r="H181" s="36" t="n">
        <f aca="false">((H109-G109)/G109)</f>
        <v>0.0838542789394266</v>
      </c>
      <c r="I181" s="36" t="n">
        <v>0.09</v>
      </c>
    </row>
    <row r="182" customFormat="false" ht="13.8" hidden="false" customHeight="false" outlineLevel="0" collapsed="false">
      <c r="A182" s="35" t="s">
        <v>109</v>
      </c>
      <c r="B182" s="36" t="n">
        <f aca="false">(824-867)/867</f>
        <v>-0.0495963091118801</v>
      </c>
      <c r="C182" s="36" t="n">
        <f aca="false">((C110-B110)/B110)</f>
        <v>-0.127427184466019</v>
      </c>
      <c r="D182" s="36" t="n">
        <f aca="false">((D110-C110)/C110)</f>
        <v>-0.101529902642559</v>
      </c>
      <c r="E182" s="36" t="n">
        <f aca="false">((E110-D110)/D110)</f>
        <v>-0.0789473684210526</v>
      </c>
      <c r="F182" s="36" t="n">
        <f aca="false">((F110-E110)/E110)</f>
        <v>0.00336134453781513</v>
      </c>
      <c r="G182" s="36" t="n">
        <f aca="false">((G110-F110)/F110)</f>
        <v>-0.135678391959799</v>
      </c>
      <c r="H182" s="36" t="n">
        <f aca="false">((H110-G110)/G110)</f>
        <v>-0.0174418604651163</v>
      </c>
      <c r="I182" s="36" t="n">
        <v>0.25</v>
      </c>
    </row>
    <row r="183" customFormat="false" ht="13.8" hidden="false" customHeight="false" outlineLevel="0" collapsed="false">
      <c r="A183" s="33" t="s">
        <v>110</v>
      </c>
      <c r="B183" s="34" t="n">
        <f aca="false">(7126-6366)/6366</f>
        <v>0.119384228715049</v>
      </c>
      <c r="C183" s="34" t="n">
        <f aca="false">((C111-B111)/B111)</f>
        <v>0.0620263822621387</v>
      </c>
      <c r="D183" s="34" t="n">
        <f aca="false">((D111-C111)/C111)</f>
        <v>0.0531183932346723</v>
      </c>
      <c r="E183" s="34" t="n">
        <f aca="false">((E111-D111)/D111)</f>
        <v>0.159598494353827</v>
      </c>
      <c r="F183" s="34" t="n">
        <f aca="false">((F111-E111)/E111)</f>
        <v>0.0616749621294092</v>
      </c>
      <c r="G183" s="34" t="n">
        <f aca="false">((G111-F111)/F111)</f>
        <v>-0.0473909498573176</v>
      </c>
      <c r="H183" s="34" t="n">
        <f aca="false">((H111-G111)/G111)</f>
        <v>0.225633893227774</v>
      </c>
      <c r="I183" s="34" t="n">
        <v>0.12</v>
      </c>
    </row>
    <row r="184" customFormat="false" ht="13.8" hidden="false" customHeight="false" outlineLevel="0" collapsed="false">
      <c r="A184" s="35" t="s">
        <v>107</v>
      </c>
      <c r="B184" s="36" t="n">
        <f aca="false">(4703-4062)/4062</f>
        <v>0.15780403741999</v>
      </c>
      <c r="C184" s="36" t="n">
        <f aca="false">((C112-B112)/B112)</f>
        <v>0.0722942802466511</v>
      </c>
      <c r="D184" s="36" t="n">
        <f aca="false">((D112-C112)/C112)</f>
        <v>0.0295459052151497</v>
      </c>
      <c r="E184" s="36" t="n">
        <f aca="false">((E112-D112)/D112)</f>
        <v>0.131548536209553</v>
      </c>
      <c r="F184" s="36" t="n">
        <f aca="false">((F112-E112)/E112)</f>
        <v>0.0711489361702128</v>
      </c>
      <c r="G184" s="36" t="n">
        <f aca="false">((G112-F112)/F112)</f>
        <v>-0.0637215954234864</v>
      </c>
      <c r="H184" s="36" t="n">
        <f aca="false">((H112-G112)/G112)</f>
        <v>0.18295994568907</v>
      </c>
      <c r="I184" s="36" t="n">
        <v>0.09</v>
      </c>
    </row>
    <row r="185" customFormat="false" ht="13.8" hidden="false" customHeight="false" outlineLevel="0" collapsed="false">
      <c r="A185" s="35" t="s">
        <v>108</v>
      </c>
      <c r="B185" s="36" t="n">
        <f aca="false">(2051-1959)/1959</f>
        <v>0.0469627360898418</v>
      </c>
      <c r="C185" s="36" t="n">
        <f aca="false">((C113-B113)/B113)</f>
        <v>0.0477815699658703</v>
      </c>
      <c r="D185" s="36" t="n">
        <f aca="false">((D113-C113)/C113)</f>
        <v>0.11447184737087</v>
      </c>
      <c r="E185" s="36" t="n">
        <f aca="false">((E113-D113)/D113)</f>
        <v>0.227557411273486</v>
      </c>
      <c r="F185" s="36" t="n">
        <f aca="false">((F113-E113)/E113)</f>
        <v>0.05</v>
      </c>
      <c r="G185" s="36" t="n">
        <f aca="false">((G113-F113)/F113)</f>
        <v>-0.0110139293812763</v>
      </c>
      <c r="H185" s="36" t="n">
        <f aca="false">((H113-G113)/G113)</f>
        <v>0.308876514903374</v>
      </c>
      <c r="I185" s="36" t="n">
        <v>0.16</v>
      </c>
    </row>
    <row r="186" customFormat="false" ht="13.8" hidden="false" customHeight="false" outlineLevel="0" collapsed="false">
      <c r="A186" s="35" t="s">
        <v>109</v>
      </c>
      <c r="B186" s="36" t="n">
        <f aca="false">(372-345)/345</f>
        <v>0.0782608695652174</v>
      </c>
      <c r="C186" s="36" t="n">
        <f aca="false">((C114-B114)/B114)</f>
        <v>0.010752688172043</v>
      </c>
      <c r="D186" s="36" t="n">
        <f aca="false">((D114-C114)/C114)</f>
        <v>0.0186170212765957</v>
      </c>
      <c r="E186" s="36" t="n">
        <f aca="false">((E114-D114)/D114)</f>
        <v>0.114882506527415</v>
      </c>
      <c r="F186" s="36" t="n">
        <f aca="false">((F114-E114)/E114)</f>
        <v>0.0117096018735363</v>
      </c>
      <c r="G186" s="36" t="n">
        <f aca="false">((G114-F114)/F114)</f>
        <v>-0.0694444444444444</v>
      </c>
      <c r="H186" s="36" t="n">
        <f aca="false">((H114-G114)/G114)</f>
        <v>0.218905472636816</v>
      </c>
      <c r="I186" s="36" t="n">
        <v>0.17</v>
      </c>
    </row>
    <row r="187" customFormat="false" ht="13.8" hidden="false" customHeight="false" outlineLevel="0" collapsed="false">
      <c r="A187" s="33" t="s">
        <v>111</v>
      </c>
      <c r="B187" s="34" t="n">
        <f aca="false">(3067-2602)/2602</f>
        <v>0.178708685626441</v>
      </c>
      <c r="C187" s="34" t="n">
        <f aca="false">((C115-B115)/B115)</f>
        <v>0.234104988588197</v>
      </c>
      <c r="D187" s="34" t="n">
        <f aca="false">((D115-C115)/C115)</f>
        <v>0.119418758256275</v>
      </c>
      <c r="E187" s="34" t="n">
        <f aca="false">((E115-D115)/D115)</f>
        <v>0.21170639603493</v>
      </c>
      <c r="F187" s="34" t="n">
        <f aca="false">((F115-E115)/E115)</f>
        <v>0.209193611219322</v>
      </c>
      <c r="G187" s="34" t="n">
        <f aca="false">((G115-F115)/F115)</f>
        <v>0.0758698453608247</v>
      </c>
      <c r="H187" s="34" t="n">
        <f aca="false">((H115-G115)/G115)</f>
        <v>0.241203773019913</v>
      </c>
      <c r="I187" s="34" t="n">
        <v>-0.13</v>
      </c>
    </row>
    <row r="188" customFormat="false" ht="13.8" hidden="false" customHeight="false" outlineLevel="0" collapsed="false">
      <c r="A188" s="35" t="s">
        <v>107</v>
      </c>
      <c r="B188" s="36" t="n">
        <f aca="false">(2016-1600)/1600</f>
        <v>0.26</v>
      </c>
      <c r="C188" s="36" t="n">
        <f aca="false">((C116-B116)/B116)</f>
        <v>0.289186507936508</v>
      </c>
      <c r="D188" s="36" t="n">
        <f aca="false">((D116-C116)/C116)</f>
        <v>0.123509041939207</v>
      </c>
      <c r="E188" s="36" t="n">
        <f aca="false">((E116-D116)/D116)</f>
        <v>0.197260273972603</v>
      </c>
      <c r="F188" s="36" t="n">
        <f aca="false">((F116-E116)/E116)</f>
        <v>0.219107551487414</v>
      </c>
      <c r="G188" s="36" t="n">
        <f aca="false">((G116-F116)/F116)</f>
        <v>0.0875175973721258</v>
      </c>
      <c r="H188" s="36" t="n">
        <f aca="false">((H116-G116)/G116)</f>
        <v>0.240129449838188</v>
      </c>
      <c r="I188" s="36" t="n">
        <v>-0.1</v>
      </c>
    </row>
    <row r="189" customFormat="false" ht="13.8" hidden="false" customHeight="false" outlineLevel="0" collapsed="false">
      <c r="A189" s="35" t="s">
        <v>108</v>
      </c>
      <c r="B189" s="36" t="n">
        <f aca="false">(925-876)/876</f>
        <v>0.0559360730593607</v>
      </c>
      <c r="C189" s="36" t="n">
        <f aca="false">((C117-B117)/B117)</f>
        <v>0.140540540540541</v>
      </c>
      <c r="D189" s="36" t="n">
        <f aca="false">((D117-C117)/C117)</f>
        <v>0.1260663507109</v>
      </c>
      <c r="E189" s="36" t="n">
        <f aca="false">((E117-D117)/D117)</f>
        <v>0.269360269360269</v>
      </c>
      <c r="F189" s="36" t="n">
        <f aca="false">((F117-E117)/E117)</f>
        <v>0.19893899204244</v>
      </c>
      <c r="G189" s="36" t="n">
        <f aca="false">((G117-F117)/F117)</f>
        <v>0.0486725663716814</v>
      </c>
      <c r="H189" s="36" t="n">
        <f aca="false">((H117-G117)/G117)</f>
        <v>0.237869198312236</v>
      </c>
      <c r="I189" s="36" t="n">
        <v>-0.21</v>
      </c>
    </row>
    <row r="190" customFormat="false" ht="13.8" hidden="false" customHeight="false" outlineLevel="0" collapsed="false">
      <c r="A190" s="35" t="s">
        <v>109</v>
      </c>
      <c r="B190" s="36" t="n">
        <f aca="false">(126-126)/126</f>
        <v>0</v>
      </c>
      <c r="C190" s="36" t="n">
        <f aca="false">((C118-B118)/B118)</f>
        <v>0.0396825396825397</v>
      </c>
      <c r="D190" s="36" t="n">
        <f aca="false">((D118-C118)/C118)</f>
        <v>-0.0152671755725191</v>
      </c>
      <c r="E190" s="36" t="n">
        <f aca="false">((E118-D118)/D118)</f>
        <v>0.00775193798449612</v>
      </c>
      <c r="F190" s="36" t="n">
        <f aca="false">((F118-E118)/E118)</f>
        <v>0.0615384615384615</v>
      </c>
      <c r="G190" s="36" t="n">
        <f aca="false">((G118-F118)/F118)</f>
        <v>0.072463768115942</v>
      </c>
      <c r="H190" s="36" t="n">
        <f aca="false">((H118-G118)/G118)</f>
        <v>0.317567567567568</v>
      </c>
      <c r="I190" s="36" t="n">
        <v>-0.06</v>
      </c>
    </row>
    <row r="191" customFormat="false" ht="13.8" hidden="false" customHeight="false" outlineLevel="0" collapsed="false">
      <c r="A191" s="33" t="s">
        <v>112</v>
      </c>
      <c r="B191" s="34" t="n">
        <f aca="false">(4653-4720)/4720</f>
        <v>-0.0141949152542373</v>
      </c>
      <c r="C191" s="34" t="n">
        <f aca="false">((C119-B119)/B119)</f>
        <v>-0.0722114764667956</v>
      </c>
      <c r="D191" s="34" t="n">
        <f aca="false">((D119-C119)/C119)</f>
        <v>0.0972897845726199</v>
      </c>
      <c r="E191" s="34" t="n">
        <f aca="false">((E119-D119)/D119)</f>
        <v>0.0905636478784041</v>
      </c>
      <c r="F191" s="34" t="n">
        <f aca="false">((F119-E119)/E119)</f>
        <v>0.0170344560588463</v>
      </c>
      <c r="G191" s="34" t="n">
        <f aca="false">((G119-F119)/F119)</f>
        <v>-0.0430148458317472</v>
      </c>
      <c r="H191" s="34" t="n">
        <f aca="false">((H119-G119)/G119)</f>
        <v>0.0626491646778043</v>
      </c>
      <c r="I191" s="34" t="n">
        <v>0.16</v>
      </c>
    </row>
    <row r="192" customFormat="false" ht="13.8" hidden="false" customHeight="false" outlineLevel="0" collapsed="false">
      <c r="A192" s="35" t="s">
        <v>107</v>
      </c>
      <c r="B192" s="36" t="n">
        <f aca="false">(3093-3051)/3051</f>
        <v>0.0137659783677483</v>
      </c>
      <c r="C192" s="36" t="n">
        <f aca="false">((C120-B120)/B120)</f>
        <v>-0.0526996443582283</v>
      </c>
      <c r="D192" s="36" t="n">
        <f aca="false">((D120-C120)/C120)</f>
        <v>0.121160409556314</v>
      </c>
      <c r="E192" s="36" t="n">
        <f aca="false">((E120-D120)/D120)</f>
        <v>0.0882800608828006</v>
      </c>
      <c r="F192" s="36" t="n">
        <f aca="false">((F120-E120)/E120)</f>
        <v>0.0131468531468531</v>
      </c>
      <c r="G192" s="36" t="n">
        <f aca="false">((G120-F120)/F120)</f>
        <v>-0.0477636664826063</v>
      </c>
      <c r="H192" s="36" t="n">
        <f aca="false">((H120-G120)/G120)</f>
        <v>0.0608872136851261</v>
      </c>
      <c r="I192" s="36" t="n">
        <v>0.17</v>
      </c>
    </row>
    <row r="193" customFormat="false" ht="13.8" hidden="false" customHeight="false" outlineLevel="0" collapsed="false">
      <c r="A193" s="35" t="s">
        <v>108</v>
      </c>
      <c r="B193" s="36" t="n">
        <f aca="false">(B121-1337)/1337</f>
        <v>-0.0643231114435303</v>
      </c>
      <c r="C193" s="36" t="n">
        <f aca="false">((C121-B121)/B121)</f>
        <v>-0.107114308553157</v>
      </c>
      <c r="D193" s="36" t="n">
        <f aca="false">((D121-C121)/C121)</f>
        <v>0.0608773500447628</v>
      </c>
      <c r="E193" s="36" t="n">
        <f aca="false">((E121-D121)/D121)</f>
        <v>0.136708860759494</v>
      </c>
      <c r="F193" s="36" t="n">
        <f aca="false">((F121-E121)/E121)</f>
        <v>0.0356347438752784</v>
      </c>
      <c r="G193" s="36" t="n">
        <f aca="false">((G121-F121)/F121)</f>
        <v>-0.021505376344086</v>
      </c>
      <c r="H193" s="36" t="n">
        <f aca="false">((H121-G121)/G121)</f>
        <v>0.0945054945054945</v>
      </c>
      <c r="I193" s="36" t="n">
        <v>0.12</v>
      </c>
    </row>
    <row r="194" customFormat="false" ht="13.8" hidden="false" customHeight="false" outlineLevel="0" collapsed="false">
      <c r="A194" s="35" t="s">
        <v>109</v>
      </c>
      <c r="B194" s="36" t="n">
        <f aca="false">(B122-332)/332</f>
        <v>-0.0692771084337349</v>
      </c>
      <c r="C194" s="36" t="n">
        <f aca="false">((C122-B122)/B122)</f>
        <v>-0.12621359223301</v>
      </c>
      <c r="D194" s="36" t="n">
        <f aca="false">((D122-C122)/C122)</f>
        <v>-0.0111111111111111</v>
      </c>
      <c r="E194" s="36" t="n">
        <f aca="false">((E122-D122)/D122)</f>
        <v>-0.0861423220973783</v>
      </c>
      <c r="F194" s="36" t="n">
        <f aca="false">((F122-E122)/E122)</f>
        <v>-0.0286885245901639</v>
      </c>
      <c r="G194" s="36" t="n">
        <f aca="false">((G122-F122)/F122)</f>
        <v>-0.0970464135021097</v>
      </c>
      <c r="H194" s="36" t="n">
        <f aca="false">((H122-G122)/G122)</f>
        <v>-0.11214953271028</v>
      </c>
      <c r="I194" s="36" t="n">
        <v>0.28</v>
      </c>
    </row>
    <row r="195" customFormat="false" ht="13.8" hidden="false" customHeight="false" outlineLevel="0" collapsed="false">
      <c r="A195" s="33" t="s">
        <v>113</v>
      </c>
      <c r="B195" s="34" t="n">
        <f aca="false">(115-125)/125</f>
        <v>-0.08</v>
      </c>
      <c r="C195" s="37" t="n">
        <f aca="false">((C123-B123)/B123)</f>
        <v>-0.365217391304348</v>
      </c>
      <c r="D195" s="37" t="n">
        <f aca="false">((D123-C123)/C123)</f>
        <v>0</v>
      </c>
      <c r="E195" s="37" t="n">
        <f aca="false">((E123-D123)/D123)</f>
        <v>0.205479452054794</v>
      </c>
      <c r="F195" s="37" t="n">
        <f aca="false">((F123-E123)/E123)</f>
        <v>-0.522727272727273</v>
      </c>
      <c r="G195" s="37" t="n">
        <f aca="false">((G123-F123)/F123)</f>
        <v>-0.285714285714286</v>
      </c>
      <c r="H195" s="34" t="n">
        <f aca="false">((H123-G123)/G123)</f>
        <v>-0.166666666666667</v>
      </c>
      <c r="I195" s="34" t="n">
        <v>3.02</v>
      </c>
    </row>
    <row r="196" customFormat="false" ht="13.8" hidden="false" customHeight="false" outlineLevel="0" collapsed="false">
      <c r="A196" s="38" t="s">
        <v>114</v>
      </c>
      <c r="B196" s="39" t="n">
        <f aca="false">(28701-26112)/26112</f>
        <v>0.0991498161764706</v>
      </c>
      <c r="C196" s="36" t="n">
        <f aca="false">((C124-B124)/B124)</f>
        <v>0.0629246367722379</v>
      </c>
      <c r="D196" s="36" t="n">
        <f aca="false">((D124-C124)/C124)</f>
        <v>0.0565771790080965</v>
      </c>
      <c r="E196" s="36" t="n">
        <f aca="false">((E124-D124)/D124)</f>
        <v>0.069866286104303</v>
      </c>
      <c r="F196" s="36" t="n">
        <f aca="false">((F124-E124)/E124)</f>
        <v>0.0792518486298391</v>
      </c>
      <c r="G196" s="36" t="n">
        <f aca="false">((G124-F124)/F124)</f>
        <v>-0.0443333870707722</v>
      </c>
      <c r="H196" s="40" t="n">
        <f aca="false">((H124-G124)/G124)</f>
        <v>0.18907444894287</v>
      </c>
      <c r="I196" s="39" t="n">
        <v>0.06</v>
      </c>
    </row>
    <row r="197" customFormat="false" ht="13.8" hidden="false" customHeight="false" outlineLevel="0" collapsed="false">
      <c r="A197" s="33" t="s">
        <v>115</v>
      </c>
      <c r="B197" s="34" t="n">
        <f aca="false">(1982-1684)/1684</f>
        <v>0.176959619952494</v>
      </c>
      <c r="C197" s="34" t="n">
        <f aca="false">((C125-B125)/B125)</f>
        <v>-0.0136226034308779</v>
      </c>
      <c r="D197" s="34" t="n">
        <f aca="false">((D125-C125)/C125)</f>
        <v>0.0445012787723785</v>
      </c>
      <c r="E197" s="34" t="n">
        <f aca="false">((E125-D125)/D125)</f>
        <v>-0.0763956904995103</v>
      </c>
      <c r="F197" s="34" t="n">
        <f aca="false">((F125-E125)/E125)</f>
        <v>0.0106044538706257</v>
      </c>
      <c r="G197" s="34" t="n">
        <f aca="false">((G125-F125)/F125)</f>
        <v>-0.0314795383001049</v>
      </c>
      <c r="H197" s="34" t="n">
        <f aca="false">((H125-G125)/G125)</f>
        <v>0.194474539544962</v>
      </c>
      <c r="I197" s="34" t="n">
        <v>0.07</v>
      </c>
    </row>
    <row r="198" customFormat="false" ht="13.8" hidden="false" customHeight="false" outlineLevel="0" collapsed="false">
      <c r="A198" s="35" t="s">
        <v>107</v>
      </c>
      <c r="B198" s="36" t="n">
        <f aca="false">(18318-16208)/16208</f>
        <v>0.130182625863771</v>
      </c>
      <c r="C198" s="36" t="n">
        <f aca="false">((C126-B126)/B126)</f>
        <v>0.0847799978163555</v>
      </c>
      <c r="D198" s="36" t="n">
        <f aca="false">((D126-C126)/C126)</f>
        <v>0.0608927582909768</v>
      </c>
      <c r="E198" s="36" t="n">
        <f aca="false">((E126-D126)/D126)</f>
        <v>0.0563066268203596</v>
      </c>
      <c r="F198" s="36" t="n">
        <f aca="false">((F126-E126)/E126)</f>
        <v>0.16220585593677</v>
      </c>
      <c r="G198" s="36" t="n">
        <f aca="false">((G126-F126)/F126)</f>
        <v>-0.0360510046367852</v>
      </c>
      <c r="H198" s="36" t="n">
        <f aca="false">((H126-G126)/G126)</f>
        <v>-0.920391229406341</v>
      </c>
      <c r="I198" s="36" t="n">
        <v>0.06</v>
      </c>
    </row>
    <row r="199" customFormat="false" ht="13.8" hidden="false" customHeight="false" outlineLevel="0" collapsed="false">
      <c r="A199" s="35" t="s">
        <v>108</v>
      </c>
      <c r="B199" s="36" t="n">
        <f aca="false">(8637-8109)/8109</f>
        <v>0.0651128375878653</v>
      </c>
      <c r="C199" s="36" t="n">
        <f aca="false">((C127-B127)/B127)</f>
        <v>0.0497858052564548</v>
      </c>
      <c r="D199" s="36" t="n">
        <f aca="false">((D127-C127)/C127)</f>
        <v>0.0647402669019521</v>
      </c>
      <c r="E199" s="36" t="n">
        <f aca="false">((E127-D127)/D127)</f>
        <v>0.111767143153097</v>
      </c>
      <c r="F199" s="36" t="n">
        <f aca="false">((F127-E127)/E127)</f>
        <v>0.0871145066616976</v>
      </c>
      <c r="G199" s="36" t="n">
        <f aca="false">((G127-F127)/F127)</f>
        <v>-0.0536510113129928</v>
      </c>
      <c r="H199" s="36" t="n">
        <f aca="false">((H127-G127)/G127)</f>
        <v>-0.990581416410071</v>
      </c>
      <c r="I199" s="36" t="n">
        <v>-0.03</v>
      </c>
    </row>
    <row r="200" customFormat="false" ht="13.8" hidden="false" customHeight="false" outlineLevel="0" collapsed="false">
      <c r="A200" s="35" t="s">
        <v>109</v>
      </c>
      <c r="B200" s="36" t="n">
        <f aca="false">(1631-1670)/1670</f>
        <v>-0.0233532934131737</v>
      </c>
      <c r="C200" s="36" t="n">
        <f aca="false">((C128-B128)/B128)</f>
        <v>-0.0827713059472716</v>
      </c>
      <c r="D200" s="36" t="n">
        <f aca="false">((D128-C128)/C128)</f>
        <v>-0.0474598930481283</v>
      </c>
      <c r="E200" s="36" t="n">
        <f aca="false">((E128-D128)/D128)</f>
        <v>-0.0203508771929825</v>
      </c>
      <c r="F200" s="36" t="n">
        <f aca="false">((F128-E128)/E128)</f>
        <v>0.0229226361031519</v>
      </c>
      <c r="G200" s="36" t="n">
        <f aca="false">((G128-F128)/F128)</f>
        <v>-0.0861344537815126</v>
      </c>
      <c r="H200" s="36" t="n">
        <f aca="false">((H128-G128)/G128)</f>
        <v>-0.977777777777778</v>
      </c>
      <c r="I200" s="36" t="n">
        <v>-0.16</v>
      </c>
    </row>
    <row r="201" customFormat="false" ht="13.8" hidden="false" customHeight="false" outlineLevel="0" collapsed="false">
      <c r="A201" s="35" t="s">
        <v>116</v>
      </c>
      <c r="B201" s="36" t="n">
        <f aca="false">(2015-1812)/1812</f>
        <v>0.112030905077263</v>
      </c>
      <c r="C201" s="36" t="n">
        <f aca="false">((C129-B129)/B129)</f>
        <v>-0.0362282878411911</v>
      </c>
      <c r="D201" s="36" t="n">
        <f aca="false">((D129-C129)/C129)</f>
        <v>0.127703398558187</v>
      </c>
      <c r="E201" s="36" t="n">
        <f aca="false">((E129-D129)/D129)</f>
        <v>-0.0867579908675799</v>
      </c>
      <c r="F201" s="36" t="n">
        <f aca="false">((F129-E129)/E129)</f>
        <v>-0.9295</v>
      </c>
      <c r="G201" s="36" t="n">
        <f aca="false">((G129-F129)/F129)</f>
        <v>-0.226950354609929</v>
      </c>
      <c r="H201" s="36" t="n">
        <f aca="false">((H129-G129)/G129)</f>
        <v>-0.211009174311927</v>
      </c>
      <c r="I201" s="36" t="n">
        <v>0.42</v>
      </c>
    </row>
    <row r="202" customFormat="false" ht="13.8" hidden="false" customHeight="false" outlineLevel="0" collapsed="false">
      <c r="A202" s="41" t="s">
        <v>117</v>
      </c>
      <c r="B202" s="36" t="n">
        <f aca="false">((-82)-3)/3</f>
        <v>-28.3333333333333</v>
      </c>
      <c r="C202" s="36" t="n">
        <f aca="false">((C130-B130)/B130)</f>
        <v>0.0487804878048781</v>
      </c>
      <c r="D202" s="36" t="n">
        <f aca="false">((D130-C130)/C130)</f>
        <v>-1.87209302325581</v>
      </c>
      <c r="E202" s="36" t="n">
        <f aca="false">((E130-D130)/D130)</f>
        <v>-0.653333333333333</v>
      </c>
      <c r="F202" s="36" t="n">
        <f aca="false">((F130-E130)/E130)</f>
        <v>-1.26923076923077</v>
      </c>
      <c r="G202" s="36" t="n">
        <f aca="false">((G130-F130)/F130)</f>
        <v>0.571428571428571</v>
      </c>
      <c r="H202" s="36" t="n">
        <f aca="false">((H130-G130)/G130)</f>
        <v>-4.63636363636364</v>
      </c>
      <c r="I202" s="36" t="n">
        <v>0</v>
      </c>
    </row>
    <row r="203" customFormat="false" ht="13.8" hidden="false" customHeight="false" outlineLevel="0" collapsed="false">
      <c r="A203" s="42" t="s">
        <v>118</v>
      </c>
      <c r="B203" s="43" t="n">
        <f aca="false">(30601-27799)/27799</f>
        <v>0.100794992625634</v>
      </c>
      <c r="C203" s="43" t="n">
        <f aca="false">((C131-B131)/B131)</f>
        <v>0.0580046403712297</v>
      </c>
      <c r="D203" s="43" t="n">
        <f aca="false">((D131-C131)/C131)</f>
        <v>0.0609710896960712</v>
      </c>
      <c r="E203" s="43" t="n">
        <f aca="false">((E131-D131)/D131)</f>
        <v>0.0595924308588064</v>
      </c>
      <c r="F203" s="43" t="n">
        <f aca="false">((F131-E131)/E131)</f>
        <v>0.0747314339093881</v>
      </c>
      <c r="G203" s="43" t="n">
        <f aca="false">((G131-F131)/F131)</f>
        <v>-0.0438172661502671</v>
      </c>
      <c r="H203" s="43" t="n">
        <f aca="false">((H131-G131)/G131)</f>
        <v>0.190760099457263</v>
      </c>
      <c r="I203" s="43" t="n">
        <v>0.06</v>
      </c>
    </row>
    <row r="204" customFormat="false" ht="15" hidden="false" customHeight="false" outlineLevel="0" collapsed="false"/>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R70"/>
  <sheetViews>
    <sheetView showFormulas="false" showGridLines="true" showRowColHeaders="true" showZeros="true" rightToLeft="false" tabSelected="true" showOutlineSymbols="true" defaultGridColor="true" view="normal" topLeftCell="A1" colorId="64" zoomScale="85" zoomScaleNormal="85" zoomScalePageLayoutView="100" workbookViewId="0">
      <selection pane="topLeft" activeCell="N69" activeCellId="0" sqref="N69"/>
    </sheetView>
  </sheetViews>
  <sheetFormatPr defaultColWidth="8.73046875" defaultRowHeight="14.25" zeroHeight="false" outlineLevelRow="0" outlineLevelCol="0"/>
  <cols>
    <col collapsed="false" customWidth="true" hidden="false" outlineLevel="0" max="1" min="1" style="0" width="48.78"/>
    <col collapsed="false" customWidth="true" hidden="false" outlineLevel="0" max="9" min="2" style="0" width="11.77"/>
    <col collapsed="false" customWidth="true" hidden="false" outlineLevel="0" max="10" min="10" style="0" width="17.86"/>
    <col collapsed="false" customWidth="true" hidden="false" outlineLevel="0" max="11" min="11" style="0" width="14.73"/>
    <col collapsed="false" customWidth="true" hidden="false" outlineLevel="0" max="12" min="12" style="0" width="17.86"/>
    <col collapsed="false" customWidth="true" hidden="false" outlineLevel="0" max="14" min="13" style="0" width="16.82"/>
  </cols>
  <sheetData>
    <row r="1" customFormat="false" ht="60" hidden="false" customHeight="true" outlineLevel="0" collapsed="false">
      <c r="A1" s="7" t="s">
        <v>5</v>
      </c>
      <c r="B1" s="8" t="n">
        <f aca="false">+C1-1</f>
        <v>2015</v>
      </c>
      <c r="C1" s="8" t="n">
        <f aca="false">+D1-1</f>
        <v>2016</v>
      </c>
      <c r="D1" s="8" t="n">
        <f aca="false">+E1-1</f>
        <v>2017</v>
      </c>
      <c r="E1" s="8" t="n">
        <f aca="false">+F1-1</f>
        <v>2018</v>
      </c>
      <c r="F1" s="8" t="n">
        <f aca="false">+G1-1</f>
        <v>2019</v>
      </c>
      <c r="G1" s="8" t="n">
        <f aca="false">+H1-1</f>
        <v>2020</v>
      </c>
      <c r="H1" s="8" t="n">
        <f aca="false">+I1-1</f>
        <v>2021</v>
      </c>
      <c r="I1" s="8" t="n">
        <v>2022</v>
      </c>
      <c r="J1" s="44" t="n">
        <f aca="false">+I1+1</f>
        <v>2023</v>
      </c>
      <c r="K1" s="44" t="n">
        <f aca="false">+J1+1</f>
        <v>2024</v>
      </c>
      <c r="L1" s="44" t="n">
        <f aca="false">+K1+1</f>
        <v>2025</v>
      </c>
      <c r="M1" s="44" t="n">
        <f aca="false">+L1+1</f>
        <v>2026</v>
      </c>
      <c r="N1" s="44" t="n">
        <f aca="false">+M1+1</f>
        <v>2027</v>
      </c>
    </row>
    <row r="2" customFormat="false" ht="14.25" hidden="false" customHeight="false" outlineLevel="0" collapsed="false">
      <c r="A2" s="45" t="s">
        <v>132</v>
      </c>
      <c r="B2" s="45"/>
      <c r="C2" s="45"/>
      <c r="D2" s="45"/>
      <c r="E2" s="45"/>
      <c r="F2" s="45"/>
      <c r="G2" s="45"/>
      <c r="H2" s="45"/>
      <c r="I2" s="45"/>
      <c r="J2" s="44"/>
      <c r="K2" s="44"/>
      <c r="L2" s="44"/>
      <c r="M2" s="44"/>
      <c r="N2" s="44"/>
    </row>
    <row r="3" customFormat="false" ht="13.8" hidden="false" customHeight="false" outlineLevel="0" collapsed="false">
      <c r="A3" s="13" t="s">
        <v>133</v>
      </c>
      <c r="B3" s="9" t="n">
        <v>30601</v>
      </c>
      <c r="C3" s="9" t="n">
        <v>32376</v>
      </c>
      <c r="D3" s="9" t="n">
        <v>34350</v>
      </c>
      <c r="E3" s="9" t="n">
        <f aca="false">36397</f>
        <v>36397</v>
      </c>
      <c r="F3" s="9" t="n">
        <v>39117</v>
      </c>
      <c r="G3" s="9" t="n">
        <f aca="false">37403</f>
        <v>37403</v>
      </c>
      <c r="H3" s="9" t="n">
        <v>44538</v>
      </c>
      <c r="I3" s="9" t="n">
        <v>46710</v>
      </c>
      <c r="J3" s="9" t="n">
        <f aca="false">I3*(J4+1)</f>
        <v>55117.8</v>
      </c>
      <c r="K3" s="9" t="n">
        <f aca="false">J3*(K4+1)</f>
        <v>59379.3315401441</v>
      </c>
      <c r="L3" s="9" t="n">
        <f aca="false">K3*(L4+1)</f>
        <v>64137.29774334</v>
      </c>
      <c r="M3" s="9" t="n">
        <f aca="false">L3*(M4+1)</f>
        <v>69437.8838183415</v>
      </c>
      <c r="N3" s="9" t="n">
        <f aca="false">M3*(N4+1)</f>
        <v>75373.0805248757</v>
      </c>
    </row>
    <row r="4" customFormat="false" ht="13.8" hidden="false" customHeight="false" outlineLevel="0" collapsed="false">
      <c r="A4" s="46" t="s">
        <v>134</v>
      </c>
      <c r="B4" s="47" t="n">
        <v>0.1</v>
      </c>
      <c r="C4" s="47" t="n">
        <f aca="false">(C3-B3)/C3</f>
        <v>0.0548245614035088</v>
      </c>
      <c r="D4" s="47" t="n">
        <v>0.06</v>
      </c>
      <c r="E4" s="47" t="n">
        <v>0.06</v>
      </c>
      <c r="F4" s="47" t="n">
        <f aca="false">(F3-E3)/F3</f>
        <v>0.0695349847892221</v>
      </c>
      <c r="G4" s="47" t="n">
        <f aca="false">(G3-F3)/G3</f>
        <v>-0.0458252011870706</v>
      </c>
      <c r="H4" s="47" t="n">
        <v>0.19</v>
      </c>
      <c r="I4" s="47" t="n">
        <v>0.05</v>
      </c>
      <c r="J4" s="47" t="n">
        <v>0.18</v>
      </c>
      <c r="K4" s="47" t="n">
        <f aca="false">(SUM(C4:J4))/8</f>
        <v>0.0773167931257075</v>
      </c>
      <c r="L4" s="47" t="n">
        <f aca="false">(SUM(D4:K4))/8</f>
        <v>0.0801283220909824</v>
      </c>
      <c r="M4" s="47" t="n">
        <f aca="false">(SUM(E4:L4))/8</f>
        <v>0.0826443623523552</v>
      </c>
      <c r="N4" s="47" t="n">
        <f aca="false">(SUM(F4:M4))/8</f>
        <v>0.0854749076463996</v>
      </c>
    </row>
    <row r="5" customFormat="false" ht="13.8" hidden="false" customHeight="false" outlineLevel="0" collapsed="false">
      <c r="A5" s="13" t="s">
        <v>135</v>
      </c>
      <c r="B5" s="0" t="n">
        <f aca="false">B11+B8</f>
        <v>4839</v>
      </c>
      <c r="C5" s="0" t="n">
        <f aca="false">C11+C8</f>
        <v>5291</v>
      </c>
      <c r="D5" s="0" t="n">
        <f aca="false">D11+D8</f>
        <v>5651</v>
      </c>
      <c r="E5" s="0" t="n">
        <f aca="false">E11+E8</f>
        <v>5126</v>
      </c>
      <c r="F5" s="0" t="n">
        <f aca="false">F11+F8</f>
        <v>5555</v>
      </c>
      <c r="G5" s="0" t="n">
        <f aca="false">G11+G8</f>
        <v>3697</v>
      </c>
      <c r="H5" s="0" t="n">
        <f aca="false">H11+H8</f>
        <v>7667</v>
      </c>
      <c r="I5" s="0" t="n">
        <f aca="false">I11+I8</f>
        <v>7573</v>
      </c>
      <c r="J5" s="48" t="n">
        <f aca="false">0.9876*I5</f>
        <v>7479.0948</v>
      </c>
      <c r="K5" s="48" t="n">
        <f aca="false">0.9876*J5</f>
        <v>7386.35402448</v>
      </c>
      <c r="L5" s="48" t="n">
        <f aca="false">0.9876*K5</f>
        <v>7294.76323457645</v>
      </c>
      <c r="M5" s="48" t="n">
        <f aca="false">0.9876*L5</f>
        <v>7204.3081704677</v>
      </c>
      <c r="N5" s="48" t="n">
        <f aca="false">0.9876*M5</f>
        <v>7114.9747491539</v>
      </c>
    </row>
    <row r="6" customFormat="false" ht="13.8" hidden="false" customHeight="false" outlineLevel="0" collapsed="false">
      <c r="A6" s="46" t="s">
        <v>134</v>
      </c>
      <c r="B6" s="47" t="n">
        <f aca="false">(4839-4095)/4839</f>
        <v>0.153750774953503</v>
      </c>
      <c r="C6" s="47" t="n">
        <f aca="false">(C5-B5)/C5</f>
        <v>0.0854280854280854</v>
      </c>
      <c r="D6" s="47" t="n">
        <f aca="false">(D5-C5)/D5</f>
        <v>0.0637055388426827</v>
      </c>
      <c r="E6" s="47" t="n">
        <f aca="false">(E5-D5)/E5</f>
        <v>-0.102419040187281</v>
      </c>
      <c r="F6" s="47" t="n">
        <f aca="false">(F5-E5)/F5</f>
        <v>0.0772277227722772</v>
      </c>
      <c r="G6" s="47" t="n">
        <f aca="false">(G5-F5)/G5</f>
        <v>-0.502569651068434</v>
      </c>
      <c r="H6" s="47" t="n">
        <f aca="false">(H5-G5)/H5</f>
        <v>0.517803573757663</v>
      </c>
      <c r="I6" s="47" t="n">
        <f aca="false">(I5-H5)/I5</f>
        <v>-0.012412518156609</v>
      </c>
      <c r="J6" s="47" t="n">
        <f aca="false">(J5-I5)/J5</f>
        <v>-0.012555690562981</v>
      </c>
      <c r="K6" s="47" t="n">
        <f aca="false">(K5-J5)/K5</f>
        <v>-0.012555690562981</v>
      </c>
      <c r="L6" s="47" t="n">
        <f aca="false">(L5-K5)/L5</f>
        <v>-0.012555690562981</v>
      </c>
      <c r="M6" s="47" t="n">
        <f aca="false">(M5-L5)/M5</f>
        <v>-0.012555690562981</v>
      </c>
      <c r="N6" s="47" t="n">
        <f aca="false">(N5-M5)/N5</f>
        <v>-0.012555690562981</v>
      </c>
    </row>
    <row r="7" customFormat="false" ht="14.25" hidden="false" customHeight="false" outlineLevel="0" collapsed="false">
      <c r="A7" s="46" t="s">
        <v>136</v>
      </c>
      <c r="B7" s="47" t="n">
        <f aca="false">B5/B3</f>
        <v>0.158132087186693</v>
      </c>
      <c r="C7" s="47" t="n">
        <f aca="false">C5/C3</f>
        <v>0.163423523597727</v>
      </c>
      <c r="D7" s="47" t="n">
        <f aca="false">D5/D3</f>
        <v>0.164512372634643</v>
      </c>
      <c r="E7" s="47" t="n">
        <f aca="false">E5/E3</f>
        <v>0.140835783168942</v>
      </c>
      <c r="F7" s="47" t="n">
        <f aca="false">F5/F3</f>
        <v>0.1420098678324</v>
      </c>
      <c r="G7" s="47" t="n">
        <f aca="false">G5/G3</f>
        <v>0.0988423388498249</v>
      </c>
      <c r="H7" s="47" t="n">
        <f aca="false">H5/H3</f>
        <v>0.172145134491895</v>
      </c>
      <c r="I7" s="47" t="n">
        <f aca="false">I5/I3</f>
        <v>0.162128023977735</v>
      </c>
      <c r="J7" s="47" t="n">
        <f aca="false">J5/J3</f>
        <v>0.135692912271535</v>
      </c>
      <c r="K7" s="47" t="n">
        <f aca="false">K5/K3</f>
        <v>0.124392677264923</v>
      </c>
      <c r="L7" s="47" t="n">
        <f aca="false">L5/L3</f>
        <v>0.113736678831841</v>
      </c>
      <c r="M7" s="47" t="n">
        <f aca="false">M5/M3</f>
        <v>0.103751839403907</v>
      </c>
      <c r="N7" s="47" t="n">
        <f aca="false">N5/N3</f>
        <v>0.0943967620748328</v>
      </c>
    </row>
    <row r="8" customFormat="false" ht="14.25" hidden="false" customHeight="false" outlineLevel="0" collapsed="false">
      <c r="A8" s="13" t="s">
        <v>137</v>
      </c>
      <c r="B8" s="0" t="n">
        <v>606</v>
      </c>
      <c r="C8" s="0" t="n">
        <v>649</v>
      </c>
      <c r="D8" s="0" t="n">
        <v>706</v>
      </c>
      <c r="E8" s="0" t="n">
        <v>747</v>
      </c>
      <c r="F8" s="0" t="n">
        <v>705</v>
      </c>
      <c r="G8" s="0" t="n">
        <v>721</v>
      </c>
      <c r="H8" s="0" t="n">
        <v>744</v>
      </c>
      <c r="I8" s="0" t="n">
        <v>717</v>
      </c>
      <c r="J8" s="48" t="n">
        <f aca="false">I8*0.96</f>
        <v>688.32</v>
      </c>
      <c r="K8" s="48" t="n">
        <f aca="false">J8*0.96</f>
        <v>660.7872</v>
      </c>
      <c r="L8" s="48" t="n">
        <f aca="false">K8*0.96</f>
        <v>634.355712</v>
      </c>
      <c r="M8" s="48" t="n">
        <f aca="false">L8*0.96</f>
        <v>608.98148352</v>
      </c>
      <c r="N8" s="48" t="n">
        <f aca="false">M8*0.96</f>
        <v>584.6222241792</v>
      </c>
    </row>
    <row r="9" customFormat="false" ht="13.8" hidden="false" customHeight="false" outlineLevel="0" collapsed="false">
      <c r="A9" s="46" t="s">
        <v>134</v>
      </c>
      <c r="B9" s="47" t="n">
        <f aca="false">(606-518)/606</f>
        <v>0.145214521452145</v>
      </c>
      <c r="C9" s="47" t="n">
        <f aca="false">(C8-B8)/C8</f>
        <v>0.0662557781201849</v>
      </c>
      <c r="D9" s="47" t="n">
        <f aca="false">(D8-C8)/D8</f>
        <v>0.0807365439093484</v>
      </c>
      <c r="E9" s="47" t="n">
        <f aca="false">(E8-D8)/E8</f>
        <v>0.0548862115127175</v>
      </c>
      <c r="F9" s="47" t="n">
        <f aca="false">(F8-E8)/F8</f>
        <v>-0.0595744680851064</v>
      </c>
      <c r="G9" s="47" t="n">
        <f aca="false">(G8-F8)/G8</f>
        <v>0.0221914008321775</v>
      </c>
      <c r="H9" s="47" t="n">
        <f aca="false">(H8-G8)/H8</f>
        <v>0.0309139784946237</v>
      </c>
      <c r="I9" s="47" t="n">
        <f aca="false">(I8-H8)/I8</f>
        <v>-0.0376569037656904</v>
      </c>
      <c r="J9" s="47" t="n">
        <f aca="false">(J8-I8)/J8</f>
        <v>-0.0416666666666668</v>
      </c>
      <c r="K9" s="47" t="n">
        <f aca="false">(K8-J8)/K8</f>
        <v>-0.0416666666666668</v>
      </c>
      <c r="L9" s="47" t="n">
        <f aca="false">(L8-K8)/L8</f>
        <v>-0.0416666666666668</v>
      </c>
      <c r="M9" s="47" t="n">
        <f aca="false">(M8-L8)/M8</f>
        <v>-0.0416666666666668</v>
      </c>
      <c r="N9" s="47" t="n">
        <f aca="false">(N8-M8)/N8</f>
        <v>-0.0416666666666667</v>
      </c>
    </row>
    <row r="10" customFormat="false" ht="14.25" hidden="false" customHeight="false" outlineLevel="0" collapsed="false">
      <c r="A10" s="46" t="s">
        <v>138</v>
      </c>
      <c r="B10" s="47" t="n">
        <f aca="false">B8/B3</f>
        <v>0.0198032744027973</v>
      </c>
      <c r="C10" s="47" t="n">
        <f aca="false">C8/C3</f>
        <v>0.0200457128737336</v>
      </c>
      <c r="D10" s="47" t="n">
        <f aca="false">D8/D3</f>
        <v>0.0205531295487627</v>
      </c>
      <c r="E10" s="47" t="n">
        <f aca="false">E8/E3</f>
        <v>0.0205236695332033</v>
      </c>
      <c r="F10" s="47" t="n">
        <f aca="false">F8/F3</f>
        <v>0.0180228545133829</v>
      </c>
      <c r="G10" s="47" t="n">
        <f aca="false">G8/G3</f>
        <v>0.0192765286206989</v>
      </c>
      <c r="H10" s="47" t="n">
        <f aca="false">H8/H3</f>
        <v>0.0167048363195474</v>
      </c>
      <c r="I10" s="47" t="n">
        <f aca="false">I8/I3</f>
        <v>0.0153500321130379</v>
      </c>
      <c r="J10" s="47" t="n">
        <f aca="false">J8/J3</f>
        <v>0.0124881617190817</v>
      </c>
      <c r="K10" s="47" t="n">
        <f aca="false">K8/K3</f>
        <v>0.0111282357490546</v>
      </c>
      <c r="L10" s="47" t="n">
        <f aca="false">L8/L3</f>
        <v>0.00989058994250925</v>
      </c>
      <c r="M10" s="47" t="n">
        <f aca="false">M8/M3</f>
        <v>0.00877016190633307</v>
      </c>
      <c r="N10" s="47" t="n">
        <f aca="false">N8/N3</f>
        <v>0.0077563796000915</v>
      </c>
    </row>
    <row r="11" customFormat="false" ht="13.8" hidden="false" customHeight="false" outlineLevel="0" collapsed="false">
      <c r="A11" s="13" t="s">
        <v>139</v>
      </c>
      <c r="B11" s="0" t="n">
        <v>4233</v>
      </c>
      <c r="C11" s="0" t="n">
        <v>4642</v>
      </c>
      <c r="D11" s="0" t="n">
        <v>4945</v>
      </c>
      <c r="E11" s="0" t="n">
        <v>4379</v>
      </c>
      <c r="F11" s="0" t="n">
        <v>4850</v>
      </c>
      <c r="G11" s="0" t="n">
        <v>2976</v>
      </c>
      <c r="H11" s="0" t="n">
        <v>6923</v>
      </c>
      <c r="I11" s="0" t="n">
        <v>6856</v>
      </c>
      <c r="J11" s="0" t="n">
        <v>6789</v>
      </c>
      <c r="K11" s="0" t="n">
        <v>6722</v>
      </c>
      <c r="L11" s="0" t="n">
        <v>6655</v>
      </c>
      <c r="M11" s="0" t="n">
        <v>6588</v>
      </c>
      <c r="N11" s="0" t="n">
        <v>6521</v>
      </c>
    </row>
    <row r="12" customFormat="false" ht="14.25" hidden="false" customHeight="false" outlineLevel="0" collapsed="false">
      <c r="A12" s="46" t="s">
        <v>134</v>
      </c>
      <c r="B12" s="47" t="n">
        <f aca="false">(4233-3577)/4233</f>
        <v>0.154972832506497</v>
      </c>
      <c r="C12" s="47" t="n">
        <f aca="false">(C11-B11)/C11</f>
        <v>0.0881085738905644</v>
      </c>
      <c r="D12" s="47" t="n">
        <f aca="false">(D11-C11)/D11</f>
        <v>0.0612740141557128</v>
      </c>
      <c r="E12" s="47" t="n">
        <f aca="false">(E11-D11)/E11</f>
        <v>-0.129253254167618</v>
      </c>
      <c r="F12" s="47" t="n">
        <f aca="false">(F11-E11)/F11</f>
        <v>0.0971134020618557</v>
      </c>
      <c r="G12" s="47" t="n">
        <f aca="false">(G11-F11)/G11</f>
        <v>-0.629704301075269</v>
      </c>
      <c r="H12" s="47" t="n">
        <f aca="false">(H11-G11)/H11</f>
        <v>0.570128556983967</v>
      </c>
      <c r="I12" s="47" t="n">
        <f aca="false">(I11-H11)/I11</f>
        <v>-0.00977246207701284</v>
      </c>
      <c r="J12" s="47" t="n">
        <f aca="false">(J11-I11)/J11</f>
        <v>-0.00986890558256002</v>
      </c>
      <c r="K12" s="47" t="n">
        <f aca="false">(K11-J11)/K11</f>
        <v>-0.00996727164534365</v>
      </c>
      <c r="L12" s="47" t="n">
        <f aca="false">(L11-K11)/L11</f>
        <v>-0.0100676183320811</v>
      </c>
      <c r="M12" s="47" t="n">
        <f aca="false">(M11-L11)/M11</f>
        <v>-0.0101700060716454</v>
      </c>
      <c r="N12" s="47" t="n">
        <f aca="false">(N11-M11)/N11</f>
        <v>-0.0102744977764147</v>
      </c>
    </row>
    <row r="13" customFormat="false" ht="14.25" hidden="false" customHeight="false" outlineLevel="0" collapsed="false">
      <c r="A13" s="46" t="s">
        <v>136</v>
      </c>
      <c r="B13" s="47" t="n">
        <f aca="false">B11/B3</f>
        <v>0.138328812783896</v>
      </c>
      <c r="C13" s="47" t="n">
        <f aca="false">C11/C3</f>
        <v>0.143377810723993</v>
      </c>
      <c r="D13" s="47" t="n">
        <f aca="false">D11/D3</f>
        <v>0.143959243085881</v>
      </c>
      <c r="E13" s="47" t="n">
        <f aca="false">E11/E3</f>
        <v>0.120312113635739</v>
      </c>
      <c r="F13" s="47" t="n">
        <f aca="false">F11/F3</f>
        <v>0.123987013319017</v>
      </c>
      <c r="G13" s="47" t="n">
        <f aca="false">G11/G3</f>
        <v>0.079565810229126</v>
      </c>
      <c r="H13" s="47" t="n">
        <f aca="false">H11/H3</f>
        <v>0.155440298172347</v>
      </c>
      <c r="I13" s="47" t="n">
        <f aca="false">I11/I3</f>
        <v>0.146777991864697</v>
      </c>
      <c r="J13" s="47" t="n">
        <f aca="false">J11/J3</f>
        <v>0.123172550428355</v>
      </c>
      <c r="K13" s="47" t="n">
        <f aca="false">K11/K3</f>
        <v>0.11320437306465</v>
      </c>
      <c r="L13" s="47" t="n">
        <f aca="false">L11/L3</f>
        <v>0.103761777220978</v>
      </c>
      <c r="M13" s="47" t="n">
        <f aca="false">M11/M3</f>
        <v>0.0948761632372764</v>
      </c>
      <c r="N13" s="47" t="n">
        <f aca="false">N11/N3</f>
        <v>0.0865162993815524</v>
      </c>
    </row>
    <row r="14" customFormat="false" ht="14.25" hidden="false" customHeight="false" outlineLevel="0" collapsed="false">
      <c r="A14" s="13" t="s">
        <v>140</v>
      </c>
      <c r="B14" s="0" t="n">
        <v>3011</v>
      </c>
      <c r="C14" s="0" t="n">
        <v>3520</v>
      </c>
      <c r="D14" s="0" t="n">
        <v>3989</v>
      </c>
      <c r="E14" s="0" t="n">
        <v>4454</v>
      </c>
      <c r="F14" s="0" t="n">
        <v>4744</v>
      </c>
      <c r="G14" s="0" t="n">
        <v>4866</v>
      </c>
      <c r="H14" s="0" t="n">
        <v>4904</v>
      </c>
      <c r="I14" s="0" t="n">
        <v>4791</v>
      </c>
      <c r="J14" s="0" t="n">
        <v>4678</v>
      </c>
      <c r="K14" s="0" t="n">
        <v>4565</v>
      </c>
      <c r="L14" s="0" t="n">
        <v>4452</v>
      </c>
      <c r="M14" s="0" t="n">
        <v>4339</v>
      </c>
      <c r="N14" s="0" t="n">
        <v>4226</v>
      </c>
    </row>
    <row r="15" customFormat="false" ht="14.25" hidden="false" customHeight="false" outlineLevel="0" collapsed="false">
      <c r="A15" s="46" t="s">
        <v>134</v>
      </c>
      <c r="B15" s="47" t="n">
        <f aca="false">(3011-2834)/3011</f>
        <v>0.0587844569910329</v>
      </c>
      <c r="C15" s="47" t="n">
        <f aca="false">(C14-B14)/C14</f>
        <v>0.144602272727273</v>
      </c>
      <c r="D15" s="47" t="n">
        <f aca="false">(D14-C14)/D14</f>
        <v>0.117573326648283</v>
      </c>
      <c r="E15" s="47" t="n">
        <f aca="false">(E14-D14)/E14</f>
        <v>0.104400538841491</v>
      </c>
      <c r="F15" s="47" t="n">
        <f aca="false">(F14-E14)/F14</f>
        <v>0.0611298482293423</v>
      </c>
      <c r="G15" s="47" t="n">
        <f aca="false">(G14-F14)/G14</f>
        <v>0.0250719276613235</v>
      </c>
      <c r="H15" s="47" t="n">
        <f aca="false">(H14-G14)/H14</f>
        <v>0.00774877650897227</v>
      </c>
      <c r="I15" s="47" t="n">
        <f aca="false">(I14-H14)/I14</f>
        <v>-0.0235858902108119</v>
      </c>
      <c r="J15" s="47" t="n">
        <f aca="false">(J14-I14)/J14</f>
        <v>-0.0241556220607097</v>
      </c>
      <c r="K15" s="47" t="n">
        <f aca="false">(K14-J14)/K14</f>
        <v>-0.0247535596933187</v>
      </c>
      <c r="L15" s="47" t="n">
        <f aca="false">(L14-K14)/L14</f>
        <v>-0.025381850853549</v>
      </c>
      <c r="M15" s="47" t="n">
        <f aca="false">(M14-L14)/M14</f>
        <v>-0.0260428670200507</v>
      </c>
      <c r="N15" s="47" t="n">
        <f aca="false">(N14-M14)/N14</f>
        <v>-0.026739233317558</v>
      </c>
    </row>
    <row r="16" customFormat="false" ht="14.25" hidden="false" customHeight="false" outlineLevel="0" collapsed="false">
      <c r="A16" s="46" t="s">
        <v>138</v>
      </c>
      <c r="B16" s="47" t="n">
        <f aca="false">B14/B3</f>
        <v>0.0983954772719846</v>
      </c>
      <c r="C16" s="47" t="n">
        <f aca="false">C14/C3</f>
        <v>0.108722510501606</v>
      </c>
      <c r="D16" s="47" t="n">
        <f aca="false">D14/D3</f>
        <v>0.116128093158661</v>
      </c>
      <c r="E16" s="47" t="n">
        <f aca="false">E14/E3</f>
        <v>0.122372723026623</v>
      </c>
      <c r="F16" s="47" t="n">
        <f aca="false">F14/F3</f>
        <v>0.121277194058849</v>
      </c>
      <c r="G16" s="47" t="n">
        <f aca="false">G14/G3</f>
        <v>0.13009651632222</v>
      </c>
      <c r="H16" s="47" t="n">
        <f aca="false">H14/H3</f>
        <v>0.110108222192285</v>
      </c>
      <c r="I16" s="47" t="n">
        <f aca="false">I14/I3</f>
        <v>0.102569043031471</v>
      </c>
      <c r="J16" s="47" t="n">
        <f aca="false">J14/J3</f>
        <v>0.084872763426697</v>
      </c>
      <c r="K16" s="47" t="n">
        <f aca="false">K14/K3</f>
        <v>0.0768786020589298</v>
      </c>
      <c r="L16" s="47" t="n">
        <f aca="false">L14/L3</f>
        <v>0.0694135886082337</v>
      </c>
      <c r="M16" s="47" t="n">
        <f aca="false">M14/M3</f>
        <v>0.0624875033828996</v>
      </c>
      <c r="N16" s="47" t="n">
        <f aca="false">N14/N3</f>
        <v>0.0560677627950376</v>
      </c>
    </row>
    <row r="17" customFormat="false" ht="14.25" hidden="false" customHeight="false" outlineLevel="0" collapsed="false">
      <c r="A17" s="49" t="str">
        <f aca="false">+Historicals!A107</f>
        <v>North America</v>
      </c>
      <c r="B17" s="49"/>
      <c r="C17" s="49"/>
      <c r="D17" s="49"/>
      <c r="E17" s="49"/>
      <c r="F17" s="49"/>
      <c r="G17" s="49"/>
      <c r="H17" s="49"/>
      <c r="I17" s="49"/>
      <c r="J17" s="44"/>
      <c r="K17" s="44"/>
      <c r="L17" s="44"/>
      <c r="M17" s="44"/>
      <c r="N17" s="44"/>
    </row>
    <row r="18" customFormat="false" ht="13.8" hidden="false" customHeight="false" outlineLevel="0" collapsed="false">
      <c r="A18" s="13" t="s">
        <v>141</v>
      </c>
      <c r="B18" s="13" t="n">
        <f aca="false">+Historicals!B107</f>
        <v>13740</v>
      </c>
      <c r="C18" s="13" t="n">
        <f aca="false">+Historicals!C107</f>
        <v>14764</v>
      </c>
      <c r="D18" s="13" t="n">
        <f aca="false">+Historicals!D107</f>
        <v>15216</v>
      </c>
      <c r="E18" s="13" t="n">
        <f aca="false">+Historicals!E107</f>
        <v>14855</v>
      </c>
      <c r="F18" s="13" t="n">
        <f aca="false">+Historicals!F107</f>
        <v>15902</v>
      </c>
      <c r="G18" s="13" t="n">
        <f aca="false">+Historicals!G107</f>
        <v>14484</v>
      </c>
      <c r="H18" s="13" t="n">
        <f aca="false">+Historicals!H107</f>
        <v>17179</v>
      </c>
      <c r="I18" s="13" t="n">
        <f aca="false">+Historicals!I107</f>
        <v>18353</v>
      </c>
      <c r="J18" s="13" t="n">
        <f aca="false">I18*(J19+1)</f>
        <v>19080.5443356687</v>
      </c>
      <c r="K18" s="13" t="n">
        <f aca="false">J18*(K19+1)</f>
        <v>19931.4779539874</v>
      </c>
      <c r="L18" s="13" t="n">
        <f aca="false">K18*(L19+1)</f>
        <v>20745.7919463959</v>
      </c>
      <c r="M18" s="13" t="n">
        <f aca="false">L18*(M19+1)</f>
        <v>21619.9316273248</v>
      </c>
      <c r="N18" s="13" t="n">
        <f aca="false">M18*(N19+1)</f>
        <v>22708.8920550228</v>
      </c>
    </row>
    <row r="19" customFormat="false" ht="13.8" hidden="false" customHeight="false" outlineLevel="0" collapsed="false">
      <c r="A19" s="50" t="s">
        <v>134</v>
      </c>
      <c r="B19" s="51" t="str">
        <f aca="false">+IFERROR(B18/A18-1,"nm")</f>
        <v>nm</v>
      </c>
      <c r="C19" s="51" t="n">
        <f aca="false">+IFERROR(C18/B18-1,"nm")</f>
        <v>0.0745269286754002</v>
      </c>
      <c r="D19" s="51" t="n">
        <f aca="false">+IFERROR(D18/C18-1,"nm")</f>
        <v>0.030615009482525</v>
      </c>
      <c r="E19" s="51" t="n">
        <f aca="false">+IFERROR(E18/D18-1,"nm")</f>
        <v>-0.0237250262881178</v>
      </c>
      <c r="F19" s="51" t="n">
        <f aca="false">+IFERROR(F18/E18-1,"nm")</f>
        <v>0.0704813194210703</v>
      </c>
      <c r="G19" s="51" t="n">
        <f aca="false">+IFERROR(G18/F18-1,"nm")</f>
        <v>-0.0891711734373035</v>
      </c>
      <c r="H19" s="51" t="n">
        <f aca="false">+IFERROR(H18/G18-1,"nm")</f>
        <v>0.186067384700359</v>
      </c>
      <c r="I19" s="51" t="n">
        <f aca="false">+IFERROR(I18/H18-1,"nm")</f>
        <v>0.0683392514116072</v>
      </c>
      <c r="J19" s="47" t="n">
        <f aca="false">(SUM(B19:I19))/8</f>
        <v>0.0396417117456926</v>
      </c>
      <c r="K19" s="47" t="n">
        <f aca="false">(SUM(C19:J19))/8</f>
        <v>0.0445969257139041</v>
      </c>
      <c r="L19" s="47" t="n">
        <f aca="false">(SUM(D19:K19))/8</f>
        <v>0.0408556753437171</v>
      </c>
      <c r="M19" s="47" t="n">
        <f aca="false">(SUM(E19:L19))/8</f>
        <v>0.0421357585763661</v>
      </c>
      <c r="N19" s="47" t="n">
        <f aca="false">(SUM(F19:M19))/8</f>
        <v>0.0503683566844266</v>
      </c>
      <c r="O19" s="47"/>
      <c r="P19" s="47"/>
      <c r="Q19" s="47"/>
      <c r="R19" s="47"/>
    </row>
    <row r="20" customFormat="false" ht="14.25" hidden="false" customHeight="false" outlineLevel="0" collapsed="false">
      <c r="A20" s="52" t="s">
        <v>107</v>
      </c>
      <c r="B20" s="9" t="n">
        <f aca="false">+Historicals!B108</f>
        <v>8506</v>
      </c>
      <c r="C20" s="9" t="n">
        <f aca="false">+Historicals!C108</f>
        <v>9299</v>
      </c>
      <c r="D20" s="9" t="n">
        <f aca="false">+Historicals!D108</f>
        <v>9684</v>
      </c>
      <c r="E20" s="9" t="n">
        <f aca="false">+Historicals!E108</f>
        <v>9322</v>
      </c>
      <c r="F20" s="9" t="n">
        <f aca="false">+Historicals!F108</f>
        <v>10045</v>
      </c>
      <c r="G20" s="9" t="n">
        <f aca="false">+Historicals!G108</f>
        <v>9329</v>
      </c>
      <c r="H20" s="9" t="n">
        <f aca="false">+Historicals!H108</f>
        <v>11644</v>
      </c>
      <c r="I20" s="9" t="n">
        <f aca="false">+Historicals!I108</f>
        <v>12228</v>
      </c>
      <c r="J20" s="53" t="n">
        <f aca="false">I20*(J21+1)</f>
        <v>14918.16</v>
      </c>
      <c r="K20" s="53" t="n">
        <f aca="false">J20*(K21+1)</f>
        <v>18349.3368</v>
      </c>
      <c r="L20" s="53" t="n">
        <f aca="false">K20*(L21+1)</f>
        <v>22753.177632</v>
      </c>
      <c r="M20" s="53" t="n">
        <f aca="false">L20*(M21+1)</f>
        <v>28441.47204</v>
      </c>
      <c r="N20" s="53" t="n">
        <f aca="false">M20*(N21+1)</f>
        <v>35836.2547704</v>
      </c>
    </row>
    <row r="21" customFormat="false" ht="14.25" hidden="false" customHeight="false" outlineLevel="0" collapsed="false">
      <c r="A21" s="50" t="s">
        <v>134</v>
      </c>
      <c r="B21" s="51" t="str">
        <f aca="false">+IFERROR(B20/A20-1,"nm")</f>
        <v>nm</v>
      </c>
      <c r="C21" s="51" t="n">
        <f aca="false">+IFERROR(C20/B20-1,"nm")</f>
        <v>0.0932283094286386</v>
      </c>
      <c r="D21" s="51" t="n">
        <f aca="false">+IFERROR(D20/C20-1,"nm")</f>
        <v>0.0414023013227229</v>
      </c>
      <c r="E21" s="51" t="n">
        <f aca="false">+IFERROR(E20/D20-1,"nm")</f>
        <v>-0.0373812474184222</v>
      </c>
      <c r="F21" s="51" t="n">
        <f aca="false">+IFERROR(F20/E20-1,"nm")</f>
        <v>0.0775584638489595</v>
      </c>
      <c r="G21" s="51" t="n">
        <f aca="false">+IFERROR(G20/F20-1,"nm")</f>
        <v>-0.071279243404679</v>
      </c>
      <c r="H21" s="51" t="n">
        <f aca="false">+IFERROR(H20/G20-1,"nm")</f>
        <v>0.248150927216207</v>
      </c>
      <c r="I21" s="51" t="n">
        <f aca="false">+IFERROR(I20/H20-1,"nm")</f>
        <v>0.0501545860529027</v>
      </c>
      <c r="J21" s="47" t="n">
        <v>0.22</v>
      </c>
      <c r="K21" s="47" t="n">
        <v>0.23</v>
      </c>
      <c r="L21" s="47" t="n">
        <v>0.24</v>
      </c>
      <c r="M21" s="47" t="n">
        <v>0.25</v>
      </c>
      <c r="N21" s="47" t="n">
        <v>0.26</v>
      </c>
    </row>
    <row r="22" customFormat="false" ht="14.25" hidden="false" customHeight="false" outlineLevel="0" collapsed="false">
      <c r="A22" s="50" t="s">
        <v>142</v>
      </c>
      <c r="B22" s="51" t="n">
        <f aca="false">+Historicals!B180</f>
        <v>0.134889926617745</v>
      </c>
      <c r="C22" s="51" t="n">
        <f aca="false">+Historicals!C180</f>
        <v>0.0932283094286386</v>
      </c>
      <c r="D22" s="51" t="n">
        <f aca="false">+Historicals!D180</f>
        <v>0.0414023013227229</v>
      </c>
      <c r="E22" s="51" t="n">
        <f aca="false">+Historicals!E180</f>
        <v>-0.0373812474184221</v>
      </c>
      <c r="F22" s="51" t="n">
        <f aca="false">+Historicals!F180</f>
        <v>0.0775584638489595</v>
      </c>
      <c r="G22" s="51" t="n">
        <f aca="false">+Historicals!G180</f>
        <v>-0.071279243404679</v>
      </c>
      <c r="H22" s="51" t="n">
        <f aca="false">+Historicals!H180</f>
        <v>0.248150927216207</v>
      </c>
      <c r="I22" s="51" t="n">
        <f aca="false">+Historicals!I180</f>
        <v>0.05</v>
      </c>
      <c r="J22" s="47" t="n">
        <v>0.05</v>
      </c>
      <c r="K22" s="47" t="n">
        <v>0</v>
      </c>
      <c r="L22" s="47" t="n">
        <v>0</v>
      </c>
      <c r="M22" s="47" t="n">
        <v>0</v>
      </c>
      <c r="N22" s="47" t="n">
        <v>0</v>
      </c>
    </row>
    <row r="23" customFormat="false" ht="14.25" hidden="false" customHeight="false" outlineLevel="0" collapsed="false">
      <c r="A23" s="50" t="s">
        <v>143</v>
      </c>
      <c r="B23" s="51" t="str">
        <f aca="false">+IFERROR(B21-B22,"nm")</f>
        <v>nm</v>
      </c>
      <c r="C23" s="51" t="n">
        <f aca="false">+IFERROR(C21-C22,"nm")</f>
        <v>0</v>
      </c>
      <c r="D23" s="51" t="n">
        <f aca="false">+IFERROR(D21-D22,"nm")</f>
        <v>0</v>
      </c>
      <c r="E23" s="51" t="n">
        <f aca="false">+IFERROR(E21-E22,"nm")</f>
        <v>0</v>
      </c>
      <c r="F23" s="51" t="n">
        <f aca="false">+IFERROR(F21-F22,"nm")</f>
        <v>0</v>
      </c>
      <c r="G23" s="51" t="n">
        <f aca="false">+IFERROR(G21-G22,"nm")</f>
        <v>0</v>
      </c>
      <c r="H23" s="51" t="n">
        <f aca="false">+IFERROR(H21-H22,"nm")</f>
        <v>0</v>
      </c>
      <c r="I23" s="51" t="n">
        <f aca="false">+IFERROR(I21-I22,"nm")</f>
        <v>0.00015458605290268</v>
      </c>
      <c r="J23" s="47" t="n">
        <v>0.17</v>
      </c>
      <c r="K23" s="47" t="n">
        <f aca="false">K21-K22</f>
        <v>0.23</v>
      </c>
      <c r="L23" s="47" t="n">
        <f aca="false">L21-L22</f>
        <v>0.24</v>
      </c>
      <c r="M23" s="47" t="n">
        <f aca="false">M21-M22</f>
        <v>0.25</v>
      </c>
      <c r="N23" s="47" t="n">
        <f aca="false">N21-N22</f>
        <v>0.26</v>
      </c>
    </row>
    <row r="24" customFormat="false" ht="13.8" hidden="false" customHeight="false" outlineLevel="0" collapsed="false">
      <c r="A24" s="52" t="s">
        <v>108</v>
      </c>
      <c r="B24" s="9" t="n">
        <f aca="false">+Historicals!B109</f>
        <v>4410</v>
      </c>
      <c r="C24" s="9" t="n">
        <f aca="false">+Historicals!C109</f>
        <v>4746</v>
      </c>
      <c r="D24" s="9" t="n">
        <f aca="false">+Historicals!D109</f>
        <v>4886</v>
      </c>
      <c r="E24" s="9" t="n">
        <f aca="false">+Historicals!E109</f>
        <v>4938</v>
      </c>
      <c r="F24" s="9" t="n">
        <f aca="false">+Historicals!F109</f>
        <v>5260</v>
      </c>
      <c r="G24" s="9" t="n">
        <f aca="false">+Historicals!G109</f>
        <v>4639</v>
      </c>
      <c r="H24" s="9" t="n">
        <f aca="false">+Historicals!H109</f>
        <v>5028</v>
      </c>
      <c r="I24" s="9" t="n">
        <f aca="false">+Historicals!I109</f>
        <v>5492</v>
      </c>
      <c r="J24" s="48" t="n">
        <f aca="false">I24*(J25+1)</f>
        <v>5656.49699955164</v>
      </c>
      <c r="K24" s="48" t="n">
        <f aca="false">J24*(K25+1)</f>
        <v>5847.09903568583</v>
      </c>
      <c r="L24" s="48" t="n">
        <f aca="false">K24*(L25+1)</f>
        <v>6013.06503787735</v>
      </c>
      <c r="M24" s="48" t="n">
        <f aca="false">L24*(M25+1)</f>
        <v>6182.90441005084</v>
      </c>
      <c r="N24" s="48" t="n">
        <f aca="false">M24*(N25+1)</f>
        <v>6371.14515420719</v>
      </c>
    </row>
    <row r="25" customFormat="false" ht="14.25" hidden="false" customHeight="false" outlineLevel="0" collapsed="false">
      <c r="A25" s="50" t="s">
        <v>134</v>
      </c>
      <c r="B25" s="51" t="str">
        <f aca="false">+IFERROR(B24/A24-1,"nm")</f>
        <v>nm</v>
      </c>
      <c r="C25" s="51" t="n">
        <f aca="false">+IFERROR(C24/B24-1,"nm")</f>
        <v>0.0761904761904761</v>
      </c>
      <c r="D25" s="51" t="n">
        <f aca="false">+IFERROR(D24/C24-1,"nm")</f>
        <v>0.0294985250737463</v>
      </c>
      <c r="E25" s="51" t="n">
        <f aca="false">+IFERROR(E24/D24-1,"nm")</f>
        <v>0.0106426524764633</v>
      </c>
      <c r="F25" s="51" t="n">
        <f aca="false">+IFERROR(F24/E24-1,"nm")</f>
        <v>0.065208586472256</v>
      </c>
      <c r="G25" s="51" t="n">
        <f aca="false">+IFERROR(G24/F24-1,"nm")</f>
        <v>-0.118060836501901</v>
      </c>
      <c r="H25" s="51" t="n">
        <f aca="false">+IFERROR(H24/G24-1,"nm")</f>
        <v>0.0838542789394265</v>
      </c>
      <c r="I25" s="51" t="n">
        <f aca="false">+IFERROR(I24/H24-1,"nm")</f>
        <v>0.092283214001591</v>
      </c>
      <c r="J25" s="47" t="n">
        <f aca="false">(SUM(B25:I25))/8</f>
        <v>0.0299521120815073</v>
      </c>
      <c r="K25" s="47" t="n">
        <f aca="false">(SUM(C25:J25))/8</f>
        <v>0.0336961260916957</v>
      </c>
      <c r="L25" s="47" t="n">
        <f aca="false">(SUM(D25:K25))/8</f>
        <v>0.0283843323293481</v>
      </c>
      <c r="M25" s="47" t="n">
        <f aca="false">(SUM(E25:L25))/8</f>
        <v>0.0282450582362984</v>
      </c>
      <c r="N25" s="47" t="n">
        <f aca="false">(SUM(F25:M25))/8</f>
        <v>0.0304453589562777</v>
      </c>
    </row>
    <row r="26" customFormat="false" ht="14.25" hidden="false" customHeight="false" outlineLevel="0" collapsed="false">
      <c r="A26" s="50" t="s">
        <v>142</v>
      </c>
      <c r="B26" s="51" t="n">
        <f aca="false">+Historicals!B184</f>
        <v>0.15780403741999</v>
      </c>
      <c r="C26" s="51" t="n">
        <f aca="false">+Historicals!C184</f>
        <v>0.0722942802466511</v>
      </c>
      <c r="D26" s="51" t="n">
        <f aca="false">+Historicals!D184</f>
        <v>0.0295459052151497</v>
      </c>
      <c r="E26" s="51" t="n">
        <f aca="false">+Historicals!E184</f>
        <v>0.131548536209553</v>
      </c>
      <c r="F26" s="51" t="n">
        <f aca="false">+Historicals!F184</f>
        <v>0.0711489361702128</v>
      </c>
      <c r="G26" s="51" t="n">
        <f aca="false">+Historicals!G184</f>
        <v>-0.0637215954234864</v>
      </c>
      <c r="H26" s="51" t="n">
        <f aca="false">+Historicals!H184</f>
        <v>0.18295994568907</v>
      </c>
      <c r="I26" s="51" t="n">
        <f aca="false">+Historicals!I184</f>
        <v>0.09</v>
      </c>
      <c r="J26" s="47" t="n">
        <v>0</v>
      </c>
      <c r="K26" s="47" t="n">
        <v>0</v>
      </c>
      <c r="L26" s="47" t="n">
        <v>0</v>
      </c>
      <c r="M26" s="47" t="n">
        <v>0</v>
      </c>
      <c r="N26" s="47" t="n">
        <v>0</v>
      </c>
    </row>
    <row r="27" customFormat="false" ht="14.25" hidden="false" customHeight="false" outlineLevel="0" collapsed="false">
      <c r="A27" s="50" t="s">
        <v>143</v>
      </c>
      <c r="B27" s="51" t="str">
        <f aca="false">+IFERROR(B25-B26,"nm")</f>
        <v>nm</v>
      </c>
      <c r="C27" s="51" t="n">
        <f aca="false">+IFERROR(C25-C26,"nm")</f>
        <v>0.00389619594382506</v>
      </c>
      <c r="D27" s="51" t="n">
        <f aca="false">+IFERROR(D25-D26,"nm")</f>
        <v>-4.73801414034268E-005</v>
      </c>
      <c r="E27" s="51" t="n">
        <f aca="false">+IFERROR(E25-E26,"nm")</f>
        <v>-0.12090588373309</v>
      </c>
      <c r="F27" s="51" t="n">
        <f aca="false">+IFERROR(F25-F26,"nm")</f>
        <v>-0.00594034969795675</v>
      </c>
      <c r="G27" s="51" t="n">
        <f aca="false">+IFERROR(G25-G26,"nm")</f>
        <v>-0.0543392410784147</v>
      </c>
      <c r="H27" s="51" t="n">
        <f aca="false">+IFERROR(H25-H26,"nm")</f>
        <v>-0.0991056667496434</v>
      </c>
      <c r="I27" s="51" t="n">
        <f aca="false">+IFERROR(I25-I26,"nm")</f>
        <v>0.00228321400159101</v>
      </c>
      <c r="J27" s="47" t="n">
        <f aca="false">J25-J26</f>
        <v>0.0299521120815073</v>
      </c>
      <c r="K27" s="47" t="n">
        <f aca="false">K25-K26</f>
        <v>0.0336961260916957</v>
      </c>
      <c r="L27" s="47" t="n">
        <f aca="false">L25-L26</f>
        <v>0.0283843323293481</v>
      </c>
      <c r="M27" s="47" t="n">
        <f aca="false">M25-M26</f>
        <v>0.0282450582362984</v>
      </c>
      <c r="N27" s="47" t="n">
        <f aca="false">N25-N26</f>
        <v>0.0304453589562777</v>
      </c>
    </row>
    <row r="28" customFormat="false" ht="14.25" hidden="false" customHeight="false" outlineLevel="0" collapsed="false">
      <c r="A28" s="52" t="s">
        <v>109</v>
      </c>
      <c r="B28" s="9" t="n">
        <f aca="false">+Historicals!B110</f>
        <v>824</v>
      </c>
      <c r="C28" s="9" t="n">
        <f aca="false">+Historicals!C110</f>
        <v>719</v>
      </c>
      <c r="D28" s="9" t="n">
        <f aca="false">+Historicals!D110</f>
        <v>646</v>
      </c>
      <c r="E28" s="9" t="n">
        <f aca="false">+Historicals!E110</f>
        <v>595</v>
      </c>
      <c r="F28" s="9" t="n">
        <f aca="false">+Historicals!F110</f>
        <v>597</v>
      </c>
      <c r="G28" s="9" t="n">
        <f aca="false">+Historicals!G110</f>
        <v>516</v>
      </c>
      <c r="H28" s="9" t="n">
        <f aca="false">+Historicals!H110</f>
        <v>507</v>
      </c>
      <c r="I28" s="9" t="n">
        <f aca="false">+Historicals!I110</f>
        <v>633</v>
      </c>
      <c r="J28" s="48" t="n">
        <f aca="false">I28*(J29+1)</f>
        <v>616.451587553083</v>
      </c>
      <c r="K28" s="48" t="n">
        <f aca="false">J28*(K29+1)</f>
        <v>598.321323706427</v>
      </c>
      <c r="L28" s="48" t="n">
        <f aca="false">K28*(L29+1)</f>
        <v>588.054953516324</v>
      </c>
      <c r="M28" s="48" t="n">
        <f aca="false">L28*(M29+1)</f>
        <v>584.166608700622</v>
      </c>
      <c r="N28" s="48" t="n">
        <f aca="false">M28*(N29+1)</f>
        <v>585.585947228701</v>
      </c>
    </row>
    <row r="29" customFormat="false" ht="14.25" hidden="false" customHeight="false" outlineLevel="0" collapsed="false">
      <c r="A29" s="50" t="s">
        <v>134</v>
      </c>
      <c r="B29" s="51" t="str">
        <f aca="false">+IFERROR(B28/A28-1,"nm")</f>
        <v>nm</v>
      </c>
      <c r="C29" s="51" t="n">
        <f aca="false">+IFERROR(C28/B28-1,"nm")</f>
        <v>-0.127427184466019</v>
      </c>
      <c r="D29" s="51" t="n">
        <f aca="false">+IFERROR(D28/C28-1,"nm")</f>
        <v>-0.101529902642559</v>
      </c>
      <c r="E29" s="51" t="n">
        <f aca="false">+IFERROR(E28/D28-1,"nm")</f>
        <v>-0.0789473684210527</v>
      </c>
      <c r="F29" s="51" t="n">
        <f aca="false">+IFERROR(F28/E28-1,"nm")</f>
        <v>0.00336134453781511</v>
      </c>
      <c r="G29" s="51" t="n">
        <f aca="false">+IFERROR(G28/F28-1,"nm")</f>
        <v>-0.135678391959799</v>
      </c>
      <c r="H29" s="51" t="n">
        <f aca="false">+IFERROR(H28/G28-1,"nm")</f>
        <v>-0.0174418604651163</v>
      </c>
      <c r="I29" s="51" t="n">
        <f aca="false">+IFERROR(I28/H28-1,"nm")</f>
        <v>0.248520710059172</v>
      </c>
      <c r="J29" s="47" t="n">
        <f aca="false">(SUM(B29:I29))/8</f>
        <v>-0.0261428316696949</v>
      </c>
      <c r="K29" s="47" t="n">
        <f aca="false">(SUM(C29:J29))/8</f>
        <v>-0.0294106856284067</v>
      </c>
      <c r="L29" s="47" t="n">
        <f aca="false">(SUM(D29:K29))/8</f>
        <v>-0.0171586232737052</v>
      </c>
      <c r="M29" s="47" t="n">
        <f aca="false">(SUM(E29:L29))/8</f>
        <v>-0.00661221335259846</v>
      </c>
      <c r="N29" s="47" t="n">
        <f aca="false">(SUM(F29:M29))/8</f>
        <v>0.00242968103095833</v>
      </c>
    </row>
    <row r="30" customFormat="false" ht="14.25" hidden="false" customHeight="false" outlineLevel="0" collapsed="false">
      <c r="A30" s="50" t="s">
        <v>142</v>
      </c>
      <c r="B30" s="51" t="n">
        <f aca="false">+Historicals!B182</f>
        <v>-0.0495963091118801</v>
      </c>
      <c r="C30" s="51" t="n">
        <f aca="false">+Historicals!C182</f>
        <v>-0.127427184466019</v>
      </c>
      <c r="D30" s="51" t="n">
        <f aca="false">+Historicals!D182</f>
        <v>-0.101529902642559</v>
      </c>
      <c r="E30" s="51" t="n">
        <f aca="false">+Historicals!E182</f>
        <v>-0.0789473684210526</v>
      </c>
      <c r="F30" s="51" t="n">
        <f aca="false">+Historicals!F182</f>
        <v>0.00336134453781513</v>
      </c>
      <c r="G30" s="51" t="n">
        <f aca="false">+Historicals!G182</f>
        <v>-0.135678391959799</v>
      </c>
      <c r="H30" s="51" t="n">
        <f aca="false">+Historicals!H182</f>
        <v>-0.0174418604651163</v>
      </c>
      <c r="I30" s="51" t="n">
        <f aca="false">+Historicals!I182</f>
        <v>0.25</v>
      </c>
      <c r="J30" s="47" t="n">
        <v>0</v>
      </c>
      <c r="K30" s="47" t="n">
        <v>0</v>
      </c>
      <c r="L30" s="47" t="n">
        <v>0</v>
      </c>
      <c r="M30" s="47" t="n">
        <v>0</v>
      </c>
      <c r="N30" s="47" t="n">
        <v>0</v>
      </c>
    </row>
    <row r="31" customFormat="false" ht="14.25" hidden="false" customHeight="false" outlineLevel="0" collapsed="false">
      <c r="A31" s="50" t="s">
        <v>143</v>
      </c>
      <c r="B31" s="51" t="str">
        <f aca="false">+IFERROR(B29-B30,"nm")</f>
        <v>nm</v>
      </c>
      <c r="C31" s="51" t="n">
        <f aca="false">+IFERROR(C29-C30,"nm")</f>
        <v>0</v>
      </c>
      <c r="D31" s="51" t="n">
        <f aca="false">+IFERROR(D29-D30,"nm")</f>
        <v>0</v>
      </c>
      <c r="E31" s="51" t="n">
        <f aca="false">+IFERROR(E29-E30,"nm")</f>
        <v>0</v>
      </c>
      <c r="F31" s="51" t="n">
        <f aca="false">+IFERROR(F29-F30,"nm")</f>
        <v>-1.21430643318377E-017</v>
      </c>
      <c r="G31" s="51" t="n">
        <f aca="false">+IFERROR(G29-G30,"nm")</f>
        <v>0</v>
      </c>
      <c r="H31" s="51" t="n">
        <f aca="false">+IFERROR(H29-H30,"nm")</f>
        <v>0</v>
      </c>
      <c r="I31" s="51" t="n">
        <f aca="false">+IFERROR(I29-I30,"nm")</f>
        <v>-0.00147928994082847</v>
      </c>
      <c r="J31" s="47" t="n">
        <f aca="false">J29-J30</f>
        <v>-0.0261428316696949</v>
      </c>
      <c r="K31" s="47" t="n">
        <f aca="false">K29-K30</f>
        <v>-0.0294106856284067</v>
      </c>
      <c r="L31" s="47" t="n">
        <f aca="false">L29-L30</f>
        <v>-0.0171586232737052</v>
      </c>
      <c r="M31" s="47" t="n">
        <f aca="false">M29-M30</f>
        <v>-0.00661221335259846</v>
      </c>
      <c r="N31" s="47" t="n">
        <f aca="false">N29-N30</f>
        <v>0.00242968103095833</v>
      </c>
    </row>
    <row r="32" customFormat="false" ht="14.25" hidden="false" customHeight="false" outlineLevel="0" collapsed="false">
      <c r="A32" s="13" t="s">
        <v>135</v>
      </c>
      <c r="B32" s="54" t="n">
        <f aca="false">+B38+B35</f>
        <v>3766</v>
      </c>
      <c r="C32" s="54" t="n">
        <f aca="false">+C38+C35</f>
        <v>3896</v>
      </c>
      <c r="D32" s="54" t="n">
        <f aca="false">+D38+D35</f>
        <v>4015</v>
      </c>
      <c r="E32" s="54" t="n">
        <f aca="false">+E38+E35</f>
        <v>3760</v>
      </c>
      <c r="F32" s="54" t="n">
        <f aca="false">+F38+F35</f>
        <v>4074</v>
      </c>
      <c r="G32" s="54" t="n">
        <f aca="false">+G38+G35</f>
        <v>3047</v>
      </c>
      <c r="H32" s="54" t="n">
        <f aca="false">+H38+H35</f>
        <v>5219</v>
      </c>
      <c r="I32" s="54" t="n">
        <f aca="false">+I38+I35</f>
        <v>5238</v>
      </c>
      <c r="J32" s="54" t="n">
        <f aca="false">+J38+J35</f>
        <v>5609.81192969681</v>
      </c>
      <c r="K32" s="54" t="n">
        <f aca="false">+K38+K35</f>
        <v>6058.38740349002</v>
      </c>
      <c r="L32" s="54" t="n">
        <f aca="false">+L38+L35</f>
        <v>6578.58162017691</v>
      </c>
      <c r="M32" s="54" t="n">
        <f aca="false">+M38+M35</f>
        <v>7190.38898151771</v>
      </c>
      <c r="N32" s="54" t="n">
        <f aca="false">+N38+N35</f>
        <v>8004.72456509919</v>
      </c>
    </row>
    <row r="33" customFormat="false" ht="14.25" hidden="false" customHeight="false" outlineLevel="0" collapsed="false">
      <c r="A33" s="46" t="s">
        <v>134</v>
      </c>
      <c r="B33" s="51" t="str">
        <f aca="false">+IFERROR(B32/A32-1,"nm")</f>
        <v>nm</v>
      </c>
      <c r="C33" s="51" t="n">
        <f aca="false">+IFERROR(C32/B32-1,"nm")</f>
        <v>0.0345193839617632</v>
      </c>
      <c r="D33" s="51" t="n">
        <f aca="false">+IFERROR(D32/C32-1,"nm")</f>
        <v>0.0305441478439425</v>
      </c>
      <c r="E33" s="51" t="n">
        <f aca="false">+IFERROR(E32/D32-1,"nm")</f>
        <v>-0.0635118306351183</v>
      </c>
      <c r="F33" s="51" t="n">
        <f aca="false">+IFERROR(F32/E32-1,"nm")</f>
        <v>0.0835106382978723</v>
      </c>
      <c r="G33" s="51" t="n">
        <f aca="false">+IFERROR(G32/F32-1,"nm")</f>
        <v>-0.252086401570938</v>
      </c>
      <c r="H33" s="51" t="n">
        <f aca="false">+IFERROR(H32/G32-1,"nm")</f>
        <v>0.712832294059731</v>
      </c>
      <c r="I33" s="51" t="n">
        <f aca="false">+IFERROR(I32/H32-1,"nm")</f>
        <v>0.00364054416554893</v>
      </c>
      <c r="J33" s="47" t="n">
        <f aca="false">(SUM(B33:I33))/8</f>
        <v>0.0686810970153502</v>
      </c>
      <c r="K33" s="47" t="n">
        <f aca="false">(SUM(C33:J33))/8</f>
        <v>0.077266234142269</v>
      </c>
      <c r="L33" s="47" t="n">
        <f aca="false">(SUM(D33:K33))/8</f>
        <v>0.0826095904148322</v>
      </c>
      <c r="M33" s="47" t="n">
        <f aca="false">(SUM(E33:L33))/8</f>
        <v>0.0891177707361934</v>
      </c>
      <c r="N33" s="47" t="n">
        <f aca="false">(SUM(F33:M33))/8</f>
        <v>0.108196470907607</v>
      </c>
    </row>
    <row r="34" customFormat="false" ht="14.25" hidden="false" customHeight="false" outlineLevel="0" collapsed="false">
      <c r="A34" s="46" t="s">
        <v>136</v>
      </c>
      <c r="B34" s="51" t="n">
        <f aca="false">+IFERROR(B32/B$18,"nm")</f>
        <v>0.274090247452693</v>
      </c>
      <c r="C34" s="51" t="n">
        <f aca="false">+IFERROR(C32/C$18,"nm")</f>
        <v>0.263885125982119</v>
      </c>
      <c r="D34" s="51" t="n">
        <f aca="false">+IFERROR(D32/D$18,"nm")</f>
        <v>0.26386698212408</v>
      </c>
      <c r="E34" s="51" t="n">
        <f aca="false">+IFERROR(E32/E$18,"nm")</f>
        <v>0.253113429821609</v>
      </c>
      <c r="F34" s="51" t="n">
        <f aca="false">+IFERROR(F32/F$18,"nm")</f>
        <v>0.256194189410137</v>
      </c>
      <c r="G34" s="51" t="n">
        <f aca="false">+IFERROR(G32/G$18,"nm")</f>
        <v>0.210370063518365</v>
      </c>
      <c r="H34" s="51" t="n">
        <f aca="false">+IFERROR(H32/H$18,"nm")</f>
        <v>0.303801152569998</v>
      </c>
      <c r="I34" s="51" t="n">
        <f aca="false">+IFERROR(I32/I$18,"nm")</f>
        <v>0.285402931400861</v>
      </c>
      <c r="J34" s="48" t="n">
        <f aca="false">J32/J18</f>
        <v>0.294006912539176</v>
      </c>
      <c r="K34" s="48" t="n">
        <f aca="false">K32/K18</f>
        <v>0.303960770870883</v>
      </c>
      <c r="L34" s="48" t="n">
        <f aca="false">L32/L18</f>
        <v>0.317104386141295</v>
      </c>
      <c r="M34" s="48" t="n">
        <f aca="false">M32/M18</f>
        <v>0.332581485707845</v>
      </c>
      <c r="N34" s="48" t="n">
        <f aca="false">N32/N18</f>
        <v>0.352492959396876</v>
      </c>
    </row>
    <row r="35" customFormat="false" ht="13.8" hidden="false" customHeight="false" outlineLevel="0" collapsed="false">
      <c r="A35" s="13" t="s">
        <v>137</v>
      </c>
      <c r="B35" s="13" t="n">
        <f aca="false">+Historicals!B167</f>
        <v>121</v>
      </c>
      <c r="C35" s="13" t="n">
        <f aca="false">+Historicals!C167</f>
        <v>133</v>
      </c>
      <c r="D35" s="13" t="n">
        <f aca="false">+Historicals!D167</f>
        <v>140</v>
      </c>
      <c r="E35" s="13" t="n">
        <f aca="false">+Historicals!E167</f>
        <v>160</v>
      </c>
      <c r="F35" s="13" t="n">
        <f aca="false">+Historicals!F167</f>
        <v>149</v>
      </c>
      <c r="G35" s="13" t="n">
        <f aca="false">+Historicals!G167</f>
        <v>148</v>
      </c>
      <c r="H35" s="13" t="n">
        <f aca="false">+Historicals!H167</f>
        <v>130</v>
      </c>
      <c r="I35" s="13" t="n">
        <f aca="false">+Historicals!I167</f>
        <v>124</v>
      </c>
      <c r="J35" s="55" t="n">
        <f aca="false">I35*(J36+1)</f>
        <v>124.797093674457</v>
      </c>
      <c r="K35" s="55" t="n">
        <f aca="false">J35*(K36+1)</f>
        <v>125.699588397872</v>
      </c>
      <c r="L35" s="55" t="n">
        <f aca="false">K35*(L36+1)</f>
        <v>125.163977990478</v>
      </c>
      <c r="M35" s="55" t="n">
        <f aca="false">L35*(M36+1)</f>
        <v>123.740536595364</v>
      </c>
      <c r="N35" s="55" t="n">
        <f aca="false">M35*(N36+1)</f>
        <v>119.947724364659</v>
      </c>
    </row>
    <row r="36" customFormat="false" ht="14.25" hidden="false" customHeight="false" outlineLevel="0" collapsed="false">
      <c r="A36" s="46" t="s">
        <v>134</v>
      </c>
      <c r="B36" s="51" t="str">
        <f aca="false">+IFERROR(B35/A35-1,"nm")</f>
        <v>nm</v>
      </c>
      <c r="C36" s="51" t="n">
        <f aca="false">+IFERROR(C35/B35-1,"nm")</f>
        <v>0.0991735537190082</v>
      </c>
      <c r="D36" s="51" t="n">
        <f aca="false">+IFERROR(D35/C35-1,"nm")</f>
        <v>0.0526315789473684</v>
      </c>
      <c r="E36" s="51" t="n">
        <f aca="false">+IFERROR(E35/D35-1,"nm")</f>
        <v>0.142857142857143</v>
      </c>
      <c r="F36" s="51" t="n">
        <f aca="false">+IFERROR(F35/E35-1,"nm")</f>
        <v>-0.06875</v>
      </c>
      <c r="G36" s="51" t="n">
        <f aca="false">+IFERROR(G35/F35-1,"nm")</f>
        <v>-0.00671140939597315</v>
      </c>
      <c r="H36" s="51" t="n">
        <f aca="false">+IFERROR(H35/G35-1,"nm")</f>
        <v>-0.121621621621622</v>
      </c>
      <c r="I36" s="51" t="n">
        <f aca="false">+IFERROR(I35/H35-1,"nm")</f>
        <v>-0.0461538461538461</v>
      </c>
      <c r="J36" s="47" t="n">
        <f aca="false">(SUM(B36:I36))/8</f>
        <v>0.00642817479400979</v>
      </c>
      <c r="K36" s="47" t="n">
        <f aca="false">(SUM(C36:J36))/8</f>
        <v>0.00723169664326101</v>
      </c>
      <c r="L36" s="47" t="n">
        <f aca="false">(SUM(D36:K36))/8</f>
        <v>-0.00426103549120738</v>
      </c>
      <c r="M36" s="47" t="n">
        <f aca="false">(SUM(E36:L36))/8</f>
        <v>-0.0113726122960294</v>
      </c>
      <c r="N36" s="47" t="n">
        <f aca="false">(SUM(F36:M36))/8</f>
        <v>-0.0306513316901759</v>
      </c>
    </row>
    <row r="37" customFormat="false" ht="14.25" hidden="false" customHeight="false" outlineLevel="0" collapsed="false">
      <c r="A37" s="46" t="s">
        <v>138</v>
      </c>
      <c r="B37" s="51" t="n">
        <f aca="false">+IFERROR(B35/B$18,"nm")</f>
        <v>0.00880640465793304</v>
      </c>
      <c r="C37" s="51" t="n">
        <f aca="false">+IFERROR(C35/C$18,"nm")</f>
        <v>0.00900839880791114</v>
      </c>
      <c r="D37" s="51" t="n">
        <f aca="false">+IFERROR(D35/D$18,"nm")</f>
        <v>0.00920084121976866</v>
      </c>
      <c r="E37" s="51" t="n">
        <f aca="false">+IFERROR(E35/E$18,"nm")</f>
        <v>0.010770784247728</v>
      </c>
      <c r="F37" s="51" t="n">
        <f aca="false">+IFERROR(F35/F$18,"nm")</f>
        <v>0.00936989057980128</v>
      </c>
      <c r="G37" s="51" t="n">
        <f aca="false">+IFERROR(G35/G$18,"nm")</f>
        <v>0.0102181717757526</v>
      </c>
      <c r="H37" s="51" t="n">
        <f aca="false">+IFERROR(H35/H$18,"nm")</f>
        <v>0.00756737877641306</v>
      </c>
      <c r="I37" s="51" t="n">
        <f aca="false">+IFERROR(I35/I$18,"nm")</f>
        <v>0.00675638860131859</v>
      </c>
      <c r="J37" s="48" t="n">
        <f aca="false">J35/J18</f>
        <v>0.00654054158408702</v>
      </c>
      <c r="K37" s="48" t="n">
        <f aca="false">K35/K18</f>
        <v>0.00630658643017112</v>
      </c>
      <c r="L37" s="48" t="n">
        <f aca="false">L35/L18</f>
        <v>0.00603322246332573</v>
      </c>
      <c r="M37" s="48" t="n">
        <f aca="false">M35/M18</f>
        <v>0.0057234471749657</v>
      </c>
      <c r="N37" s="48" t="n">
        <f aca="false">N35/N18</f>
        <v>0.00528197166440485</v>
      </c>
    </row>
    <row r="38" customFormat="false" ht="13.8" hidden="false" customHeight="false" outlineLevel="0" collapsed="false">
      <c r="A38" s="13" t="s">
        <v>139</v>
      </c>
      <c r="B38" s="13" t="n">
        <f aca="false">+Historicals!B134</f>
        <v>3645</v>
      </c>
      <c r="C38" s="13" t="n">
        <f aca="false">+Historicals!C134</f>
        <v>3763</v>
      </c>
      <c r="D38" s="13" t="n">
        <f aca="false">+Historicals!D134</f>
        <v>3875</v>
      </c>
      <c r="E38" s="13" t="n">
        <f aca="false">+Historicals!E134</f>
        <v>3600</v>
      </c>
      <c r="F38" s="13" t="n">
        <f aca="false">+Historicals!F134</f>
        <v>3925</v>
      </c>
      <c r="G38" s="13" t="n">
        <f aca="false">+Historicals!G134</f>
        <v>2899</v>
      </c>
      <c r="H38" s="13" t="n">
        <f aca="false">+Historicals!H134</f>
        <v>5089</v>
      </c>
      <c r="I38" s="13" t="n">
        <f aca="false">+Historicals!I134</f>
        <v>5114</v>
      </c>
      <c r="J38" s="55" t="n">
        <f aca="false">I38*(J39+1)</f>
        <v>5485.01483602236</v>
      </c>
      <c r="K38" s="55" t="n">
        <f aca="false">J38*(K39+1)</f>
        <v>5932.68781509215</v>
      </c>
      <c r="L38" s="55" t="n">
        <f aca="false">K38*(L39+1)</f>
        <v>6453.41764218643</v>
      </c>
      <c r="M38" s="55" t="n">
        <f aca="false">L38*(M39+1)</f>
        <v>7066.64844492234</v>
      </c>
      <c r="N38" s="55" t="n">
        <f aca="false">M38*(N39+1)</f>
        <v>7884.77684073453</v>
      </c>
    </row>
    <row r="39" customFormat="false" ht="14.25" hidden="false" customHeight="false" outlineLevel="0" collapsed="false">
      <c r="A39" s="46" t="s">
        <v>134</v>
      </c>
      <c r="B39" s="51" t="str">
        <f aca="false">+IFERROR(B38/A38-1,"nm")</f>
        <v>nm</v>
      </c>
      <c r="C39" s="51" t="n">
        <f aca="false">+IFERROR(C38/B38-1,"nm")</f>
        <v>0.0323731138545953</v>
      </c>
      <c r="D39" s="51" t="n">
        <f aca="false">+IFERROR(D38/C38-1,"nm")</f>
        <v>0.0297634865798564</v>
      </c>
      <c r="E39" s="51" t="n">
        <f aca="false">+IFERROR(E38/D38-1,"nm")</f>
        <v>-0.0709677419354838</v>
      </c>
      <c r="F39" s="51" t="n">
        <f aca="false">+IFERROR(F38/E38-1,"nm")</f>
        <v>0.0902777777777777</v>
      </c>
      <c r="G39" s="51" t="n">
        <f aca="false">+IFERROR(G38/F38-1,"nm")</f>
        <v>-0.26140127388535</v>
      </c>
      <c r="H39" s="51" t="n">
        <f aca="false">+IFERROR(H38/G38-1,"nm")</f>
        <v>0.755432907899276</v>
      </c>
      <c r="I39" s="51" t="n">
        <f aca="false">+IFERROR(I38/H38-1,"nm")</f>
        <v>0.0049125564943997</v>
      </c>
      <c r="J39" s="47" t="n">
        <f aca="false">(SUM(B39:I39))/8</f>
        <v>0.0725488533481339</v>
      </c>
      <c r="K39" s="47" t="n">
        <f aca="false">(SUM(C39:J39))/8</f>
        <v>0.0816174600166506</v>
      </c>
      <c r="L39" s="47" t="n">
        <f aca="false">(SUM(D39:K39))/8</f>
        <v>0.0877730032869076</v>
      </c>
      <c r="M39" s="47" t="n">
        <f aca="false">(SUM(E39:L39))/8</f>
        <v>0.095024192875289</v>
      </c>
      <c r="N39" s="47" t="n">
        <f aca="false">(SUM(F39:M39))/8</f>
        <v>0.115773184726636</v>
      </c>
    </row>
    <row r="40" customFormat="false" ht="14.25" hidden="false" customHeight="false" outlineLevel="0" collapsed="false">
      <c r="A40" s="46" t="s">
        <v>136</v>
      </c>
      <c r="B40" s="51" t="n">
        <f aca="false">+IFERROR(B38/B$18,"nm")</f>
        <v>0.26528384279476</v>
      </c>
      <c r="C40" s="51" t="n">
        <f aca="false">+IFERROR(C38/C$18,"nm")</f>
        <v>0.254876727174207</v>
      </c>
      <c r="D40" s="51" t="n">
        <f aca="false">+IFERROR(D38/D$18,"nm")</f>
        <v>0.254666140904311</v>
      </c>
      <c r="E40" s="51" t="n">
        <f aca="false">+IFERROR(E38/E$18,"nm")</f>
        <v>0.242342645573881</v>
      </c>
      <c r="F40" s="51" t="n">
        <f aca="false">+IFERROR(F38/F$18,"nm")</f>
        <v>0.246824298830336</v>
      </c>
      <c r="G40" s="51" t="n">
        <f aca="false">+IFERROR(G38/G$18,"nm")</f>
        <v>0.200151891742613</v>
      </c>
      <c r="H40" s="51" t="n">
        <f aca="false">+IFERROR(H38/H$18,"nm")</f>
        <v>0.296233773793585</v>
      </c>
      <c r="I40" s="51" t="n">
        <f aca="false">+IFERROR(I38/I$18,"nm")</f>
        <v>0.278646542799542</v>
      </c>
      <c r="J40" s="48" t="n">
        <f aca="false">J38/J18</f>
        <v>0.287466370955089</v>
      </c>
      <c r="K40" s="48" t="n">
        <f aca="false">K38/K18</f>
        <v>0.297654184440712</v>
      </c>
      <c r="L40" s="48" t="n">
        <f aca="false">L38/L18</f>
        <v>0.311071163677969</v>
      </c>
      <c r="M40" s="48" t="n">
        <f aca="false">M38/M18</f>
        <v>0.326858038532879</v>
      </c>
      <c r="N40" s="48" t="n">
        <f aca="false">N38/N18</f>
        <v>0.347210987732471</v>
      </c>
    </row>
    <row r="41" customFormat="false" ht="13.8" hidden="false" customHeight="false" outlineLevel="0" collapsed="false">
      <c r="A41" s="13" t="s">
        <v>140</v>
      </c>
      <c r="B41" s="13" t="n">
        <f aca="false">+Historicals!B156</f>
        <v>208</v>
      </c>
      <c r="C41" s="13" t="n">
        <f aca="false">+Historicals!C156</f>
        <v>242</v>
      </c>
      <c r="D41" s="13" t="n">
        <f aca="false">+Historicals!D156</f>
        <v>223</v>
      </c>
      <c r="E41" s="13" t="n">
        <f aca="false">+Historicals!E156</f>
        <v>196</v>
      </c>
      <c r="F41" s="13" t="n">
        <f aca="false">+Historicals!F156</f>
        <v>117</v>
      </c>
      <c r="G41" s="13" t="n">
        <f aca="false">+Historicals!G156</f>
        <v>110</v>
      </c>
      <c r="H41" s="13" t="n">
        <f aca="false">+Historicals!H156</f>
        <v>98</v>
      </c>
      <c r="I41" s="13" t="n">
        <f aca="false">+Historicals!I156</f>
        <v>146</v>
      </c>
      <c r="J41" s="55" t="n">
        <f aca="false">I41*(J42+1)</f>
        <v>143.840799312124</v>
      </c>
      <c r="K41" s="55" t="n">
        <f aca="false">J41*(K42+1)</f>
        <v>141.447622620879</v>
      </c>
      <c r="L41" s="55" t="n">
        <f aca="false">K41*(L42+1)</f>
        <v>135.909937104697</v>
      </c>
      <c r="M41" s="55" t="n">
        <f aca="false">L41*(M42+1)</f>
        <v>131.257768685998</v>
      </c>
      <c r="N41" s="55" t="n">
        <f aca="false">M41*(N42+1)</f>
        <v>128.189751825345</v>
      </c>
    </row>
    <row r="42" customFormat="false" ht="14.25" hidden="false" customHeight="false" outlineLevel="0" collapsed="false">
      <c r="A42" s="46" t="s">
        <v>134</v>
      </c>
      <c r="B42" s="51" t="str">
        <f aca="false">+IFERROR(B41/A41-1,"nm")</f>
        <v>nm</v>
      </c>
      <c r="C42" s="51" t="n">
        <f aca="false">+IFERROR(C41/B41-1,"nm")</f>
        <v>0.163461538461539</v>
      </c>
      <c r="D42" s="51" t="n">
        <f aca="false">+IFERROR(D41/C41-1,"nm")</f>
        <v>-0.0785123966942148</v>
      </c>
      <c r="E42" s="51" t="n">
        <f aca="false">+IFERROR(E41/D41-1,"nm")</f>
        <v>-0.121076233183857</v>
      </c>
      <c r="F42" s="51" t="n">
        <f aca="false">+IFERROR(F41/E41-1,"nm")</f>
        <v>-0.403061224489796</v>
      </c>
      <c r="G42" s="51" t="n">
        <f aca="false">+IFERROR(G41/F41-1,"nm")</f>
        <v>-0.0598290598290598</v>
      </c>
      <c r="H42" s="51" t="n">
        <f aca="false">+IFERROR(H41/G41-1,"nm")</f>
        <v>-0.109090909090909</v>
      </c>
      <c r="I42" s="51" t="n">
        <f aca="false">+IFERROR(I41/H41-1,"nm")</f>
        <v>0.489795918367347</v>
      </c>
      <c r="J42" s="47" t="n">
        <f aca="false">(SUM(B42:I42))/8</f>
        <v>-0.0147890458073688</v>
      </c>
      <c r="K42" s="47" t="n">
        <f aca="false">(SUM(C42:J42))/8</f>
        <v>-0.0166376765332899</v>
      </c>
      <c r="L42" s="47" t="n">
        <f aca="false">(SUM(D42:K42))/8</f>
        <v>-0.0391500784076435</v>
      </c>
      <c r="M42" s="47" t="n">
        <f aca="false">(SUM(E42:L42))/8</f>
        <v>-0.0342297886218221</v>
      </c>
      <c r="N42" s="47" t="n">
        <f aca="false">(SUM(F42:M42))/8</f>
        <v>-0.0233739830515678</v>
      </c>
    </row>
    <row r="43" customFormat="false" ht="14.25" hidden="false" customHeight="false" outlineLevel="0" collapsed="false">
      <c r="A43" s="46" t="s">
        <v>138</v>
      </c>
      <c r="B43" s="51" t="n">
        <f aca="false">+IFERROR(B41/B$18,"nm")</f>
        <v>0.0151382823871907</v>
      </c>
      <c r="C43" s="51" t="n">
        <f aca="false">+IFERROR(C41/C$18,"nm")</f>
        <v>0.0163912218910864</v>
      </c>
      <c r="D43" s="51" t="n">
        <f aca="false">+IFERROR(D41/D$18,"nm")</f>
        <v>0.0146556256572029</v>
      </c>
      <c r="E43" s="51" t="n">
        <f aca="false">+IFERROR(E41/E$18,"nm")</f>
        <v>0.0131942107034668</v>
      </c>
      <c r="F43" s="51" t="n">
        <f aca="false">+IFERROR(F41/F$18,"nm")</f>
        <v>0.00735756508615269</v>
      </c>
      <c r="G43" s="51" t="n">
        <f aca="false">+IFERROR(G41/G$18,"nm")</f>
        <v>0.0075945871306269</v>
      </c>
      <c r="H43" s="51" t="n">
        <f aca="false">+IFERROR(H41/H$18,"nm")</f>
        <v>0.005704639385296</v>
      </c>
      <c r="I43" s="51" t="n">
        <f aca="false">+IFERROR(I41/I$18,"nm")</f>
        <v>0.00795510270800414</v>
      </c>
      <c r="J43" s="48" t="n">
        <f aca="false">J41/J18</f>
        <v>0.00753861088979688</v>
      </c>
      <c r="K43" s="48" t="n">
        <f aca="false">K41/K18</f>
        <v>0.00709669513457139</v>
      </c>
      <c r="L43" s="48" t="n">
        <f aca="false">L41/L18</f>
        <v>0.00655120505671069</v>
      </c>
      <c r="M43" s="48" t="n">
        <f aca="false">M41/M18</f>
        <v>0.00607114633610151</v>
      </c>
      <c r="N43" s="48" t="n">
        <f aca="false">N41/N18</f>
        <v>0.00564491440246164</v>
      </c>
    </row>
    <row r="44" customFormat="false" ht="14.25" hidden="false" customHeight="false" outlineLevel="0" collapsed="false">
      <c r="A44" s="49" t="str">
        <f aca="false">+Historicals!A111</f>
        <v>Europe, Middle East &amp; Africa</v>
      </c>
      <c r="B44" s="49"/>
      <c r="C44" s="49"/>
      <c r="D44" s="49"/>
      <c r="E44" s="49"/>
      <c r="F44" s="49"/>
      <c r="G44" s="49"/>
      <c r="H44" s="49"/>
      <c r="I44" s="49"/>
      <c r="J44" s="44"/>
      <c r="K44" s="44"/>
      <c r="L44" s="44"/>
      <c r="M44" s="44"/>
      <c r="N44" s="44"/>
    </row>
    <row r="45" customFormat="false" ht="13.8" hidden="false" customHeight="false" outlineLevel="0" collapsed="false">
      <c r="A45" s="13" t="s">
        <v>141</v>
      </c>
      <c r="B45" s="56" t="n">
        <f aca="false">+Historicals!B111</f>
        <v>7126</v>
      </c>
      <c r="C45" s="56" t="n">
        <f aca="false">+Historicals!C111</f>
        <v>7568</v>
      </c>
      <c r="D45" s="56" t="n">
        <f aca="false">+Historicals!D111</f>
        <v>7970</v>
      </c>
      <c r="E45" s="56" t="n">
        <f aca="false">+Historicals!E111</f>
        <v>9242</v>
      </c>
      <c r="F45" s="56" t="n">
        <f aca="false">+Historicals!F111</f>
        <v>9812</v>
      </c>
      <c r="G45" s="56" t="n">
        <f aca="false">+Historicals!G111</f>
        <v>9347</v>
      </c>
      <c r="H45" s="56" t="n">
        <f aca="false">+Historicals!H111</f>
        <v>11456</v>
      </c>
      <c r="I45" s="56" t="n">
        <f aca="false">+Historicals!I111</f>
        <v>12479</v>
      </c>
      <c r="J45" s="48" t="n">
        <f aca="false">I45*(J46+1)</f>
        <v>13655.2165746668</v>
      </c>
      <c r="K45" s="48" t="n">
        <f aca="false">J45*(K46+1)</f>
        <v>14899.4062575917</v>
      </c>
      <c r="L45" s="48" t="n">
        <f aca="false">K45*(L46+1)</f>
        <v>16311.1344522235</v>
      </c>
      <c r="M45" s="48" t="n">
        <f aca="false">L45*(M46+1)</f>
        <v>17941.5084241902</v>
      </c>
      <c r="N45" s="48" t="n">
        <f aca="false">M45*(N46+1)</f>
        <v>19601.0833451056</v>
      </c>
    </row>
    <row r="46" customFormat="false" ht="13.8" hidden="false" customHeight="false" outlineLevel="0" collapsed="false">
      <c r="A46" s="50" t="s">
        <v>134</v>
      </c>
      <c r="B46" s="57" t="n">
        <f aca="false">+Historicals!B183</f>
        <v>0.119384228715049</v>
      </c>
      <c r="C46" s="57" t="n">
        <f aca="false">+Historicals!C183</f>
        <v>0.0620263822621387</v>
      </c>
      <c r="D46" s="57" t="n">
        <f aca="false">+Historicals!D183</f>
        <v>0.0531183932346723</v>
      </c>
      <c r="E46" s="57" t="n">
        <f aca="false">+Historicals!E183</f>
        <v>0.159598494353827</v>
      </c>
      <c r="F46" s="57" t="n">
        <f aca="false">+Historicals!F183</f>
        <v>0.0616749621294092</v>
      </c>
      <c r="G46" s="57" t="n">
        <f aca="false">+Historicals!G183</f>
        <v>-0.0473909498573176</v>
      </c>
      <c r="H46" s="57" t="n">
        <f aca="false">+Historicals!H183</f>
        <v>0.225633893227774</v>
      </c>
      <c r="I46" s="57" t="n">
        <f aca="false">+Historicals!I183</f>
        <v>0.12</v>
      </c>
      <c r="J46" s="47" t="n">
        <f aca="false">(SUM(B46:I46))/8</f>
        <v>0.0942556755081941</v>
      </c>
      <c r="K46" s="47" t="n">
        <f aca="false">(SUM(C46:J46))/8</f>
        <v>0.0911146063573372</v>
      </c>
      <c r="L46" s="47" t="n">
        <f aca="false">(SUM(D46:K46))/8</f>
        <v>0.094750634369237</v>
      </c>
      <c r="M46" s="47" t="n">
        <f aca="false">(SUM(E46:L46))/8</f>
        <v>0.0999546645110576</v>
      </c>
      <c r="N46" s="47" t="n">
        <f aca="false">(SUM(F46:M46))/8</f>
        <v>0.0924991857807114</v>
      </c>
    </row>
    <row r="47" customFormat="false" ht="13.8" hidden="false" customHeight="false" outlineLevel="0" collapsed="false">
      <c r="A47" s="52" t="s">
        <v>107</v>
      </c>
      <c r="B47" s="0" t="n">
        <f aca="false">+Historicals!B112</f>
        <v>4703</v>
      </c>
      <c r="C47" s="0" t="n">
        <f aca="false">+Historicals!C112</f>
        <v>5043</v>
      </c>
      <c r="D47" s="0" t="n">
        <f aca="false">+Historicals!D112</f>
        <v>5192</v>
      </c>
      <c r="E47" s="0" t="n">
        <f aca="false">+Historicals!E112</f>
        <v>5875</v>
      </c>
      <c r="F47" s="0" t="n">
        <f aca="false">+Historicals!F112</f>
        <v>6293</v>
      </c>
      <c r="G47" s="0" t="n">
        <f aca="false">+Historicals!G112</f>
        <v>5892</v>
      </c>
      <c r="H47" s="23" t="n">
        <f aca="false">+Historicals!H112</f>
        <v>6970</v>
      </c>
      <c r="I47" s="23" t="n">
        <f aca="false">+Historicals!I112</f>
        <v>7388</v>
      </c>
      <c r="J47" s="0" t="n">
        <v>8260</v>
      </c>
      <c r="K47" s="48" t="n">
        <f aca="false">J47*(K48+1)</f>
        <v>8819.59352774738</v>
      </c>
      <c r="L47" s="48" t="n">
        <f aca="false">K47*(L48+1)</f>
        <v>9417.45879918243</v>
      </c>
      <c r="M47" s="48" t="n">
        <f aca="false">L47*(M48+1)</f>
        <v>10101.8687597612</v>
      </c>
      <c r="N47" s="48" t="n">
        <f aca="false">M47*(N48+1)</f>
        <v>10780.9870835523</v>
      </c>
    </row>
    <row r="48" customFormat="false" ht="13.8" hidden="false" customHeight="false" outlineLevel="0" collapsed="false">
      <c r="A48" s="50" t="s">
        <v>134</v>
      </c>
      <c r="B48" s="58" t="str">
        <f aca="false">+IFERROR(B47/A47-1,"nm")</f>
        <v>nm</v>
      </c>
      <c r="C48" s="58" t="n">
        <f aca="false">(C47-B47)/C47</f>
        <v>0.0674201863969859</v>
      </c>
      <c r="D48" s="58" t="n">
        <f aca="false">(D47-C47)/D47</f>
        <v>0.0286979969183359</v>
      </c>
      <c r="E48" s="58" t="n">
        <f aca="false">(E47-D47)/E47</f>
        <v>0.116255319148936</v>
      </c>
      <c r="F48" s="58" t="n">
        <f aca="false">(F47-E47)/F47</f>
        <v>0.06642300969331</v>
      </c>
      <c r="G48" s="58" t="n">
        <f aca="false">(G47-F47)/G47</f>
        <v>-0.0680583842498303</v>
      </c>
      <c r="H48" s="58" t="n">
        <f aca="false">(H47-G47)/H47</f>
        <v>0.154662840746055</v>
      </c>
      <c r="I48" s="58" t="n">
        <f aca="false">(I47-H47)/I47</f>
        <v>0.0565782349756362</v>
      </c>
      <c r="J48" s="47" t="n">
        <v>0.12</v>
      </c>
      <c r="K48" s="47" t="n">
        <f aca="false">(SUM(C48:J48))/8</f>
        <v>0.0677474004536786</v>
      </c>
      <c r="L48" s="47" t="n">
        <f aca="false">(SUM(D48:K48))/8</f>
        <v>0.0677883022107651</v>
      </c>
      <c r="M48" s="47" t="n">
        <f aca="false">(SUM(E48:L48))/8</f>
        <v>0.0726745903723188</v>
      </c>
      <c r="N48" s="47" t="n">
        <f aca="false">(SUM(F48:M48))/8</f>
        <v>0.0672269992752416</v>
      </c>
    </row>
    <row r="49" customFormat="false" ht="13.8" hidden="false" customHeight="false" outlineLevel="0" collapsed="false">
      <c r="A49" s="50" t="s">
        <v>142</v>
      </c>
      <c r="B49" s="47" t="n">
        <f aca="false">+Historicals!B184</f>
        <v>0.15780403741999</v>
      </c>
      <c r="C49" s="47" t="n">
        <f aca="false">+Historicals!C184</f>
        <v>0.0722942802466511</v>
      </c>
      <c r="D49" s="47" t="n">
        <f aca="false">+Historicals!D184</f>
        <v>0.0295459052151497</v>
      </c>
      <c r="E49" s="47" t="n">
        <f aca="false">+Historicals!E184</f>
        <v>0.131548536209553</v>
      </c>
      <c r="F49" s="47" t="n">
        <f aca="false">+Historicals!F184</f>
        <v>0.0711489361702128</v>
      </c>
      <c r="G49" s="47" t="n">
        <f aca="false">+Historicals!G184</f>
        <v>-0.0637215954234864</v>
      </c>
      <c r="H49" s="47" t="n">
        <f aca="false">+Historicals!H184</f>
        <v>0.18295994568907</v>
      </c>
      <c r="I49" s="47" t="n">
        <f aca="false">+Historicals!I184</f>
        <v>0.09</v>
      </c>
      <c r="J49" s="47" t="n">
        <v>0.25</v>
      </c>
      <c r="K49" s="47" t="n">
        <f aca="false">(SUM(C49:J49))/8</f>
        <v>0.0954720010133938</v>
      </c>
      <c r="L49" s="47" t="n">
        <f aca="false">(SUM(D49:K49))/8</f>
        <v>0.0983692161092366</v>
      </c>
      <c r="M49" s="47" t="n">
        <f aca="false">(SUM(E49:L49))/8</f>
        <v>0.106972129970997</v>
      </c>
      <c r="N49" s="47" t="n">
        <f aca="false">(SUM(F49:M49))/8</f>
        <v>0.103900079191178</v>
      </c>
    </row>
    <row r="50" customFormat="false" ht="13.8" hidden="false" customHeight="false" outlineLevel="0" collapsed="false">
      <c r="A50" s="50" t="s">
        <v>143</v>
      </c>
      <c r="B50" s="47" t="s">
        <v>144</v>
      </c>
      <c r="C50" s="47" t="n">
        <f aca="false">C48-C49</f>
        <v>-0.00487409384966518</v>
      </c>
      <c r="D50" s="47" t="n">
        <f aca="false">D48-D49</f>
        <v>-0.000847908296813801</v>
      </c>
      <c r="E50" s="47" t="n">
        <f aca="false">E48-E49</f>
        <v>-0.0152932170606168</v>
      </c>
      <c r="F50" s="47" t="n">
        <f aca="false">F48-F49</f>
        <v>-0.00472592647690277</v>
      </c>
      <c r="G50" s="47" t="n">
        <f aca="false">G48-G49</f>
        <v>-0.00433678882634388</v>
      </c>
      <c r="H50" s="47" t="n">
        <f aca="false">H48-H49</f>
        <v>-0.0282971049430155</v>
      </c>
      <c r="I50" s="47" t="n">
        <f aca="false">I48-I49</f>
        <v>-0.0334217650243638</v>
      </c>
      <c r="J50" s="47" t="n">
        <f aca="false">J48-J49</f>
        <v>-0.13</v>
      </c>
      <c r="K50" s="47" t="n">
        <f aca="false">K48-K49</f>
        <v>-0.0277246005597152</v>
      </c>
      <c r="L50" s="47" t="n">
        <f aca="false">L48-L49</f>
        <v>-0.0305809138984715</v>
      </c>
      <c r="M50" s="47" t="n">
        <f aca="false">M48-M49</f>
        <v>-0.0342975395986787</v>
      </c>
      <c r="N50" s="47" t="n">
        <f aca="false">N48-N49</f>
        <v>-0.0366730799159364</v>
      </c>
    </row>
    <row r="51" customFormat="false" ht="13.8" hidden="false" customHeight="false" outlineLevel="0" collapsed="false">
      <c r="A51" s="52" t="s">
        <v>108</v>
      </c>
      <c r="B51" s="0" t="n">
        <f aca="false">+Historicals!B113</f>
        <v>2051</v>
      </c>
      <c r="C51" s="0" t="n">
        <f aca="false">+Historicals!C113</f>
        <v>2149</v>
      </c>
      <c r="D51" s="0" t="n">
        <f aca="false">+Historicals!D113</f>
        <v>2395</v>
      </c>
      <c r="E51" s="0" t="n">
        <f aca="false">+Historicals!E113</f>
        <v>2940</v>
      </c>
      <c r="F51" s="0" t="n">
        <f aca="false">+Historicals!F113</f>
        <v>3087</v>
      </c>
      <c r="G51" s="0" t="n">
        <f aca="false">+Historicals!G113</f>
        <v>3053</v>
      </c>
      <c r="H51" s="23" t="n">
        <f aca="false">+Historicals!H113</f>
        <v>3996</v>
      </c>
      <c r="I51" s="23" t="n">
        <f aca="false">+Historicals!I113</f>
        <v>4527</v>
      </c>
      <c r="J51" s="48" t="n">
        <v>4566</v>
      </c>
      <c r="K51" s="48" t="n">
        <f aca="false">I51*(J52+1)</f>
        <v>4936.3853314366</v>
      </c>
      <c r="L51" s="48" t="n">
        <f aca="false">J51*(K52+1)</f>
        <v>5030.52619864302</v>
      </c>
      <c r="M51" s="48" t="n">
        <f aca="false">K51*(L52+1)</f>
        <v>5473.22997847982</v>
      </c>
      <c r="N51" s="48" t="n">
        <f aca="false">L51*(M52+1)</f>
        <v>5581.40607105026</v>
      </c>
    </row>
    <row r="52" customFormat="false" ht="13.8" hidden="false" customHeight="false" outlineLevel="0" collapsed="false">
      <c r="A52" s="50" t="s">
        <v>134</v>
      </c>
      <c r="B52" s="47" t="s">
        <v>144</v>
      </c>
      <c r="C52" s="47" t="n">
        <f aca="false">(C51-B51)/C51</f>
        <v>0.0456026058631922</v>
      </c>
      <c r="D52" s="47" t="n">
        <f aca="false">(D51-C51)/D51</f>
        <v>0.102713987473904</v>
      </c>
      <c r="E52" s="47" t="n">
        <f aca="false">(E51-D51)/E51</f>
        <v>0.185374149659864</v>
      </c>
      <c r="F52" s="47" t="n">
        <f aca="false">(F51-E51)/F51</f>
        <v>0.0476190476190476</v>
      </c>
      <c r="G52" s="47" t="n">
        <f aca="false">(G51-F51)/G51</f>
        <v>-0.0111365869636423</v>
      </c>
      <c r="H52" s="47" t="n">
        <f aca="false">(H51-G51)/H51</f>
        <v>0.235985985985986</v>
      </c>
      <c r="I52" s="47" t="n">
        <f aca="false">(I51-H51)/I51</f>
        <v>0.117296222664016</v>
      </c>
      <c r="J52" s="47" t="n">
        <f aca="false">(SUM(B52:I52))/8</f>
        <v>0.0904319265377959</v>
      </c>
      <c r="K52" s="47" t="n">
        <f aca="false">(SUM(C52:J52))/8</f>
        <v>0.10173591735502</v>
      </c>
      <c r="L52" s="47" t="n">
        <f aca="false">(SUM(D52:K52))/8</f>
        <v>0.108752581291499</v>
      </c>
      <c r="M52" s="47" t="n">
        <f aca="false">(SUM(E52:L52))/8</f>
        <v>0.109507405518698</v>
      </c>
      <c r="N52" s="47" t="n">
        <f aca="false">(SUM(F52:M52))/8</f>
        <v>0.100024062501053</v>
      </c>
    </row>
    <row r="53" customFormat="false" ht="13.8" hidden="false" customHeight="false" outlineLevel="0" collapsed="false">
      <c r="A53" s="50" t="s">
        <v>142</v>
      </c>
      <c r="B53" s="47" t="n">
        <f aca="false">+Historicals!B185</f>
        <v>0.0469627360898418</v>
      </c>
      <c r="C53" s="47" t="n">
        <f aca="false">+Historicals!C185</f>
        <v>0.0477815699658703</v>
      </c>
      <c r="D53" s="47" t="n">
        <f aca="false">+Historicals!D185</f>
        <v>0.11447184737087</v>
      </c>
      <c r="E53" s="47" t="n">
        <f aca="false">+Historicals!E185</f>
        <v>0.227557411273486</v>
      </c>
      <c r="F53" s="47" t="n">
        <f aca="false">+Historicals!F185</f>
        <v>0.05</v>
      </c>
      <c r="G53" s="47" t="n">
        <f aca="false">+Historicals!G185</f>
        <v>-0.0110139293812763</v>
      </c>
      <c r="H53" s="47" t="n">
        <f aca="false">+Historicals!H185</f>
        <v>0.308876514903374</v>
      </c>
      <c r="I53" s="47" t="n">
        <f aca="false">+Historicals!I185</f>
        <v>0.16</v>
      </c>
      <c r="J53" s="47" t="n">
        <f aca="false">(SUM(B53:I53))/8</f>
        <v>0.118079518777771</v>
      </c>
      <c r="K53" s="47" t="n">
        <f aca="false">(SUM(C53:J53))/8</f>
        <v>0.126969116613762</v>
      </c>
      <c r="L53" s="47" t="n">
        <f aca="false">(SUM(D53:K53))/8</f>
        <v>0.136867559944748</v>
      </c>
      <c r="M53" s="47" t="n">
        <f aca="false">(SUM(E53:L53))/8</f>
        <v>0.139667024016483</v>
      </c>
      <c r="N53" s="47" t="n">
        <f aca="false">(SUM(F53:M53))/8</f>
        <v>0.128680725609358</v>
      </c>
    </row>
    <row r="54" customFormat="false" ht="13.8" hidden="false" customHeight="false" outlineLevel="0" collapsed="false">
      <c r="A54" s="50" t="s">
        <v>143</v>
      </c>
      <c r="B54" s="47" t="s">
        <v>144</v>
      </c>
      <c r="C54" s="47" t="n">
        <f aca="false">C52-C53</f>
        <v>-0.00217896410267812</v>
      </c>
      <c r="D54" s="47" t="n">
        <f aca="false">D52-D53</f>
        <v>-0.011757859896966</v>
      </c>
      <c r="E54" s="47" t="n">
        <f aca="false">E52-E53</f>
        <v>-0.042183261613622</v>
      </c>
      <c r="F54" s="47" t="n">
        <f aca="false">F52-F53</f>
        <v>-0.00238095238095239</v>
      </c>
      <c r="G54" s="47" t="n">
        <f aca="false">G52-G53</f>
        <v>-0.00012265758236602</v>
      </c>
      <c r="H54" s="47" t="n">
        <f aca="false">H52-H53</f>
        <v>-0.072890528917388</v>
      </c>
      <c r="I54" s="47" t="n">
        <f aca="false">I52-I53</f>
        <v>-0.0427037773359841</v>
      </c>
      <c r="J54" s="47" t="n">
        <f aca="false">J52-J53</f>
        <v>-0.0276475922399748</v>
      </c>
      <c r="K54" s="47" t="n">
        <f aca="false">K52-K53</f>
        <v>-0.0252331992587414</v>
      </c>
      <c r="L54" s="47" t="n">
        <f aca="false">L52-L53</f>
        <v>-0.0281149786532494</v>
      </c>
      <c r="M54" s="47" t="n">
        <f aca="false">M52-M53</f>
        <v>-0.0301596184977848</v>
      </c>
      <c r="N54" s="47" t="n">
        <f aca="false">N52-N53</f>
        <v>-0.0286566631083051</v>
      </c>
    </row>
    <row r="55" customFormat="false" ht="13.8" hidden="false" customHeight="false" outlineLevel="0" collapsed="false">
      <c r="A55" s="52" t="s">
        <v>109</v>
      </c>
      <c r="B55" s="0" t="n">
        <f aca="false">+Historicals!B114</f>
        <v>372</v>
      </c>
      <c r="C55" s="0" t="n">
        <f aca="false">+Historicals!C114</f>
        <v>376</v>
      </c>
      <c r="D55" s="0" t="n">
        <f aca="false">+Historicals!D114</f>
        <v>383</v>
      </c>
      <c r="E55" s="0" t="n">
        <f aca="false">+Historicals!E114</f>
        <v>427</v>
      </c>
      <c r="F55" s="0" t="n">
        <f aca="false">+Historicals!F114</f>
        <v>432</v>
      </c>
      <c r="G55" s="0" t="n">
        <f aca="false">+Historicals!G114</f>
        <v>402</v>
      </c>
      <c r="H55" s="0" t="n">
        <f aca="false">+Historicals!H114</f>
        <v>490</v>
      </c>
      <c r="I55" s="0" t="n">
        <f aca="false">+Historicals!I114</f>
        <v>564</v>
      </c>
      <c r="J55" s="0" t="n">
        <v>592</v>
      </c>
      <c r="K55" s="48" t="n">
        <f aca="false">I55*(J56+1)</f>
        <v>590.769151433857</v>
      </c>
      <c r="L55" s="48" t="n">
        <f aca="false">J55*(K56+1)</f>
        <v>621.6</v>
      </c>
      <c r="M55" s="48" t="n">
        <f aca="false">K55*(L56+1)</f>
        <v>625.220520019071</v>
      </c>
      <c r="N55" s="48" t="n">
        <f aca="false">L55*(M56+1)</f>
        <v>660.960362843996</v>
      </c>
    </row>
    <row r="56" customFormat="false" ht="13.8" hidden="false" customHeight="false" outlineLevel="0" collapsed="false">
      <c r="A56" s="50" t="s">
        <v>134</v>
      </c>
      <c r="B56" s="47" t="s">
        <v>144</v>
      </c>
      <c r="C56" s="47" t="n">
        <f aca="false">(C55-B55)/C55</f>
        <v>0.0106382978723404</v>
      </c>
      <c r="D56" s="47" t="n">
        <f aca="false">(D55-C55)/D55</f>
        <v>0.0182767624020888</v>
      </c>
      <c r="E56" s="47" t="n">
        <f aca="false">(E55-D55)/E55</f>
        <v>0.103044496487119</v>
      </c>
      <c r="F56" s="47" t="n">
        <f aca="false">(F55-E55)/F55</f>
        <v>0.0115740740740741</v>
      </c>
      <c r="G56" s="47" t="n">
        <f aca="false">(G55-F55)/G55</f>
        <v>-0.0746268656716418</v>
      </c>
      <c r="H56" s="47" t="n">
        <f aca="false">(H55-G55)/H55</f>
        <v>0.179591836734694</v>
      </c>
      <c r="I56" s="47" t="n">
        <f aca="false">(I55-H55)/I55</f>
        <v>0.131205673758865</v>
      </c>
      <c r="J56" s="47" t="n">
        <f aca="false">(SUM(B56:I56))/8</f>
        <v>0.0474630344571925</v>
      </c>
      <c r="K56" s="47" t="n">
        <v>0.05</v>
      </c>
      <c r="L56" s="47" t="n">
        <f aca="false">(SUM(D56:K56))/8</f>
        <v>0.058316126530299</v>
      </c>
      <c r="M56" s="47" t="n">
        <f aca="false">(SUM(E56:L56))/8</f>
        <v>0.0633210470463253</v>
      </c>
      <c r="N56" s="47" t="n">
        <f aca="false">(SUM(F56:M56))/8</f>
        <v>0.058355615866226</v>
      </c>
    </row>
    <row r="57" customFormat="false" ht="13.8" hidden="false" customHeight="false" outlineLevel="0" collapsed="false">
      <c r="A57" s="50" t="s">
        <v>142</v>
      </c>
      <c r="B57" s="47" t="n">
        <f aca="false">+Historicals!B186</f>
        <v>0.0782608695652174</v>
      </c>
      <c r="C57" s="47" t="n">
        <f aca="false">+Historicals!C186</f>
        <v>0.010752688172043</v>
      </c>
      <c r="D57" s="47" t="n">
        <f aca="false">+Historicals!D186</f>
        <v>0.0186170212765957</v>
      </c>
      <c r="E57" s="47" t="n">
        <f aca="false">+Historicals!E186</f>
        <v>0.114882506527415</v>
      </c>
      <c r="F57" s="47" t="n">
        <f aca="false">+Historicals!F186</f>
        <v>0.0117096018735363</v>
      </c>
      <c r="G57" s="47" t="n">
        <f aca="false">+Historicals!G186</f>
        <v>-0.0694444444444444</v>
      </c>
      <c r="H57" s="47" t="n">
        <f aca="false">+Historicals!H186</f>
        <v>0.218905472636816</v>
      </c>
      <c r="I57" s="47" t="n">
        <f aca="false">+Historicals!I186</f>
        <v>0.17</v>
      </c>
      <c r="J57" s="47" t="n">
        <f aca="false">(SUM(B57:I57))/8</f>
        <v>0.0692104644508974</v>
      </c>
      <c r="K57" s="47" t="n">
        <v>0.18</v>
      </c>
      <c r="L57" s="47" t="n">
        <f aca="false">(SUM(D57:K57))/8</f>
        <v>0.089235077790102</v>
      </c>
      <c r="M57" s="47" t="n">
        <f aca="false">(SUM(E57:L57))/8</f>
        <v>0.0980623348542903</v>
      </c>
      <c r="N57" s="47" t="n">
        <f aca="false">(SUM(F57:M57))/8</f>
        <v>0.0959598133951497</v>
      </c>
    </row>
    <row r="58" customFormat="false" ht="13.8" hidden="false" customHeight="false" outlineLevel="0" collapsed="false">
      <c r="A58" s="50" t="s">
        <v>143</v>
      </c>
      <c r="B58" s="47" t="s">
        <v>144</v>
      </c>
      <c r="C58" s="47" t="n">
        <f aca="false">C56-C57</f>
        <v>-0.000114390299702574</v>
      </c>
      <c r="D58" s="47" t="n">
        <f aca="false">D56-D57</f>
        <v>-0.000340258874506925</v>
      </c>
      <c r="E58" s="47" t="n">
        <f aca="false">E56-E57</f>
        <v>-0.0118380100402956</v>
      </c>
      <c r="F58" s="47" t="n">
        <f aca="false">F56-F57</f>
        <v>-0.000135527799462227</v>
      </c>
      <c r="G58" s="47" t="n">
        <f aca="false">G56-G57</f>
        <v>-0.00518242122719738</v>
      </c>
      <c r="H58" s="47" t="n">
        <f aca="false">H56-H57</f>
        <v>-0.0393136359021221</v>
      </c>
      <c r="I58" s="47" t="n">
        <f aca="false">I56-I57</f>
        <v>-0.0387943262411348</v>
      </c>
      <c r="J58" s="47" t="n">
        <f aca="false">J56-J57</f>
        <v>-0.0217474299937049</v>
      </c>
      <c r="K58" s="47" t="n">
        <f aca="false">K56-K57</f>
        <v>-0.13</v>
      </c>
      <c r="L58" s="47" t="n">
        <f aca="false">L56-L57</f>
        <v>-0.030918951259803</v>
      </c>
      <c r="M58" s="47" t="n">
        <f aca="false">M56-M57</f>
        <v>-0.034741287807965</v>
      </c>
      <c r="N58" s="47" t="n">
        <f aca="false">N56-N57</f>
        <v>-0.0376041975289237</v>
      </c>
    </row>
    <row r="59" customFormat="false" ht="13.8" hidden="false" customHeight="false" outlineLevel="0" collapsed="false">
      <c r="A59" s="13" t="s">
        <v>135</v>
      </c>
      <c r="B59" s="0" t="n">
        <f aca="false">B62+B65</f>
        <v>1611</v>
      </c>
      <c r="C59" s="0" t="n">
        <f aca="false">C62+C65</f>
        <v>1872</v>
      </c>
      <c r="D59" s="0" t="n">
        <f aca="false">D62+D65</f>
        <v>1613</v>
      </c>
      <c r="E59" s="0" t="n">
        <f aca="false">E62+E65</f>
        <v>1703</v>
      </c>
      <c r="F59" s="0" t="n">
        <f aca="false">F62+F65</f>
        <v>2106</v>
      </c>
      <c r="G59" s="0" t="n">
        <f aca="false">G62+G65</f>
        <v>1673</v>
      </c>
      <c r="H59" s="0" t="n">
        <f aca="false">H62+H65</f>
        <v>2571</v>
      </c>
      <c r="I59" s="0" t="n">
        <f aca="false">I62+I65</f>
        <v>3427</v>
      </c>
      <c r="J59" s="0" t="n">
        <f aca="false">J62+J65</f>
        <v>3651</v>
      </c>
      <c r="K59" s="48" t="n">
        <f aca="false">K62+K65</f>
        <v>3639.73849303889</v>
      </c>
      <c r="L59" s="48" t="n">
        <f aca="false">L62+L65</f>
        <v>3928.1327067414</v>
      </c>
      <c r="M59" s="48" t="n">
        <f aca="false">M62+M65</f>
        <v>3886.12025286002</v>
      </c>
      <c r="N59" s="48" t="n">
        <f aca="false">N62+N65</f>
        <v>4312.70104602012</v>
      </c>
    </row>
    <row r="60" customFormat="false" ht="13.8" hidden="false" customHeight="false" outlineLevel="0" collapsed="false">
      <c r="A60" s="46" t="s">
        <v>134</v>
      </c>
      <c r="B60" s="0" t="s">
        <v>144</v>
      </c>
      <c r="C60" s="47" t="n">
        <f aca="false">(C59-B59)/C59</f>
        <v>0.139423076923077</v>
      </c>
      <c r="D60" s="47" t="n">
        <f aca="false">(D59-C59)/D59</f>
        <v>-0.160570365778053</v>
      </c>
      <c r="E60" s="47" t="n">
        <f aca="false">(E59-D59)/E59</f>
        <v>0.0528479154433353</v>
      </c>
      <c r="F60" s="47" t="n">
        <f aca="false">(F59-E59)/F59</f>
        <v>0.191358024691358</v>
      </c>
      <c r="G60" s="47" t="n">
        <f aca="false">(G59-F59)/G59</f>
        <v>-0.258816497310221</v>
      </c>
      <c r="H60" s="47" t="n">
        <f aca="false">(H59-G59)/H59</f>
        <v>0.34928043562816</v>
      </c>
      <c r="I60" s="47" t="n">
        <f aca="false">(I59-H59)/I59</f>
        <v>0.24978114969361</v>
      </c>
      <c r="J60" s="47" t="n">
        <f aca="false">(SUM(B60:I60))/8</f>
        <v>0.0704129674114082</v>
      </c>
      <c r="K60" s="47" t="n">
        <f aca="false">(SUM(C60:J60))/8</f>
        <v>0.0792145883378342</v>
      </c>
      <c r="L60" s="47" t="n">
        <f aca="false">(SUM(D60:K60))/8</f>
        <v>0.0716885272646789</v>
      </c>
      <c r="M60" s="47" t="n">
        <f aca="false">(SUM(E60:L60))/8</f>
        <v>0.10072088889502</v>
      </c>
      <c r="N60" s="47" t="n">
        <f aca="false">(SUM(F60:M60))/8</f>
        <v>0.106705010576481</v>
      </c>
    </row>
    <row r="61" customFormat="false" ht="13.8" hidden="false" customHeight="false" outlineLevel="0" collapsed="false">
      <c r="A61" s="46" t="s">
        <v>136</v>
      </c>
      <c r="B61" s="47" t="n">
        <f aca="false">B59/B45</f>
        <v>0.226073533539152</v>
      </c>
      <c r="C61" s="47" t="n">
        <f aca="false">C59/C45</f>
        <v>0.247357293868922</v>
      </c>
      <c r="D61" s="47" t="n">
        <f aca="false">D59/D45</f>
        <v>0.202383939774153</v>
      </c>
      <c r="E61" s="47" t="n">
        <f aca="false">E59/E45</f>
        <v>0.184267474572603</v>
      </c>
      <c r="F61" s="47" t="n">
        <f aca="false">F59/F45</f>
        <v>0.214635140644109</v>
      </c>
      <c r="G61" s="47" t="n">
        <f aca="false">G59/G45</f>
        <v>0.178987910559538</v>
      </c>
      <c r="H61" s="47" t="n">
        <f aca="false">H59/H45</f>
        <v>0.224423882681564</v>
      </c>
      <c r="I61" s="47" t="n">
        <f aca="false">I59/I45</f>
        <v>0.274621363891337</v>
      </c>
      <c r="J61" s="47" t="n">
        <f aca="false">J59/J45</f>
        <v>0.267370347444607</v>
      </c>
      <c r="K61" s="47" t="n">
        <f aca="false">K59/K45</f>
        <v>0.244287485696575</v>
      </c>
      <c r="L61" s="47" t="n">
        <f aca="false">L59/L45</f>
        <v>0.240825230044371</v>
      </c>
      <c r="M61" s="47" t="n">
        <f aca="false">M59/M45</f>
        <v>0.216599416335609</v>
      </c>
      <c r="N61" s="47" t="n">
        <f aca="false">N59/N45</f>
        <v>0.220023606353217</v>
      </c>
    </row>
    <row r="62" customFormat="false" ht="13.8" hidden="false" customHeight="false" outlineLevel="0" collapsed="false">
      <c r="A62" s="13" t="s">
        <v>137</v>
      </c>
      <c r="B62" s="59" t="n">
        <f aca="false">+Historicals!B168</f>
        <v>87</v>
      </c>
      <c r="C62" s="56" t="n">
        <f aca="false">+Historicals!C168</f>
        <v>85</v>
      </c>
      <c r="D62" s="56" t="n">
        <f aca="false">+Historicals!D168</f>
        <v>106</v>
      </c>
      <c r="E62" s="56" t="n">
        <f aca="false">+Historicals!E168</f>
        <v>116</v>
      </c>
      <c r="F62" s="56" t="n">
        <f aca="false">+Historicals!F168</f>
        <v>111</v>
      </c>
      <c r="G62" s="56" t="n">
        <f aca="false">+Historicals!G168</f>
        <v>132</v>
      </c>
      <c r="H62" s="56" t="n">
        <f aca="false">+Historicals!H168</f>
        <v>136</v>
      </c>
      <c r="I62" s="56" t="n">
        <f aca="false">+Historicals!I168</f>
        <v>134</v>
      </c>
      <c r="J62" s="0" t="n">
        <v>120</v>
      </c>
      <c r="K62" s="48" t="n">
        <f aca="false">I62*(J63+1)</f>
        <v>120.6</v>
      </c>
      <c r="L62" s="48" t="n">
        <f aca="false">J62*(K63+1)</f>
        <v>124.339844219274</v>
      </c>
      <c r="M62" s="48" t="n">
        <f aca="false">K62*(L63+1)</f>
        <v>125.86144225277</v>
      </c>
      <c r="N62" s="48" t="n">
        <f aca="false">L62*(M63+1)</f>
        <v>127.363349948732</v>
      </c>
    </row>
    <row r="63" customFormat="false" ht="13.8" hidden="false" customHeight="false" outlineLevel="0" collapsed="false">
      <c r="A63" s="46" t="s">
        <v>134</v>
      </c>
      <c r="B63" s="0" t="s">
        <v>144</v>
      </c>
      <c r="C63" s="47" t="n">
        <f aca="false">(C62-B62)/C62</f>
        <v>-0.0235294117647059</v>
      </c>
      <c r="D63" s="47" t="n">
        <f aca="false">(D62-C62)/D62</f>
        <v>0.19811320754717</v>
      </c>
      <c r="E63" s="47" t="n">
        <f aca="false">(E62-D62)/E62</f>
        <v>0.0862068965517241</v>
      </c>
      <c r="F63" s="47" t="n">
        <f aca="false">(F62-E62)/F62</f>
        <v>-0.045045045045045</v>
      </c>
      <c r="G63" s="47" t="n">
        <f aca="false">(G62-F62)/G62</f>
        <v>0.159090909090909</v>
      </c>
      <c r="H63" s="47" t="n">
        <f aca="false">(H62-G62)/H62</f>
        <v>0.0294117647058823</v>
      </c>
      <c r="I63" s="47" t="n">
        <f aca="false">(I62-H62)/I62</f>
        <v>-0.0149253731343284</v>
      </c>
      <c r="J63" s="47" t="n">
        <v>-0.1</v>
      </c>
      <c r="K63" s="47" t="n">
        <f aca="false">(SUM(C63:J63))/8</f>
        <v>0.0361653684939508</v>
      </c>
      <c r="L63" s="47" t="n">
        <f aca="false">(SUM(D63:K63))/8</f>
        <v>0.0436272160262829</v>
      </c>
      <c r="M63" s="47" t="n">
        <f aca="false">(SUM(E63:L63))/8</f>
        <v>0.024316467086172</v>
      </c>
      <c r="N63" s="47" t="n">
        <f aca="false">(SUM(F63:M63))/8</f>
        <v>0.016580163402978</v>
      </c>
    </row>
    <row r="64" customFormat="false" ht="13.8" hidden="false" customHeight="false" outlineLevel="0" collapsed="false">
      <c r="A64" s="46" t="s">
        <v>138</v>
      </c>
      <c r="B64" s="47" t="n">
        <f aca="false">B62/B45</f>
        <v>0.0122088127982038</v>
      </c>
      <c r="C64" s="47" t="n">
        <f aca="false">C62/C45</f>
        <v>0.0112315010570825</v>
      </c>
      <c r="D64" s="47" t="n">
        <f aca="false">D62/D45</f>
        <v>0.0132998745294856</v>
      </c>
      <c r="E64" s="47" t="n">
        <f aca="false">E62/E45</f>
        <v>0.0125513958017745</v>
      </c>
      <c r="F64" s="47" t="n">
        <f aca="false">F62/F45</f>
        <v>0.0113126783530371</v>
      </c>
      <c r="G64" s="47" t="n">
        <f aca="false">G62/G45</f>
        <v>0.0141221782390072</v>
      </c>
      <c r="H64" s="47" t="n">
        <f aca="false">H62/H45</f>
        <v>0.0118715083798883</v>
      </c>
      <c r="I64" s="47" t="n">
        <f aca="false">I62/I45</f>
        <v>0.0107380399070438</v>
      </c>
      <c r="J64" s="47" t="n">
        <f aca="false">J62/J45</f>
        <v>0.00878785036794105</v>
      </c>
      <c r="K64" s="47" t="n">
        <f aca="false">K62/K45</f>
        <v>0.00809428227641962</v>
      </c>
      <c r="L64" s="47" t="n">
        <f aca="false">L62/L45</f>
        <v>0.00762300406409343</v>
      </c>
      <c r="M64" s="47" t="n">
        <f aca="false">M62/M45</f>
        <v>0.00701509813316882</v>
      </c>
      <c r="N64" s="47" t="n">
        <f aca="false">N62/N45</f>
        <v>0.00649777095001917</v>
      </c>
    </row>
    <row r="65" customFormat="false" ht="13.8" hidden="false" customHeight="false" outlineLevel="0" collapsed="false">
      <c r="A65" s="13" t="s">
        <v>139</v>
      </c>
      <c r="B65" s="56" t="n">
        <f aca="false">+Historicals!B135</f>
        <v>1524</v>
      </c>
      <c r="C65" s="56" t="n">
        <f aca="false">+Historicals!C135</f>
        <v>1787</v>
      </c>
      <c r="D65" s="56" t="n">
        <f aca="false">+Historicals!D135</f>
        <v>1507</v>
      </c>
      <c r="E65" s="56" t="n">
        <f aca="false">+Historicals!E135</f>
        <v>1587</v>
      </c>
      <c r="F65" s="56" t="n">
        <f aca="false">+Historicals!F135</f>
        <v>1995</v>
      </c>
      <c r="G65" s="56" t="n">
        <f aca="false">+Historicals!G135</f>
        <v>1541</v>
      </c>
      <c r="H65" s="56" t="n">
        <f aca="false">+Historicals!H135</f>
        <v>2435</v>
      </c>
      <c r="I65" s="56" t="n">
        <f aca="false">+Historicals!I135</f>
        <v>3293</v>
      </c>
      <c r="J65" s="0" t="n">
        <v>3531</v>
      </c>
      <c r="K65" s="48" t="n">
        <f aca="false">I65*(J66+1)</f>
        <v>3519.13849303889</v>
      </c>
      <c r="L65" s="48" t="n">
        <f aca="false">J65*(K66+1)</f>
        <v>3803.79286252212</v>
      </c>
      <c r="M65" s="48" t="n">
        <f aca="false">K65*(L66+1)</f>
        <v>3760.25881060725</v>
      </c>
      <c r="N65" s="48" t="n">
        <f aca="false">L65*(M66+1)</f>
        <v>4185.33769607139</v>
      </c>
    </row>
    <row r="66" customFormat="false" ht="13.8" hidden="false" customHeight="false" outlineLevel="0" collapsed="false">
      <c r="A66" s="46" t="s">
        <v>134</v>
      </c>
      <c r="B66" s="0" t="s">
        <v>144</v>
      </c>
      <c r="C66" s="47" t="n">
        <f aca="false">(C65-B65)/C65</f>
        <v>0.14717403469502</v>
      </c>
      <c r="D66" s="47" t="n">
        <f aca="false">(D65-C65)/D65</f>
        <v>-0.185799601857996</v>
      </c>
      <c r="E66" s="47" t="n">
        <f aca="false">(E65-D65)/E65</f>
        <v>0.0504095778197858</v>
      </c>
      <c r="F66" s="47" t="n">
        <f aca="false">(F65-E65)/F65</f>
        <v>0.204511278195489</v>
      </c>
      <c r="G66" s="47" t="n">
        <f aca="false">(G65-F65)/G65</f>
        <v>-0.294613887086308</v>
      </c>
      <c r="H66" s="47" t="n">
        <f aca="false">(H65-G65)/H65</f>
        <v>0.367145790554415</v>
      </c>
      <c r="I66" s="47" t="n">
        <f aca="false">(I65-H65)/I65</f>
        <v>0.26055268751898</v>
      </c>
      <c r="J66" s="47" t="n">
        <f aca="false">(SUM(B66:I66))/8</f>
        <v>0.0686724849799231</v>
      </c>
      <c r="K66" s="47" t="n">
        <f aca="false">(SUM(C66:J66))/8</f>
        <v>0.0772565456024135</v>
      </c>
      <c r="L66" s="47" t="n">
        <f aca="false">(SUM(D66:K66))/8</f>
        <v>0.0685168594658377</v>
      </c>
      <c r="M66" s="47" t="n">
        <f aca="false">(SUM(E66:L66))/8</f>
        <v>0.100306417131317</v>
      </c>
      <c r="N66" s="47" t="n">
        <f aca="false">(SUM(F66:M66))/8</f>
        <v>0.106543522045258</v>
      </c>
    </row>
    <row r="67" customFormat="false" ht="13.8" hidden="false" customHeight="false" outlineLevel="0" collapsed="false">
      <c r="A67" s="46" t="s">
        <v>136</v>
      </c>
      <c r="B67" s="47" t="n">
        <f aca="false">B65/B45</f>
        <v>0.213864720740949</v>
      </c>
      <c r="C67" s="47" t="n">
        <f aca="false">C65/C45</f>
        <v>0.236125792811839</v>
      </c>
      <c r="D67" s="47" t="n">
        <f aca="false">D65/D45</f>
        <v>0.189084065244668</v>
      </c>
      <c r="E67" s="47" t="n">
        <f aca="false">E65/E45</f>
        <v>0.171716078770829</v>
      </c>
      <c r="F67" s="47" t="n">
        <f aca="false">F65/F45</f>
        <v>0.203322462291072</v>
      </c>
      <c r="G67" s="47" t="n">
        <f aca="false">G65/G45</f>
        <v>0.164865732320531</v>
      </c>
      <c r="H67" s="47" t="n">
        <f aca="false">H65/H45</f>
        <v>0.212552374301676</v>
      </c>
      <c r="I67" s="47" t="n">
        <f aca="false">I65/I45</f>
        <v>0.263883323984294</v>
      </c>
      <c r="J67" s="47" t="n">
        <f aca="false">J65/J45</f>
        <v>0.258582497076666</v>
      </c>
      <c r="K67" s="47" t="n">
        <f aca="false">K65/K45</f>
        <v>0.236193203420155</v>
      </c>
      <c r="L67" s="47" t="n">
        <f aca="false">L65/L45</f>
        <v>0.233202225980278</v>
      </c>
      <c r="M67" s="47" t="n">
        <f aca="false">M65/M45</f>
        <v>0.20958431820244</v>
      </c>
      <c r="N67" s="47" t="n">
        <f aca="false">N65/N45</f>
        <v>0.213525835403198</v>
      </c>
    </row>
    <row r="68" customFormat="false" ht="13.8" hidden="false" customHeight="false" outlineLevel="0" collapsed="false">
      <c r="A68" s="13" t="s">
        <v>140</v>
      </c>
      <c r="B68" s="56" t="n">
        <f aca="false">+Historicals!B146</f>
        <v>498</v>
      </c>
      <c r="C68" s="56" t="n">
        <f aca="false">+Historicals!C146</f>
        <v>639</v>
      </c>
      <c r="D68" s="56" t="n">
        <f aca="false">+Historicals!D146</f>
        <v>709</v>
      </c>
      <c r="E68" s="56" t="n">
        <f aca="false">+Historicals!E146</f>
        <v>849</v>
      </c>
      <c r="F68" s="56" t="n">
        <f aca="false">+Historicals!F146</f>
        <v>929</v>
      </c>
      <c r="G68" s="56" t="n">
        <f aca="false">+Historicals!G146</f>
        <v>885</v>
      </c>
      <c r="H68" s="56" t="n">
        <f aca="false">+Historicals!H146</f>
        <v>982</v>
      </c>
      <c r="I68" s="56" t="n">
        <f aca="false">+Historicals!I146</f>
        <v>920</v>
      </c>
      <c r="J68" s="0" t="n">
        <v>1009</v>
      </c>
      <c r="K68" s="48" t="n">
        <f aca="false">I68*(J69+1)</f>
        <v>1012</v>
      </c>
      <c r="L68" s="48" t="n">
        <f aca="false">J68*(K69+1)</f>
        <v>1091.24246149441</v>
      </c>
      <c r="M68" s="48" t="n">
        <f aca="false">K68*(L69+1)</f>
        <v>1076.88471611657</v>
      </c>
      <c r="N68" s="48" t="n">
        <f aca="false">L68*(M69+1)</f>
        <v>1156.48612719925</v>
      </c>
    </row>
    <row r="69" customFormat="false" ht="13.8" hidden="false" customHeight="false" outlineLevel="0" collapsed="false">
      <c r="A69" s="46" t="s">
        <v>134</v>
      </c>
      <c r="B69" s="47" t="s">
        <v>144</v>
      </c>
      <c r="C69" s="47" t="n">
        <f aca="false">(C68-B68)/C68</f>
        <v>0.220657276995305</v>
      </c>
      <c r="D69" s="47" t="n">
        <f aca="false">(D68-C68)/D68</f>
        <v>0.0987306064880113</v>
      </c>
      <c r="E69" s="47" t="n">
        <f aca="false">(E68-D68)/E68</f>
        <v>0.16489988221437</v>
      </c>
      <c r="F69" s="47" t="n">
        <f aca="false">(F68-E68)/F68</f>
        <v>0.0861141011840689</v>
      </c>
      <c r="G69" s="47" t="n">
        <f aca="false">(G68-F68)/G68</f>
        <v>-0.0497175141242938</v>
      </c>
      <c r="H69" s="47" t="n">
        <f aca="false">(H68-G68)/H68</f>
        <v>0.0987780040733198</v>
      </c>
      <c r="I69" s="47" t="n">
        <f aca="false">(I68-H68)/I68</f>
        <v>-0.0673913043478261</v>
      </c>
      <c r="J69" s="47" t="n">
        <v>0.1</v>
      </c>
      <c r="K69" s="47" t="n">
        <f aca="false">(SUM(C69:J69))/8</f>
        <v>0.0815088815603694</v>
      </c>
      <c r="L69" s="47" t="n">
        <f aca="false">(SUM(D69:K69))/8</f>
        <v>0.0641153321310024</v>
      </c>
      <c r="M69" s="47" t="n">
        <f aca="false">(SUM(E69:L69))/8</f>
        <v>0.0597884228363763</v>
      </c>
      <c r="N69" s="47" t="n">
        <f aca="false">(SUM(F69:M69))/8</f>
        <v>0.0466494904141271</v>
      </c>
    </row>
    <row r="70" customFormat="false" ht="13.8" hidden="false" customHeight="false" outlineLevel="0" collapsed="false">
      <c r="A70" s="46" t="s">
        <v>138</v>
      </c>
      <c r="B70" s="47" t="n">
        <f aca="false">B68/B45</f>
        <v>0.0698849284310974</v>
      </c>
      <c r="C70" s="47" t="n">
        <f aca="false">C68/C45</f>
        <v>0.0844344608879493</v>
      </c>
      <c r="D70" s="47" t="n">
        <f aca="false">D68/D45</f>
        <v>0.0889585947302384</v>
      </c>
      <c r="E70" s="47" t="n">
        <f aca="false">E68/E45</f>
        <v>0.0918632330664358</v>
      </c>
      <c r="F70" s="47" t="n">
        <f aca="false">F68/F45</f>
        <v>0.0946799836934366</v>
      </c>
      <c r="G70" s="47" t="n">
        <f aca="false">G68/G45</f>
        <v>0.0946827859206162</v>
      </c>
      <c r="H70" s="47" t="n">
        <f aca="false">H68/H45</f>
        <v>0.0857192737430168</v>
      </c>
      <c r="I70" s="47" t="n">
        <f aca="false">I68/I45</f>
        <v>0.0737238560782114</v>
      </c>
      <c r="J70" s="47" t="n">
        <f aca="false">J68/J45</f>
        <v>0.0738911751771044</v>
      </c>
      <c r="K70" s="47" t="n">
        <f aca="false">K68/K45</f>
        <v>0.0679221696827251</v>
      </c>
      <c r="L70" s="47" t="n">
        <f aca="false">L68/L45</f>
        <v>0.0669016900504831</v>
      </c>
      <c r="M70" s="47" t="n">
        <f aca="false">M68/M45</f>
        <v>0.0600219719911971</v>
      </c>
      <c r="N70" s="47" t="n">
        <f aca="false">N68/N45</f>
        <v>0.0590011330923718</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230</TotalTime>
  <Application>LibreOffice/7.3.5.2$Windows_X86_64 LibreOffice_project/184fe81b8c8c30d8b5082578aee2fed2ea847c01</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2020-05-20T17:26:08Z</dcterms:created>
  <dc:creator>Dell</dc:creator>
  <dc:description/>
  <dc:language>en-GB</dc:language>
  <cp:lastModifiedBy/>
  <dcterms:modified xsi:type="dcterms:W3CDTF">2024-02-02T17:50:26Z</dcterms:modified>
  <cp:revision>49</cp:revision>
  <dc:subject/>
  <dc:title/>
</cp:coreProperties>
</file>

<file path=docProps/custom.xml><?xml version="1.0" encoding="utf-8"?>
<Properties xmlns="http://schemas.openxmlformats.org/officeDocument/2006/custom-properties" xmlns:vt="http://schemas.openxmlformats.org/officeDocument/2006/docPropsVTypes"/>
</file>