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heet1" sheetId="1" state="visible" r:id="rId2"/>
    <sheet name="Historicals" sheetId="2" state="visible" r:id="rId3"/>
    <sheet name="Segmental forecast" sheetId="3" state="visible" r:id="rId4"/>
    <sheet name="Three Statements" sheetId="4" state="visible" r:id="rId5"/>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3"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<sst xmlns="http://schemas.openxmlformats.org/spreadsheetml/2006/main" count="541" uniqueCount="242">
  <si>
    <t xml:space="preserve">Instructions</t>
  </si>
  <si>
    <t xml:space="preserve">Balancing the model</t>
  </si>
  <si>
    <t xml:space="preserve">Note that the balancing should be done column by column i.e. year by year not row by row (since net debt will change the interest and tax every year)</t>
  </si>
  <si>
    <t xml:space="preserve">Add up  the Cash flow CFO, CFI and CFF to arrive at closing cash and net debt</t>
  </si>
  <si>
    <t xml:space="preserve">Link closing cash to the balance sheet</t>
  </si>
  <si>
    <t xml:space="preserve">Link change in other assets in balance sheet to other investing activities in cash flow</t>
  </si>
  <si>
    <t xml:space="preserve">Read up on the share buy-back plans of the company, include the buy back amount in cash flow forecast and link that to the number of shares (Opening share count + (buy back amount/1 year average share price at the bottom of cash flow))</t>
  </si>
  <si>
    <t xml:space="preserve">Note that the share buy back should be subtracted from the retained earnings as well</t>
  </si>
  <si>
    <t xml:space="preserve">Ideally the balance sheet should tally on both Assets and Liabilities, if doesn't, think of all the forecasts that you have made and ensure the double entry impact is reflected. i.e. Capex should show cash out flow whilst asset addition balancing out the impact</t>
  </si>
  <si>
    <t xml:space="preserve">Feel free to reach out to me if you are have trouble balancing the model.</t>
  </si>
  <si>
    <t xml:space="preserve">You can take up to 5 days for this exercise</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</si>
  <si>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</si>
  <si>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</si>
  <si>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</si>
  <si>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</si>
  <si>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</si>
  <si>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</si>
  <si>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</si>
  <si>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</si>
  <si>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</si>
  <si>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</si>
  <si>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</si>
  <si>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</si>
  <si>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</si>
  <si>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</si>
  <si>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</si>
  <si>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</si>
  <si>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</si>
  <si>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</si>
  <si>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</si>
  <si>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</si>
  <si>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</si>
  <si>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</si>
  <si>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recorded in CFI</t>
  </si>
  <si>
    <t xml:space="preserve">Accounts receivable, net</t>
  </si>
  <si>
    <t xml:space="preserve">recorded in cash flow from operations</t>
  </si>
  <si>
    <t xml:space="preserve">Inventories</t>
  </si>
  <si>
    <t xml:space="preserve">Prepaid expenses and other current assets</t>
  </si>
  <si>
    <t xml:space="preserve">Total current assets</t>
  </si>
  <si>
    <t xml:space="preserve">Property, plant and equipment, net</t>
  </si>
  <si>
    <t xml:space="preserve">CapEx and CFI are related</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</si>
  <si>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</si>
  <si>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</si>
  <si>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</si>
  <si>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</si>
  <si>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</si>
  <si>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</si>
  <si>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</si>
  <si>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</si>
  <si>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</si>
  <si>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</si>
  <si>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</si>
  <si>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</si>
  <si>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</si>
  <si>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</si>
  <si>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</si>
  <si>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</si>
  <si>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</si>
  <si>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</si>
  <si>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</si>
  <si>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</si>
  <si>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</si>
  <si>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</si>
  <si>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</si>
  <si>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</si>
  <si>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</si>
  <si>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</si>
  <si>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</si>
  <si>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</si>
  <si>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</si>
  <si>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</si>
  <si>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</si>
  <si>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</si>
  <si>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</si>
  <si>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</si>
  <si>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</si>
  <si>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</si>
  <si>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</si>
  <si>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</si>
  <si>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</si>
  <si>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</si>
  <si>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</si>
  <si>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</si>
  <si>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</si>
  <si>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</si>
  <si>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</si>
  <si>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</si>
  <si>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</si>
  <si>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</si>
  <si>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</si>
  <si>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</si>
  <si>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</si>
  <si>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</si>
  <si>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</si>
  <si>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</si>
  <si>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</si>
  <si>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</si>
  <si>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</si>
  <si>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</si>
  <si>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</si>
  <si>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</si>
  <si>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</si>
  <si>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</si>
  <si>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</si>
  <si>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</si>
  <si>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</si>
  <si>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</si>
  <si>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</si>
  <si>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</si>
  <si>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</si>
  <si>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</si>
  <si>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</si>
  <si>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</si>
  <si>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</si>
  <si>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</si>
  <si>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</si>
  <si>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</si>
  <si>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</si>
  <si>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</si>
  <si>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</si>
  <si>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</si>
  <si>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</si>
  <si>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</si>
  <si>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</si>
  <si>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</si>
  <si>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</si>
  <si>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</si>
  <si>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</si>
  <si>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</si>
  <si>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</si>
  <si>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</si>
  <si>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</si>
  <si>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</si>
  <si>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</si>
  <si>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</si>
  <si>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</si>
  <si>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</si>
  <si>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</si>
  <si>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</si>
  <si>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</si>
  <si>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</si>
  <si>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</si>
  <si>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</si>
  <si>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Add up the segment revenues from below</t>
  </si>
  <si>
    <t xml:space="preserve">Growth %</t>
  </si>
  <si>
    <t xml:space="preserve">EBITDA</t>
  </si>
  <si>
    <t xml:space="preserve">Add up the segment EBITDA from below</t>
  </si>
  <si>
    <t xml:space="preserve">Margin %</t>
  </si>
  <si>
    <t xml:space="preserve">D&amp;A</t>
  </si>
  <si>
    <t xml:space="preserve">Add up the segment D&amp;A from below</t>
  </si>
  <si>
    <t xml:space="preserve">As a  % of revenue</t>
  </si>
  <si>
    <t xml:space="preserve">EBIT</t>
  </si>
  <si>
    <t xml:space="preserve">EBITDA - D&amp;A</t>
  </si>
  <si>
    <t xml:space="preserve">Capex</t>
  </si>
  <si>
    <t xml:space="preserve">Add up the segment Capex from below</t>
  </si>
  <si>
    <t xml:space="preserve">Property, plant and equipment</t>
  </si>
  <si>
    <t xml:space="preserve">Add up the segment PPE from below</t>
  </si>
  <si>
    <t xml:space="preserve">Revenue</t>
  </si>
  <si>
    <t xml:space="preserve">Organic growth %</t>
  </si>
  <si>
    <t xml:space="preserve">Nike Direct reports decreased 10%+ growth for past 3 fiscal years (2021-23 10Ks) over wholesale consumers and remains steady, with footwear and equipment seeing nearly 20% growth in that time.</t>
  </si>
  <si>
    <t xml:space="preserve">Currency impact %</t>
  </si>
  <si>
    <t xml:space="preserve">In May 2023 Nike announced changes in their senior leadership in order to further what Nike does best “seamlessly serve athletes with compelling products”. John Donahoe and Craig Williams will serve as leaders (Presidents) for the deepening consumer insights.</t>
  </si>
  <si>
    <t xml:space="preserve">As a % of PPE</t>
  </si>
  <si>
    <t xml:space="preserve">Nike Direct reports revenue increase close to 20% growth for past 3 fiscal years (2021-23 10Ks), with the average selling price increased for Jordan’s, kid’s and women’s brands in that time.</t>
  </si>
  <si>
    <t xml:space="preserve">Converse have released differing versions of some of their most popular shoes in recent years and have seen continued sales of such retro products.</t>
  </si>
  <si>
    <t xml:space="preserve">In May 2023 Nike announced their new Converse CEO, Jared Carver who succeeds Scott Uzzell. Carver is described as a consumer-first thinker and formerly unlocked strong growth in the North America region.</t>
  </si>
  <si>
    <t xml:space="preserve">Other </t>
  </si>
  <si>
    <t xml:space="preserve">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</si>
  <si>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 xml:space="preserve">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</si>
  <si>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 xml:space="preserve">Comments</t>
  </si>
  <si>
    <t xml:space="preserve">Income Statement</t>
  </si>
  <si>
    <t xml:space="preserve">Consistent growth rate from 2022</t>
  </si>
  <si>
    <t xml:space="preserve">Kept similar to cash interest in the cash flow statement</t>
  </si>
  <si>
    <t xml:space="preserve">PBT</t>
  </si>
  <si>
    <t xml:space="preserve">Based on the historical margin from EBIT</t>
  </si>
  <si>
    <t xml:space="preserve">Based on the effective income tax rate multiplied by Profit Before Tax</t>
  </si>
  <si>
    <t xml:space="preserve">Tax rate %</t>
  </si>
  <si>
    <t xml:space="preserve">2023 Annual Report pg76, The increase was primarily due to decreased benefits from stock-based compensation and the prior year recognition of a non-cash, one-time benefit related to the onshoring of the Company's non-U.S. intangible property. During the fourth quarter of fiscal 2022, the Company onshored certain non-U.S. intangible property ownership rights and implemented changes in the Company's legal entity structure. The tax restructuring increases the possibility that foreign earnings in future periods will be subject to tax in the U.S. due to Subpart F of the Internal Revenue Code. The Company recognized a deferred tax asset and corresponding non-cash deferred income tax benefit of 4.7%, to establish the deferred tax deduction that is expected to reduce taxable income in future periods.</t>
  </si>
  <si>
    <t xml:space="preserve">Net Income</t>
  </si>
  <si>
    <t xml:space="preserve">Diluted number of shares</t>
  </si>
  <si>
    <t xml:space="preserve">EPS</t>
  </si>
  <si>
    <t xml:space="preserve">DPS</t>
  </si>
  <si>
    <t xml:space="preserve">Based on forecasted payout ratio and linked to net income and earnings per share. 1,611 million diluted shares taken from 2022 staying the same.</t>
  </si>
  <si>
    <t xml:space="preserve">Assuming no forward or reverse stock splits then the growth rate may decrease although quarterly dividends paid increases.</t>
  </si>
  <si>
    <t xml:space="preserve">Payout ratio%</t>
  </si>
  <si>
    <t xml:space="preserve">The payout ratio remains relatively similar when assuming no forward or reverse stock splits</t>
  </si>
  <si>
    <t xml:space="preserve">Balance Sheet</t>
  </si>
  <si>
    <t xml:space="preserve">Cash and Cash Equivalents</t>
  </si>
  <si>
    <t xml:space="preserve">The company’s available for debt-securities slowly decreasing from May 2021</t>
  </si>
  <si>
    <t xml:space="preserve">Other Items Included in Net Debt</t>
  </si>
  <si>
    <t xml:space="preserve">Net Working Capital</t>
  </si>
  <si>
    <t xml:space="preserve">Based off the consistent 19% of revenue from the historical average</t>
  </si>
  <si>
    <t xml:space="preserve">As a % of revenue</t>
  </si>
  <si>
    <t xml:space="preserve">Other Current Assets</t>
  </si>
  <si>
    <t xml:space="preserve">Property Plant and Equipment</t>
  </si>
  <si>
    <t xml:space="preserve">Intangible Assets</t>
  </si>
  <si>
    <t xml:space="preserve">2022 Annual Report, pg142, Goodwill was $284 million and $242 million as of May 31, 2022 and 2021, respectively, and there were no accumulated
impairment losses as of May 31, 2022 and 2021. Additionally, the impact to Goodwill during fiscal 2022 and 2021 as a result of
acquisitions and divestitures was not material.
</t>
  </si>
  <si>
    <t xml:space="preserve">Other Assets</t>
  </si>
  <si>
    <t xml:space="preserve">Total Assets</t>
  </si>
  <si>
    <t xml:space="preserve">Current Borrowings</t>
  </si>
  <si>
    <t xml:space="preserve">2022 form 10-K pg121, To date, we have not experienced difficulty accessing the credit markets; however, future volatility in the capital markets may
increase costs associated with issuing commercial paper or other debt instruments or affect our ability to access those markets</t>
  </si>
  <si>
    <t xml:space="preserve">2022 10K pg146,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 As of and for the periods ended May 31, 2022 and 2021, no amounts were outstanding under any of the Company's committed credit facilities</t>
  </si>
  <si>
    <t xml:space="preserve">Other Current Liabilities</t>
  </si>
  <si>
    <t xml:space="preserve">Other non-current Liabilities</t>
  </si>
  <si>
    <t xml:space="preserve">Equity</t>
  </si>
  <si>
    <t xml:space="preserve">Common stock</t>
  </si>
  <si>
    <t xml:space="preserve">Retained Earnings</t>
  </si>
  <si>
    <t xml:space="preserve">Forecasted on net income minus the dividends paid to shareholders</t>
  </si>
  <si>
    <t xml:space="preserve">Other Components of Equity</t>
  </si>
  <si>
    <t xml:space="preserve">Total Liabilities and Equity</t>
  </si>
  <si>
    <t xml:space="preserve">Check</t>
  </si>
  <si>
    <t xml:space="preserve">Cash flow</t>
  </si>
  <si>
    <t xml:space="preserve">Cash Tax</t>
  </si>
  <si>
    <t xml:space="preserve">2022 10K pg 148, both tax benefits and income benefits from 2022 were rescinded for 2023 onwards</t>
  </si>
  <si>
    <t xml:space="preserve">NOPAT</t>
  </si>
  <si>
    <t xml:space="preserve">Cash Interest</t>
  </si>
  <si>
    <t xml:space="preserve">(Increase)/Decrease in Working Capital</t>
  </si>
  <si>
    <t xml:space="preserve">FCFF</t>
  </si>
  <si>
    <t xml:space="preserve">Other Operating Activities</t>
  </si>
  <si>
    <t xml:space="preserve">CFO</t>
  </si>
  <si>
    <t xml:space="preserve">. The net change in working capital and other assets and liabilities resulted in a decrease to Cash provided (used) by operations of $1,660 million for fiscal 2022, compared to an increase of $45 million for fiscal 2021. The net change in working capital was unfavorably impacted by a $2,183 million increase in Inventories, partially offset by a favorable impact from a $1,102 million decrease in Accounts receivable. These changes were, in part, due to supply chain constraints, which caused higher levels of in-transit inventory and therefore a lower supply of available inventory to meet consumer demand. </t>
  </si>
  <si>
    <t xml:space="preserve">Acquisitions </t>
  </si>
  <si>
    <t xml:space="preserve">Other Investing Activities</t>
  </si>
  <si>
    <t xml:space="preserve">CFI</t>
  </si>
  <si>
    <t xml:space="preserve">2022 annual report pg 120,Cash provided (used) by investing activities was an outflow of $1,524 million for fiscal 2022, compared to an outflow of $3,800 million for fiscal 2021, primarily driven by the net change in short-term investments. During fiscal 2022, the net change in shortterm investments (including sales, maturities and purchases) resulted in a cash outflow of $747 million compared to a cash outflow of $3,276 million in fiscal 2021. Additionally, during fiscal 2022, we continued investing in our infrastructure to support future growth, specifically focused around digital capabilities, our end-to-end technology foundation, our corporate facilities and improvements across our supply chain. In future periods, we expect to make annual capital expenditures of approximately 3% of annual revenues. </t>
  </si>
  <si>
    <t xml:space="preserve">Share Issuance/Buybacks</t>
  </si>
  <si>
    <t xml:space="preserve">In June 2018, the Board of Directors approved a four-year, $15 billion share repurchase program. As of May 31, 2022, the Company had repurchased a total of 77.4 million shares at an average price of $111.98 per share for a total approximate cost of $8.7 billion under this program. In June 2022, the Board of Directors authorized a new four-year, $18 billion program to repurchase shares of the Company's Class B common stock. The Company's new program will replace the current $15 billion share repurchase program, which will be terminated in fiscal 2023. </t>
  </si>
  <si>
    <t xml:space="preserve">Dividends Paid to Shareholders</t>
  </si>
  <si>
    <t xml:space="preserve">1,611 million diluted shares taken from 2022 staying the same but multiplied by the forecasted DPS based on forecasted net income and EPS. Assumed same rate of growth for dividends.</t>
  </si>
  <si>
    <t xml:space="preserve">Borrowings</t>
  </si>
  <si>
    <t xml:space="preserve">2022 annual report pg 146, note 7, Liquidity is also provided by our $3 billion commercial paper program. As of and for the fiscal year ended May 31, 2022, we did
not have any borrowings outstanding under our $3 billion program. As of May 31, 2021, we had no commercial paper
Outstanding.</t>
  </si>
  <si>
    <t xml:space="preserve">Other Financing Activities</t>
  </si>
  <si>
    <t xml:space="preserve">CFF</t>
  </si>
  <si>
    <t xml:space="preserve">2022 annual report pg 120, Cash provided (used) by financing activities was an outflow of $4,836 million for fiscal 2022 compared to an outflow of $1,459 million for fiscal 2021. This change was driven by our resumption of the share repurchase program in the fourth quarter of fiscal 2021, resulting in $4,014 million of share repurchases during fiscal 2022 compared to $608 million during fiscal 2021. </t>
  </si>
  <si>
    <t xml:space="preserve">Other Adjustments</t>
  </si>
  <si>
    <t xml:space="preserve">Net Change in Cash</t>
  </si>
  <si>
    <t xml:space="preserve">Opening Cash</t>
  </si>
  <si>
    <t xml:space="preserve">Closing Cash</t>
  </si>
  <si>
    <t xml:space="preserve">Net Debt (Cash)</t>
  </si>
  <si>
    <t xml:space="preserve">1 year Average share price - Sourced from Yahoo finance</t>
  </si>
  <si>
    <t xml:space="preserve">$4.5 billion repurchase programme each year for 4 years from 2023 to 2027</t>
  </si>
  <si>
    <t xml:space="preserve">Approximately 40 million shares each year, 0.025% of entire company</t>
  </si>
</sst>
</file>

<file path=xl/styles.xml><?xml version="1.0" encoding="utf-8"?>
<styleSheet xmlns="http://schemas.openxmlformats.org/spreadsheetml/2006/main">
  <numFmts count="14">
    <numFmt numFmtId="164" formatCode="General"/>
    <numFmt numFmtId="165" formatCode="_-* #,##0.00_-;\-* #,##0.00_-;_-* \-??_-;_-@_-"/>
    <numFmt numFmtId="166" formatCode="General"/>
    <numFmt numFmtId="167" formatCode="_(* #,##0.00_);_(* \(#,##0.00\);_(* \-??_);_(@_)"/>
    <numFmt numFmtId="168" formatCode="_(* #,##0_);_(* \(#,##0\);_(* \-??_);_(@_)"/>
    <numFmt numFmtId="169" formatCode="_(* #,##0_);_(* \(#,##0\);_(* \-??_);_(@_)"/>
    <numFmt numFmtId="170" formatCode="#,##0"/>
    <numFmt numFmtId="171" formatCode="0%"/>
    <numFmt numFmtId="172" formatCode="0.0%"/>
    <numFmt numFmtId="173" formatCode="#,##0.00"/>
    <numFmt numFmtId="174" formatCode="#,##0.0"/>
    <numFmt numFmtId="175" formatCode="0.00%"/>
    <numFmt numFmtId="176" formatCode="* 0\ ;* \(0\);* \-#\ ;@\ "/>
    <numFmt numFmtId="177" formatCode="0.00"/>
  </numFmts>
  <fonts count="19">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sz val="11"/>
      <color rgb="FF000000"/>
      <name val="Calibri"/>
      <family val="2"/>
    </font>
    <font>
      <b val="true"/>
      <sz val="11"/>
      <color rgb="FF000000"/>
      <name val="Calibri"/>
      <family val="2"/>
    </font>
    <font>
      <i val="true"/>
      <sz val="9"/>
      <color rgb="FF0070C0"/>
      <name val="Calibri"/>
      <family val="2"/>
      <charset val="1"/>
    </font>
    <font>
      <b val="true"/>
      <sz val="11"/>
      <color rgb="FFC9211E"/>
      <name val="Calibri"/>
      <family val="2"/>
      <charset val="1"/>
    </font>
  </fonts>
  <fills count="10">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FFFF00"/>
        <bgColor rgb="FFFFFF00"/>
      </patternFill>
    </fill>
    <fill>
      <patternFill patternType="solid">
        <fgColor rgb="FFDAE3F3"/>
        <bgColor rgb="FFEDEDED"/>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1"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9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6" fontId="8" fillId="4" borderId="0" xfId="0" applyFont="true" applyBorder="false" applyAlignment="true" applyProtection="false">
      <alignment horizontal="right" vertical="bottom" textRotation="0" wrapText="false" indent="0" shrinkToFit="false"/>
      <protection locked="true" hidden="false"/>
    </xf>
    <xf numFmtId="168" fontId="0" fillId="0" borderId="0" xfId="15" applyFont="false" applyBorder="true" applyAlignment="false" applyProtection="true">
      <alignment horizontal="general" vertical="bottom" textRotation="0" wrapText="false" indent="0" shrinkToFit="false"/>
      <protection locked="true" hidden="false"/>
    </xf>
    <xf numFmtId="169" fontId="0" fillId="0" borderId="0"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false" applyBorder="true" applyAlignment="false" applyProtection="true">
      <alignment horizontal="general" vertical="bottom" textRotation="0" wrapText="false" indent="0" shrinkToFit="false"/>
      <protection locked="true" hidden="false"/>
    </xf>
    <xf numFmtId="169" fontId="0" fillId="0" borderId="1" xfId="15" applyFont="true" applyBorder="true" applyAlignment="true" applyProtection="tru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8" fontId="5" fillId="0" borderId="0" xfId="15" applyFont="true" applyBorder="true" applyAlignment="false" applyProtection="true">
      <alignment horizontal="general" vertical="bottom" textRotation="0" wrapText="false" indent="0" shrinkToFit="false"/>
      <protection locked="true" hidden="false"/>
    </xf>
    <xf numFmtId="169" fontId="5" fillId="0" borderId="0"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8" fontId="0" fillId="0" borderId="2" xfId="15" applyFont="false" applyBorder="true" applyAlignment="false" applyProtection="true">
      <alignment horizontal="general" vertical="bottom" textRotation="0" wrapText="false" indent="0" shrinkToFit="false"/>
      <protection locked="true" hidden="false"/>
    </xf>
    <xf numFmtId="169" fontId="0" fillId="0" borderId="2" xfId="15" applyFont="true" applyBorder="true" applyAlignment="true" applyProtection="tru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8" fontId="5" fillId="0" borderId="2" xfId="15" applyFont="true" applyBorder="true" applyAlignment="false" applyProtection="true">
      <alignment horizontal="general" vertical="bottom" textRotation="0" wrapText="false" indent="0" shrinkToFit="false"/>
      <protection locked="true" hidden="false"/>
    </xf>
    <xf numFmtId="169" fontId="5" fillId="0" borderId="2" xfId="15" applyFont="tru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8" fontId="5" fillId="0" borderId="3" xfId="15" applyFont="true" applyBorder="true" applyAlignment="false" applyProtection="true">
      <alignment horizontal="general" vertical="bottom" textRotation="0" wrapText="false" indent="0" shrinkToFit="false"/>
      <protection locked="true" hidden="false"/>
    </xf>
    <xf numFmtId="169" fontId="5" fillId="0" borderId="3" xfId="15" applyFont="true" applyBorder="true" applyAlignment="true" applyProtection="tru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9" fontId="9" fillId="0" borderId="0" xfId="0" applyFont="true" applyBorder="false" applyAlignment="false" applyProtection="false">
      <alignment horizontal="general" vertical="bottom" textRotation="0" wrapText="false" indent="0" shrinkToFit="false"/>
      <protection locked="true" hidden="false"/>
    </xf>
    <xf numFmtId="164" fontId="5" fillId="5"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4" fontId="5" fillId="0" borderId="4" xfId="0" applyFont="true" applyBorder="true" applyAlignment="true" applyProtection="false">
      <alignment horizontal="left" vertical="bottom" textRotation="0" wrapText="false" indent="0" shrinkToFit="false"/>
      <protection locked="true" hidden="false"/>
    </xf>
    <xf numFmtId="169" fontId="5" fillId="0" borderId="4" xfId="15" applyFont="true" applyBorder="true" applyAlignment="true" applyProtection="tru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8" fontId="5" fillId="0" borderId="3" xfId="15"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1" shrinkToFit="false"/>
      <protection locked="true" hidden="false"/>
    </xf>
    <xf numFmtId="172" fontId="10" fillId="0" borderId="0"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2" shrinkToFit="false"/>
      <protection locked="true" hidden="false"/>
    </xf>
    <xf numFmtId="172" fontId="11" fillId="0" borderId="0" xfId="19" applyFont="true" applyBorder="true" applyAlignment="false" applyProtection="true">
      <alignment horizontal="general" vertical="bottom" textRotation="0" wrapText="false" indent="0" shrinkToFit="false"/>
      <protection locked="true" hidden="false"/>
    </xf>
    <xf numFmtId="172" fontId="10" fillId="0" borderId="1" xfId="19" applyFont="true" applyBorder="true" applyAlignment="false" applyProtection="true">
      <alignment horizontal="general"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72" fontId="10" fillId="0" borderId="2" xfId="19" applyFont="true" applyBorder="true" applyAlignment="false" applyProtection="true">
      <alignment horizontal="general" vertical="bottom" textRotation="0" wrapText="false" indent="0" shrinkToFit="false"/>
      <protection locked="true" hidden="false"/>
    </xf>
    <xf numFmtId="172" fontId="11" fillId="0" borderId="2"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1"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72" fontId="10" fillId="0" borderId="3" xfId="19" applyFont="true" applyBorder="true" applyAlignment="false" applyProtection="true">
      <alignment horizontal="general" vertical="bottom" textRotation="0" wrapText="false" indent="0" shrinkToFit="false"/>
      <protection locked="true" hidden="false"/>
    </xf>
    <xf numFmtId="166" fontId="5" fillId="6" borderId="0" xfId="0" applyFont="true" applyBorder="false" applyAlignment="false" applyProtection="false">
      <alignment horizontal="general" vertical="bottom" textRotation="0" wrapText="false" indent="0" shrinkToFit="false"/>
      <protection locked="true" hidden="false"/>
    </xf>
    <xf numFmtId="169" fontId="8" fillId="2" borderId="0" xfId="21" applyFont="true" applyBorder="true" applyAlignment="true" applyProtection="true">
      <alignment horizontal="left" vertical="bottom" textRotation="0" wrapText="false" indent="0" shrinkToFit="false"/>
      <protection locked="true" hidden="false"/>
    </xf>
    <xf numFmtId="173" fontId="5" fillId="6" borderId="0" xfId="0" applyFont="true" applyBorder="false" applyAlignment="false" applyProtection="false">
      <alignment horizontal="general" vertical="bottom" textRotation="0" wrapText="false" indent="0" shrinkToFit="false"/>
      <protection locked="true" hidden="false"/>
    </xf>
    <xf numFmtId="168" fontId="5" fillId="0" borderId="0" xfId="15" applyFont="true" applyBorder="true" applyAlignment="true" applyProtection="true">
      <alignment horizontal="general" vertical="bottom" textRotation="0" wrapText="false" indent="0" shrinkToFit="false"/>
      <protection locked="true" hidden="false"/>
    </xf>
    <xf numFmtId="169" fontId="13" fillId="0" borderId="0" xfId="15" applyFont="true" applyBorder="true" applyAlignment="true" applyProtection="true">
      <alignment horizontal="left" vertical="bottom" textRotation="0" wrapText="false" indent="1" shrinkToFit="false"/>
      <protection locked="true" hidden="false"/>
    </xf>
    <xf numFmtId="172" fontId="11" fillId="0" borderId="0" xfId="19" applyFont="true" applyBorder="true" applyAlignment="true" applyProtection="true">
      <alignment horizontal="right" vertical="bottom" textRotation="0" wrapText="false" indent="0" shrinkToFit="false"/>
      <protection locked="true" hidden="false"/>
    </xf>
    <xf numFmtId="166" fontId="5" fillId="0" borderId="0" xfId="0" applyFont="true" applyBorder="false" applyAlignment="false" applyProtection="false">
      <alignment horizontal="general" vertical="bottom" textRotation="0" wrapText="false" indent="0" shrinkToFit="false"/>
      <protection locked="true" hidden="false"/>
    </xf>
    <xf numFmtId="174" fontId="5" fillId="0" borderId="0" xfId="0" applyFont="true" applyBorder="false" applyAlignment="false" applyProtection="false">
      <alignment horizontal="general" vertical="bottom" textRotation="0" wrapText="false" indent="0" shrinkToFit="false"/>
      <protection locked="true" hidden="false"/>
    </xf>
    <xf numFmtId="175" fontId="0" fillId="0" borderId="0" xfId="0" applyFont="false" applyBorder="false" applyAlignment="false" applyProtection="false">
      <alignment horizontal="general" vertical="bottom" textRotation="0" wrapText="false" indent="0" shrinkToFit="false"/>
      <protection locked="true" hidden="false"/>
    </xf>
    <xf numFmtId="169" fontId="5" fillId="3" borderId="0" xfId="22" applyFont="true" applyBorder="true" applyAlignment="true" applyProtection="true">
      <alignment horizontal="general" vertical="bottom" textRotation="0" wrapText="false" indent="0" shrinkToFit="false"/>
      <protection locked="true" hidden="false"/>
    </xf>
    <xf numFmtId="169" fontId="13" fillId="0" borderId="0" xfId="15" applyFont="true" applyBorder="true" applyAlignment="true" applyProtection="true">
      <alignment horizontal="left" vertical="bottom" textRotation="0" wrapText="false" indent="2" shrinkToFit="false"/>
      <protection locked="true" hidden="false"/>
    </xf>
    <xf numFmtId="169" fontId="0" fillId="0" borderId="0" xfId="15" applyFont="true" applyBorder="true" applyAlignment="true" applyProtection="true">
      <alignment horizontal="left" vertical="bottom" textRotation="0" wrapText="false" indent="1" shrinkToFit="false"/>
      <protection locked="true" hidden="false"/>
    </xf>
    <xf numFmtId="172" fontId="14" fillId="7" borderId="0" xfId="19" applyFont="true" applyBorder="true" applyAlignment="true" applyProtection="tru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9" fontId="0" fillId="8" borderId="0" xfId="15" applyFont="true" applyBorder="true" applyAlignment="true" applyProtection="true">
      <alignment horizontal="general" vertical="bottom" textRotation="0" wrapText="false" indent="0" shrinkToFit="false"/>
      <protection locked="true" hidden="false"/>
    </xf>
    <xf numFmtId="169" fontId="5" fillId="0" borderId="0" xfId="0" applyFont="true" applyBorder="false" applyAlignment="false" applyProtection="false">
      <alignment horizontal="general" vertical="bottom" textRotation="0" wrapText="false" indent="0" shrinkToFit="false"/>
      <protection locked="true" hidden="false"/>
    </xf>
    <xf numFmtId="173" fontId="5" fillId="0" borderId="0" xfId="0" applyFont="true" applyBorder="false" applyAlignment="false" applyProtection="fals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2"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3" fontId="0" fillId="0" borderId="0" xfId="0" applyFont="false" applyBorder="false" applyAlignment="false" applyProtection="false">
      <alignment horizontal="general" vertical="bottom" textRotation="0" wrapText="false" indent="0" shrinkToFit="false"/>
      <protection locked="true" hidden="false"/>
    </xf>
    <xf numFmtId="170" fontId="5" fillId="0" borderId="0" xfId="0" applyFont="true" applyBorder="false" applyAlignment="false" applyProtection="fals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1"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68" fontId="5" fillId="3" borderId="0" xfId="22" applyFont="true" applyBorder="true" applyAlignment="false" applyProtection="tru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66" fontId="5"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72" fontId="15" fillId="0" borderId="0" xfId="0" applyFont="true" applyBorder="false" applyAlignment="false" applyProtection="false">
      <alignment horizontal="general" vertical="bottom" textRotation="0" wrapText="false" indent="0" shrinkToFit="false"/>
      <protection locked="true" hidden="false"/>
    </xf>
    <xf numFmtId="166" fontId="16" fillId="0" borderId="0" xfId="0" applyFont="true" applyBorder="false" applyAlignment="false" applyProtection="false">
      <alignment horizontal="general" vertical="bottom" textRotation="0" wrapText="false" indent="0" shrinkToFit="false"/>
      <protection locked="true" hidden="false"/>
    </xf>
    <xf numFmtId="168" fontId="5" fillId="0" borderId="0" xfId="22" applyFont="true" applyBorder="true" applyAlignment="false" applyProtection="true">
      <alignment horizontal="general" vertical="bottom" textRotation="0" wrapText="false" indent="0" shrinkToFit="false"/>
      <protection locked="true" hidden="false"/>
    </xf>
    <xf numFmtId="164" fontId="6" fillId="4" borderId="0" xfId="0" applyFont="true" applyBorder="false" applyAlignment="true" applyProtection="false">
      <alignment horizontal="center" vertical="bottom" textRotation="0" wrapText="false" indent="0" shrinkToFit="false"/>
      <protection locked="true" hidden="false"/>
    </xf>
    <xf numFmtId="172" fontId="13" fillId="0" borderId="0" xfId="19" applyFont="true" applyBorder="true" applyAlignment="true" applyProtection="true">
      <alignment horizontal="right" vertical="bottom" textRotation="0" wrapText="false" indent="0" shrinkToFit="false"/>
      <protection locked="true" hidden="false"/>
    </xf>
    <xf numFmtId="169" fontId="0" fillId="0" borderId="0" xfId="15" applyFont="true" applyBorder="true" applyAlignment="true" applyProtection="true">
      <alignment horizontal="left" vertical="bottom" textRotation="0" wrapText="false" indent="0" shrinkToFit="false"/>
      <protection locked="true" hidden="false"/>
    </xf>
    <xf numFmtId="176" fontId="5" fillId="0" borderId="5" xfId="15" applyFont="true" applyBorder="true" applyAlignment="false" applyProtection="true">
      <alignment horizontal="general" vertical="bottom" textRotation="0" wrapText="false" indent="0" shrinkToFit="false"/>
      <protection locked="true" hidden="false"/>
    </xf>
    <xf numFmtId="169" fontId="13" fillId="0" borderId="0" xfId="15" applyFont="true" applyBorder="true" applyAlignment="true" applyProtection="true">
      <alignment horizontal="left" vertical="bottom" textRotation="0" wrapText="false" indent="0" shrinkToFit="false"/>
      <protection locked="true" hidden="false"/>
    </xf>
    <xf numFmtId="172" fontId="13" fillId="0" borderId="0" xfId="19" applyFont="true" applyBorder="true" applyAlignment="true" applyProtection="true">
      <alignment horizontal="right" vertical="bottom" textRotation="0" wrapText="false" indent="0" shrinkToFit="false"/>
      <protection locked="true" hidden="false"/>
    </xf>
    <xf numFmtId="172" fontId="17" fillId="9" borderId="0" xfId="19"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7" fontId="0" fillId="0" borderId="0" xfId="15" applyFont="true" applyBorder="true" applyAlignment="true" applyProtection="true">
      <alignment horizontal="general" vertical="bottom" textRotation="0" wrapText="false" indent="0" shrinkToFit="false"/>
      <protection locked="true" hidden="false"/>
    </xf>
    <xf numFmtId="164" fontId="8" fillId="2" borderId="0" xfId="21"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7" fontId="9" fillId="0" borderId="0" xfId="15" applyFont="true" applyBorder="true" applyAlignment="true" applyProtection="true">
      <alignment horizontal="general"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76" fontId="0" fillId="0" borderId="0" xfId="15" applyFont="false" applyBorder="true" applyAlignment="false" applyProtection="true">
      <alignment horizontal="general"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68" fontId="18" fillId="0" borderId="0" xfId="15" applyFont="true" applyBorder="true" applyAlignment="false" applyProtection="true">
      <alignment horizontal="general" vertical="bottom" textRotation="0" wrapText="false" indent="0" shrinkToFit="false"/>
      <protection locked="true" hidden="false"/>
    </xf>
    <xf numFmtId="177" fontId="0" fillId="0" borderId="0" xfId="0" applyFont="false" applyBorder="false" applyAlignment="false" applyProtection="fals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Excel Built-in Accent1" xfId="21"/>
    <cellStyle name="Excel Built-in 60% - Accent1"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EDEDED"/>
      <rgbColor rgb="FFCCFFFF"/>
      <rgbColor rgb="FF660066"/>
      <rgbColor rgb="FFFF8080"/>
      <rgbColor rgb="FF0070C0"/>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3"/>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8.687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4.25" hidden="false" customHeight="false" outlineLevel="0" collapsed="false">
      <c r="A2" s="3" t="s">
        <v>1</v>
      </c>
    </row>
    <row r="3" customFormat="false" ht="14.25" hidden="false" customHeight="false" outlineLevel="0" collapsed="false">
      <c r="A3" s="4" t="s">
        <v>2</v>
      </c>
    </row>
    <row r="4" customFormat="false" ht="14.25" hidden="false" customHeight="false" outlineLevel="0" collapsed="false">
      <c r="A4" s="4" t="s">
        <v>3</v>
      </c>
    </row>
    <row r="5" customFormat="false" ht="14.25" hidden="false" customHeight="false" outlineLevel="0" collapsed="false">
      <c r="A5" s="4" t="s">
        <v>4</v>
      </c>
    </row>
    <row r="6" customFormat="false" ht="14.25" hidden="false" customHeight="false" outlineLevel="0" collapsed="false">
      <c r="A6" s="4" t="s">
        <v>5</v>
      </c>
    </row>
    <row r="7" s="4" customFormat="true" ht="14.25" hidden="false" customHeight="false" outlineLevel="0" collapsed="false">
      <c r="A7" s="4" t="s">
        <v>6</v>
      </c>
    </row>
    <row r="8" customFormat="false" ht="14.25" hidden="false" customHeight="false" outlineLevel="0" collapsed="false">
      <c r="A8" s="5" t="s">
        <v>7</v>
      </c>
    </row>
    <row r="9" customFormat="false" ht="14.25" hidden="false" customHeight="false" outlineLevel="0" collapsed="false">
      <c r="A9" s="4" t="s">
        <v>8</v>
      </c>
    </row>
    <row r="10" s="4" customFormat="true" ht="14.25" hidden="false" customHeight="false" outlineLevel="0" collapsed="false"/>
    <row r="11" customFormat="false" ht="14.25" hidden="false" customHeight="false" outlineLevel="0" collapsed="false">
      <c r="A11" s="4" t="s">
        <v>9</v>
      </c>
    </row>
    <row r="12" customFormat="false" ht="14.25" hidden="false" customHeight="false" outlineLevel="0" collapsed="false">
      <c r="A12" s="4" t="s">
        <v>10</v>
      </c>
    </row>
    <row r="13" customFormat="false" ht="14.25" hidden="false" customHeight="false" outlineLevel="0" collapsed="false">
      <c r="A13" s="4"/>
    </row>
    <row r="14" customFormat="false" ht="14.25" hidden="false" customHeight="false" outlineLevel="0" collapsed="false">
      <c r="A14" s="4"/>
    </row>
    <row r="15" customFormat="false" ht="14.25" hidden="false" customHeight="false" outlineLevel="0" collapsed="false">
      <c r="A15" s="4"/>
    </row>
    <row r="16" customFormat="false" ht="14.25" hidden="false" customHeight="false" outlineLevel="0" collapsed="false">
      <c r="A16" s="4"/>
    </row>
    <row r="17" customFormat="false" ht="14.25" hidden="false" customHeight="false" outlineLevel="0" collapsed="false">
      <c r="A17" s="4"/>
    </row>
    <row r="18" customFormat="false" ht="14.25" hidden="false" customHeight="false" outlineLevel="0" collapsed="false">
      <c r="A18" s="4"/>
    </row>
    <row r="19" customFormat="false" ht="14.25" hidden="false" customHeight="false" outlineLevel="0" collapsed="false">
      <c r="A19" s="4"/>
    </row>
    <row r="20" customFormat="false" ht="14.25" hidden="false" customHeight="false" outlineLevel="0" collapsed="false">
      <c r="A20" s="4"/>
    </row>
    <row r="21" customFormat="false" ht="14.25" hidden="false" customHeight="false" outlineLevel="0" collapsed="false">
      <c r="A21" s="4"/>
    </row>
    <row r="22" customFormat="false" ht="14.25" hidden="false" customHeight="false" outlineLevel="0" collapsed="false">
      <c r="A22" s="4"/>
    </row>
    <row r="23" customFormat="false" ht="14.25" hidden="false" customHeight="false" outlineLevel="0" collapsed="false">
      <c r="A23" s="4"/>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0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0" ySplit="1" topLeftCell="A60" activePane="bottomLeft" state="frozen"/>
      <selection pane="topLeft" activeCell="A1" activeCellId="0" sqref="A1"/>
      <selection pane="bottomLeft" activeCell="I76" activeCellId="0" sqref="I76"/>
    </sheetView>
  </sheetViews>
  <sheetFormatPr defaultColWidth="8.6875" defaultRowHeight="14.25" zeroHeight="false" outlineLevelRow="0" outlineLevelCol="0"/>
  <cols>
    <col collapsed="false" customWidth="true" hidden="false" outlineLevel="0" max="1" min="1" style="0" width="78.11"/>
    <col collapsed="false" customWidth="true" hidden="false" outlineLevel="0" max="7" min="2" style="0" width="9"/>
    <col collapsed="false" customWidth="true" hidden="false" outlineLevel="0" max="8" min="8" style="0" width="10.45"/>
    <col collapsed="false" customWidth="true" hidden="false" outlineLevel="0" max="9" min="9" style="0" width="10.66"/>
  </cols>
  <sheetData>
    <row r="1" customFormat="false" ht="60" hidden="false" customHeight="true" outlineLevel="0" collapsed="false">
      <c r="A1" s="6" t="s">
        <v>11</v>
      </c>
      <c r="B1" s="7" t="n">
        <f aca="false">+C1-1</f>
        <v>2015</v>
      </c>
      <c r="C1" s="7" t="n">
        <f aca="false">+D1-1</f>
        <v>2016</v>
      </c>
      <c r="D1" s="7" t="n">
        <f aca="false">+E1-1</f>
        <v>2017</v>
      </c>
      <c r="E1" s="7" t="n">
        <f aca="false">+F1-1</f>
        <v>2018</v>
      </c>
      <c r="F1" s="7" t="n">
        <f aca="false">+G1-1</f>
        <v>2019</v>
      </c>
      <c r="G1" s="7" t="n">
        <f aca="false">+H1-1</f>
        <v>2020</v>
      </c>
      <c r="H1" s="7" t="n">
        <f aca="false">+I1-1</f>
        <v>2021</v>
      </c>
      <c r="I1" s="7" t="n">
        <v>2022</v>
      </c>
    </row>
    <row r="2" customFormat="false" ht="13.8" hidden="false" customHeight="false" outlineLevel="0" collapsed="false">
      <c r="A2" s="0" t="s">
        <v>12</v>
      </c>
      <c r="B2" s="8" t="n">
        <v>30601</v>
      </c>
      <c r="C2" s="8" t="n">
        <v>32376</v>
      </c>
      <c r="D2" s="8" t="n">
        <v>34350</v>
      </c>
      <c r="E2" s="8" t="n">
        <f aca="false">36397</f>
        <v>36397</v>
      </c>
      <c r="F2" s="8" t="n">
        <v>39117</v>
      </c>
      <c r="G2" s="8" t="n">
        <f aca="false">37403</f>
        <v>37403</v>
      </c>
      <c r="H2" s="9" t="n">
        <v>44538</v>
      </c>
      <c r="I2" s="9" t="n">
        <v>46710</v>
      </c>
    </row>
    <row r="3" customFormat="false" ht="13.8" hidden="false" customHeight="false" outlineLevel="0" collapsed="false">
      <c r="A3" s="10" t="s">
        <v>13</v>
      </c>
      <c r="B3" s="11" t="n">
        <v>16534</v>
      </c>
      <c r="C3" s="11" t="n">
        <v>17405</v>
      </c>
      <c r="D3" s="11" t="n">
        <v>19038</v>
      </c>
      <c r="E3" s="11" t="n">
        <v>20441</v>
      </c>
      <c r="F3" s="11" t="n">
        <v>21643</v>
      </c>
      <c r="G3" s="11" t="n">
        <v>21162</v>
      </c>
      <c r="H3" s="12" t="n">
        <v>24576</v>
      </c>
      <c r="I3" s="12" t="n">
        <v>25231</v>
      </c>
    </row>
    <row r="4" s="3" customFormat="true" ht="13.8" hidden="false" customHeight="false" outlineLevel="0" collapsed="false">
      <c r="A4" s="13" t="s">
        <v>14</v>
      </c>
      <c r="B4" s="14" t="n">
        <f aca="false">+B2-B3</f>
        <v>14067</v>
      </c>
      <c r="C4" s="14" t="n">
        <f aca="false">+C2-C3</f>
        <v>14971</v>
      </c>
      <c r="D4" s="14" t="n">
        <f aca="false">+D2-D3</f>
        <v>15312</v>
      </c>
      <c r="E4" s="14" t="n">
        <f aca="false">+E2-E3</f>
        <v>15956</v>
      </c>
      <c r="F4" s="14" t="n">
        <f aca="false">+F2-F3</f>
        <v>17474</v>
      </c>
      <c r="G4" s="14" t="n">
        <f aca="false">+G2-G3</f>
        <v>16241</v>
      </c>
      <c r="H4" s="15" t="n">
        <f aca="false">+H2-H3</f>
        <v>19962</v>
      </c>
      <c r="I4" s="15" t="n">
        <f aca="false">+I2-I3</f>
        <v>21479</v>
      </c>
    </row>
    <row r="5" customFormat="false" ht="13.8" hidden="false" customHeight="false" outlineLevel="0" collapsed="false">
      <c r="A5" s="16" t="s">
        <v>15</v>
      </c>
      <c r="B5" s="8" t="n">
        <v>3213</v>
      </c>
      <c r="C5" s="8" t="n">
        <v>3278</v>
      </c>
      <c r="D5" s="8" t="n">
        <v>3341</v>
      </c>
      <c r="E5" s="8" t="n">
        <v>3577</v>
      </c>
      <c r="F5" s="8" t="n">
        <v>3753</v>
      </c>
      <c r="G5" s="8" t="n">
        <v>3592</v>
      </c>
      <c r="H5" s="9" t="n">
        <v>3114</v>
      </c>
      <c r="I5" s="9" t="n">
        <v>3850</v>
      </c>
    </row>
    <row r="6" customFormat="false" ht="13.8" hidden="false" customHeight="false" outlineLevel="0" collapsed="false">
      <c r="A6" s="16" t="s">
        <v>16</v>
      </c>
      <c r="B6" s="8" t="n">
        <v>6679</v>
      </c>
      <c r="C6" s="8" t="n">
        <v>7191</v>
      </c>
      <c r="D6" s="8" t="n">
        <v>7222</v>
      </c>
      <c r="E6" s="8" t="n">
        <v>7934</v>
      </c>
      <c r="F6" s="8" t="n">
        <v>8949</v>
      </c>
      <c r="G6" s="8" t="n">
        <v>9534</v>
      </c>
      <c r="H6" s="9" t="n">
        <v>9911</v>
      </c>
      <c r="I6" s="9" t="n">
        <v>10954</v>
      </c>
    </row>
    <row r="7" customFormat="false" ht="13.8" hidden="false" customHeight="false" outlineLevel="0" collapsed="false">
      <c r="A7" s="17" t="s">
        <v>17</v>
      </c>
      <c r="B7" s="18" t="n">
        <f aca="false">+B5+B6</f>
        <v>9892</v>
      </c>
      <c r="C7" s="18" t="n">
        <f aca="false">+C5+C6</f>
        <v>10469</v>
      </c>
      <c r="D7" s="18" t="n">
        <f aca="false">+D5+D6</f>
        <v>10563</v>
      </c>
      <c r="E7" s="18" t="n">
        <f aca="false">+E5+E6</f>
        <v>11511</v>
      </c>
      <c r="F7" s="18" t="n">
        <f aca="false">+F5+F6</f>
        <v>12702</v>
      </c>
      <c r="G7" s="18" t="n">
        <f aca="false">+G5+G6</f>
        <v>13126</v>
      </c>
      <c r="H7" s="19" t="n">
        <f aca="false">+H5+H6</f>
        <v>13025</v>
      </c>
      <c r="I7" s="19" t="n">
        <f aca="false">+I5+I6</f>
        <v>14804</v>
      </c>
    </row>
    <row r="8" customFormat="false" ht="13.8" hidden="false" customHeight="false" outlineLevel="0" collapsed="false">
      <c r="A8" s="5" t="s">
        <v>18</v>
      </c>
      <c r="B8" s="8" t="n">
        <v>28</v>
      </c>
      <c r="C8" s="8" t="n">
        <v>19</v>
      </c>
      <c r="D8" s="8" t="n">
        <v>59</v>
      </c>
      <c r="E8" s="8" t="n">
        <v>54</v>
      </c>
      <c r="F8" s="8" t="n">
        <v>49</v>
      </c>
      <c r="G8" s="8" t="n">
        <v>89</v>
      </c>
      <c r="H8" s="9" t="n">
        <v>262</v>
      </c>
      <c r="I8" s="9" t="n">
        <v>205</v>
      </c>
    </row>
    <row r="9" customFormat="false" ht="13.8" hidden="false" customHeight="false" outlineLevel="0" collapsed="false">
      <c r="A9" s="5" t="s">
        <v>19</v>
      </c>
      <c r="B9" s="8" t="n">
        <v>-58</v>
      </c>
      <c r="C9" s="8" t="n">
        <v>-140</v>
      </c>
      <c r="D9" s="8" t="n">
        <v>-196</v>
      </c>
      <c r="E9" s="8" t="n">
        <v>66</v>
      </c>
      <c r="F9" s="8" t="n">
        <v>-78</v>
      </c>
      <c r="G9" s="8" t="n">
        <v>139</v>
      </c>
      <c r="H9" s="9" t="n">
        <v>14</v>
      </c>
      <c r="I9" s="9" t="n">
        <v>-181</v>
      </c>
    </row>
    <row r="10" customFormat="false" ht="13.8" hidden="false" customHeight="false" outlineLevel="0" collapsed="false">
      <c r="A10" s="20" t="s">
        <v>20</v>
      </c>
      <c r="B10" s="21" t="n">
        <f aca="false">+B4-B7-B8-B9</f>
        <v>4205</v>
      </c>
      <c r="C10" s="21" t="n">
        <f aca="false">+C4-C7-C8-C9</f>
        <v>4623</v>
      </c>
      <c r="D10" s="21" t="n">
        <f aca="false">+D4-D7-D8-D9</f>
        <v>4886</v>
      </c>
      <c r="E10" s="21" t="n">
        <f aca="false">+E4-E7-E8-E9</f>
        <v>4325</v>
      </c>
      <c r="F10" s="21" t="n">
        <f aca="false">+F4-F7-F8-F9</f>
        <v>4801</v>
      </c>
      <c r="G10" s="21" t="n">
        <f aca="false">+G4-G7-G8-G9</f>
        <v>2887</v>
      </c>
      <c r="H10" s="22" t="n">
        <f aca="false">+H4-H7-H8-H9</f>
        <v>6661</v>
      </c>
      <c r="I10" s="22" t="n">
        <f aca="false">+I4-I7-I8-I9</f>
        <v>6651</v>
      </c>
    </row>
    <row r="11" customFormat="false" ht="13.8" hidden="false" customHeight="false" outlineLevel="0" collapsed="false">
      <c r="A11" s="5" t="s">
        <v>21</v>
      </c>
      <c r="B11" s="8" t="n">
        <v>932</v>
      </c>
      <c r="C11" s="8" t="n">
        <v>863</v>
      </c>
      <c r="D11" s="8" t="n">
        <v>646</v>
      </c>
      <c r="E11" s="8" t="n">
        <v>2392</v>
      </c>
      <c r="F11" s="8" t="n">
        <v>772</v>
      </c>
      <c r="G11" s="8" t="n">
        <v>348</v>
      </c>
      <c r="H11" s="9" t="n">
        <v>934</v>
      </c>
      <c r="I11" s="9" t="n">
        <v>605</v>
      </c>
    </row>
    <row r="12" customFormat="false" ht="13.8" hidden="false" customHeight="false" outlineLevel="0" collapsed="false">
      <c r="A12" s="23" t="s">
        <v>22</v>
      </c>
      <c r="B12" s="24" t="n">
        <f aca="false">+B10-B11</f>
        <v>3273</v>
      </c>
      <c r="C12" s="24" t="n">
        <f aca="false">+C10-C11</f>
        <v>3760</v>
      </c>
      <c r="D12" s="24" t="n">
        <f aca="false">+D10-D11</f>
        <v>4240</v>
      </c>
      <c r="E12" s="24" t="n">
        <f aca="false">+E10-E11</f>
        <v>1933</v>
      </c>
      <c r="F12" s="24" t="n">
        <f aca="false">+F10-F11</f>
        <v>4029</v>
      </c>
      <c r="G12" s="24" t="n">
        <f aca="false">+G10-G11</f>
        <v>2539</v>
      </c>
      <c r="H12" s="25" t="n">
        <f aca="false">+H10-H11</f>
        <v>5727</v>
      </c>
      <c r="I12" s="25" t="n">
        <f aca="false">+I10-I11</f>
        <v>6046</v>
      </c>
    </row>
    <row r="13" customFormat="false" ht="13.8" hidden="false" customHeight="false" outlineLevel="0" collapsed="false">
      <c r="A13" s="3" t="s">
        <v>23</v>
      </c>
      <c r="B13" s="4"/>
      <c r="C13" s="4"/>
      <c r="D13" s="4"/>
      <c r="E13" s="4"/>
      <c r="F13" s="4"/>
      <c r="G13" s="4"/>
    </row>
    <row r="14" customFormat="false" ht="13.8" hidden="false" customHeight="false" outlineLevel="0" collapsed="false">
      <c r="A14" s="5" t="s">
        <v>24</v>
      </c>
      <c r="B14" s="4" t="n">
        <v>1.9</v>
      </c>
      <c r="C14" s="4" t="n">
        <v>2.21</v>
      </c>
      <c r="D14" s="4" t="n">
        <v>2.56</v>
      </c>
      <c r="E14" s="4" t="n">
        <v>1.19</v>
      </c>
      <c r="F14" s="4" t="n">
        <v>2.55</v>
      </c>
      <c r="G14" s="4" t="n">
        <v>1.63</v>
      </c>
      <c r="H14" s="0" t="n">
        <v>3.64</v>
      </c>
      <c r="I14" s="0" t="n">
        <v>3.83</v>
      </c>
    </row>
    <row r="15" customFormat="false" ht="13.8" hidden="false" customHeight="false" outlineLevel="0" collapsed="false">
      <c r="A15" s="5" t="s">
        <v>25</v>
      </c>
      <c r="B15" s="4" t="n">
        <v>1.85</v>
      </c>
      <c r="C15" s="4" t="n">
        <v>2.16</v>
      </c>
      <c r="D15" s="4" t="n">
        <v>2.51</v>
      </c>
      <c r="E15" s="4" t="n">
        <v>1.17</v>
      </c>
      <c r="F15" s="4" t="n">
        <v>2.49</v>
      </c>
      <c r="G15" s="4" t="n">
        <v>1.6</v>
      </c>
      <c r="H15" s="0" t="n">
        <v>3.56</v>
      </c>
      <c r="I15" s="0" t="n">
        <v>3.75</v>
      </c>
    </row>
    <row r="16" customFormat="false" ht="13.8" hidden="false" customHeight="false" outlineLevel="0" collapsed="false">
      <c r="A16" s="3" t="s">
        <v>26</v>
      </c>
      <c r="B16" s="4"/>
      <c r="C16" s="4"/>
      <c r="D16" s="4"/>
      <c r="E16" s="4"/>
      <c r="F16" s="4"/>
      <c r="G16" s="4"/>
    </row>
    <row r="17" customFormat="false" ht="13.8" hidden="false" customHeight="false" outlineLevel="0" collapsed="false">
      <c r="A17" s="5" t="s">
        <v>24</v>
      </c>
      <c r="B17" s="4" t="n">
        <v>1723.5</v>
      </c>
      <c r="C17" s="4" t="n">
        <v>1697.9</v>
      </c>
      <c r="D17" s="4" t="n">
        <v>1657.8</v>
      </c>
      <c r="E17" s="4" t="n">
        <v>1623.8</v>
      </c>
      <c r="F17" s="4" t="n">
        <v>1579.7</v>
      </c>
      <c r="G17" s="26" t="n">
        <v>1558.8</v>
      </c>
      <c r="H17" s="26" t="n">
        <v>1573</v>
      </c>
      <c r="I17" s="26" t="n">
        <v>1578.8</v>
      </c>
    </row>
    <row r="18" customFormat="false" ht="13.8" hidden="false" customHeight="false" outlineLevel="0" collapsed="false">
      <c r="A18" s="5" t="s">
        <v>25</v>
      </c>
      <c r="B18" s="4" t="n">
        <v>1768.8</v>
      </c>
      <c r="C18" s="4" t="n">
        <v>1742.5</v>
      </c>
      <c r="D18" s="4" t="n">
        <v>1692</v>
      </c>
      <c r="E18" s="4" t="n">
        <v>1659.1</v>
      </c>
      <c r="F18" s="4" t="n">
        <v>1618.4</v>
      </c>
      <c r="G18" s="26" t="n">
        <v>1591.6</v>
      </c>
      <c r="H18" s="26" t="n">
        <v>1609.4</v>
      </c>
      <c r="I18" s="26" t="n">
        <v>1610.8</v>
      </c>
    </row>
    <row r="20" s="27" customFormat="true" ht="14.25" hidden="false" customHeight="false" outlineLevel="0" collapsed="false">
      <c r="A20" s="27" t="s">
        <v>27</v>
      </c>
      <c r="B20" s="28" t="n">
        <f aca="false">+ROUND(((B12/B18)-B15),2)</f>
        <v>0</v>
      </c>
      <c r="C20" s="28" t="n">
        <f aca="false">+ROUND(((C12/C18)-C15),2)</f>
        <v>-0</v>
      </c>
      <c r="D20" s="28" t="n">
        <f aca="false">+ROUND(((D12/D18)-D15),2)</f>
        <v>-0</v>
      </c>
      <c r="E20" s="28" t="n">
        <f aca="false">+ROUND(((E12/E18)-E15),2)</f>
        <v>-0</v>
      </c>
      <c r="F20" s="28" t="n">
        <f aca="false">+ROUND(((F12/F18)-F15),2)</f>
        <v>-0</v>
      </c>
      <c r="G20" s="28" t="n">
        <f aca="false">+ROUND(((G12/G18)-G15),2)</f>
        <v>-0</v>
      </c>
      <c r="H20" s="28" t="n">
        <f aca="false">+ROUND(((H12/H18)-H15),2)</f>
        <v>-0</v>
      </c>
      <c r="I20" s="28" t="n">
        <f aca="false">+ROUND(((I12/I18)-I15),2)</f>
        <v>0</v>
      </c>
    </row>
    <row r="22" customFormat="false" ht="14.25" hidden="false" customHeight="false" outlineLevel="0" collapsed="false">
      <c r="A22" s="29" t="s">
        <v>28</v>
      </c>
      <c r="B22" s="29"/>
      <c r="C22" s="29"/>
      <c r="D22" s="29"/>
      <c r="E22" s="29"/>
      <c r="F22" s="29"/>
      <c r="G22" s="29"/>
      <c r="H22" s="29"/>
      <c r="I22" s="29"/>
    </row>
    <row r="23" customFormat="false" ht="14.25" hidden="false" customHeight="false" outlineLevel="0" collapsed="false">
      <c r="A23" s="3" t="s">
        <v>29</v>
      </c>
    </row>
    <row r="24" customFormat="false" ht="14.25" hidden="false" customHeight="false" outlineLevel="0" collapsed="false">
      <c r="A24" s="30" t="s">
        <v>30</v>
      </c>
      <c r="B24" s="9"/>
      <c r="C24" s="9"/>
      <c r="D24" s="9"/>
      <c r="E24" s="9"/>
      <c r="F24" s="9"/>
      <c r="G24" s="9"/>
      <c r="H24" s="9"/>
      <c r="I24" s="9"/>
    </row>
    <row r="25" customFormat="false" ht="13.8" hidden="false" customHeight="false" outlineLevel="0" collapsed="false">
      <c r="A25" s="16" t="s">
        <v>31</v>
      </c>
      <c r="B25" s="8" t="n">
        <v>3852</v>
      </c>
      <c r="C25" s="8" t="n">
        <v>3138</v>
      </c>
      <c r="D25" s="8" t="n">
        <v>3808</v>
      </c>
      <c r="E25" s="8" t="n">
        <v>4249</v>
      </c>
      <c r="F25" s="8" t="n">
        <v>4466</v>
      </c>
      <c r="G25" s="8" t="n">
        <v>8348</v>
      </c>
      <c r="H25" s="9" t="n">
        <v>9889</v>
      </c>
      <c r="I25" s="9" t="n">
        <v>8574</v>
      </c>
    </row>
    <row r="26" customFormat="false" ht="13.8" hidden="false" customHeight="false" outlineLevel="0" collapsed="false">
      <c r="A26" s="16" t="s">
        <v>32</v>
      </c>
      <c r="B26" s="8" t="n">
        <v>2072</v>
      </c>
      <c r="C26" s="8" t="n">
        <v>2319</v>
      </c>
      <c r="D26" s="8" t="n">
        <v>2371</v>
      </c>
      <c r="E26" s="8" t="n">
        <v>996</v>
      </c>
      <c r="F26" s="8" t="n">
        <v>197</v>
      </c>
      <c r="G26" s="8" t="n">
        <v>439</v>
      </c>
      <c r="H26" s="9" t="n">
        <v>3587</v>
      </c>
      <c r="I26" s="9" t="n">
        <v>4423</v>
      </c>
      <c r="J26" s="0" t="s">
        <v>33</v>
      </c>
    </row>
    <row r="27" customFormat="false" ht="13.8" hidden="false" customHeight="false" outlineLevel="0" collapsed="false">
      <c r="A27" s="16" t="s">
        <v>34</v>
      </c>
      <c r="B27" s="8" t="n">
        <v>3358</v>
      </c>
      <c r="C27" s="8" t="n">
        <v>3241</v>
      </c>
      <c r="D27" s="8" t="n">
        <v>3677</v>
      </c>
      <c r="E27" s="8" t="n">
        <v>3498</v>
      </c>
      <c r="F27" s="8" t="n">
        <v>4272</v>
      </c>
      <c r="G27" s="8" t="n">
        <v>2749</v>
      </c>
      <c r="H27" s="9" t="n">
        <v>4463</v>
      </c>
      <c r="I27" s="9" t="n">
        <v>4667</v>
      </c>
      <c r="J27" s="0" t="s">
        <v>35</v>
      </c>
    </row>
    <row r="28" customFormat="false" ht="13.8" hidden="false" customHeight="false" outlineLevel="0" collapsed="false">
      <c r="A28" s="16" t="s">
        <v>36</v>
      </c>
      <c r="B28" s="8" t="n">
        <v>4337</v>
      </c>
      <c r="C28" s="8" t="n">
        <v>4838</v>
      </c>
      <c r="D28" s="8" t="n">
        <v>5055</v>
      </c>
      <c r="E28" s="8" t="n">
        <v>5261</v>
      </c>
      <c r="F28" s="8" t="n">
        <v>5622</v>
      </c>
      <c r="G28" s="8" t="n">
        <v>7367</v>
      </c>
      <c r="H28" s="9" t="n">
        <v>6854</v>
      </c>
      <c r="I28" s="9" t="n">
        <v>8420</v>
      </c>
    </row>
    <row r="29" customFormat="false" ht="13.8" hidden="false" customHeight="false" outlineLevel="0" collapsed="false">
      <c r="A29" s="16" t="s">
        <v>37</v>
      </c>
      <c r="B29" s="8" t="n">
        <v>1968</v>
      </c>
      <c r="C29" s="8" t="n">
        <v>1489</v>
      </c>
      <c r="D29" s="8" t="n">
        <v>1150</v>
      </c>
      <c r="E29" s="8" t="n">
        <v>1130</v>
      </c>
      <c r="F29" s="8" t="n">
        <v>1968</v>
      </c>
      <c r="G29" s="8" t="n">
        <v>1653</v>
      </c>
      <c r="H29" s="9" t="n">
        <v>1498</v>
      </c>
      <c r="I29" s="9" t="n">
        <v>2129</v>
      </c>
    </row>
    <row r="30" customFormat="false" ht="13.8" hidden="false" customHeight="false" outlineLevel="0" collapsed="false">
      <c r="A30" s="20" t="s">
        <v>38</v>
      </c>
      <c r="B30" s="21" t="n">
        <f aca="false">+SUM(B25:B29)</f>
        <v>15587</v>
      </c>
      <c r="C30" s="21" t="n">
        <f aca="false">+SUM(C25:C29)</f>
        <v>15025</v>
      </c>
      <c r="D30" s="21" t="n">
        <f aca="false">+SUM(D25:D29)</f>
        <v>16061</v>
      </c>
      <c r="E30" s="21" t="n">
        <f aca="false">+SUM(E25:E29)</f>
        <v>15134</v>
      </c>
      <c r="F30" s="21" t="n">
        <f aca="false">+SUM(F25:F29)</f>
        <v>16525</v>
      </c>
      <c r="G30" s="21" t="n">
        <f aca="false">+SUM(G25:G29)</f>
        <v>20556</v>
      </c>
      <c r="H30" s="22" t="n">
        <f aca="false">+SUM(H25:H29)</f>
        <v>26291</v>
      </c>
      <c r="I30" s="22" t="n">
        <f aca="false">+SUM(I25:I29)</f>
        <v>28213</v>
      </c>
    </row>
    <row r="31" customFormat="false" ht="13.8" hidden="false" customHeight="false" outlineLevel="0" collapsed="false">
      <c r="A31" s="5" t="s">
        <v>39</v>
      </c>
      <c r="B31" s="8" t="n">
        <v>3011</v>
      </c>
      <c r="C31" s="8" t="n">
        <v>3520</v>
      </c>
      <c r="D31" s="8" t="n">
        <v>3989</v>
      </c>
      <c r="E31" s="8" t="n">
        <v>4454</v>
      </c>
      <c r="F31" s="8" t="n">
        <v>4744</v>
      </c>
      <c r="G31" s="8" t="n">
        <v>4866</v>
      </c>
      <c r="H31" s="9" t="n">
        <v>4904</v>
      </c>
      <c r="I31" s="9" t="n">
        <v>4791</v>
      </c>
      <c r="J31" s="0" t="s">
        <v>40</v>
      </c>
    </row>
    <row r="32" customFormat="false" ht="13.8" hidden="false" customHeight="false" outlineLevel="0" collapsed="false">
      <c r="A32" s="5" t="s">
        <v>41</v>
      </c>
      <c r="B32" s="8" t="n">
        <v>3</v>
      </c>
      <c r="C32" s="8" t="n">
        <v>0</v>
      </c>
      <c r="D32" s="8" t="n">
        <v>0</v>
      </c>
      <c r="E32" s="8" t="n">
        <v>0</v>
      </c>
      <c r="F32" s="8" t="n">
        <v>0</v>
      </c>
      <c r="G32" s="8" t="n">
        <v>3097</v>
      </c>
      <c r="H32" s="9" t="n">
        <v>3113</v>
      </c>
      <c r="I32" s="9" t="n">
        <v>2926</v>
      </c>
    </row>
    <row r="33" customFormat="false" ht="13.8" hidden="false" customHeight="false" outlineLevel="0" collapsed="false">
      <c r="A33" s="5" t="s">
        <v>42</v>
      </c>
      <c r="B33" s="8" t="n">
        <v>281</v>
      </c>
      <c r="C33" s="8" t="n">
        <v>281</v>
      </c>
      <c r="D33" s="8" t="n">
        <v>283</v>
      </c>
      <c r="E33" s="8" t="n">
        <v>285</v>
      </c>
      <c r="F33" s="8" t="n">
        <v>283</v>
      </c>
      <c r="G33" s="8" t="n">
        <v>274</v>
      </c>
      <c r="H33" s="9" t="n">
        <v>269</v>
      </c>
      <c r="I33" s="9" t="n">
        <v>286</v>
      </c>
    </row>
    <row r="34" customFormat="false" ht="13.8" hidden="false" customHeight="false" outlineLevel="0" collapsed="false">
      <c r="A34" s="5" t="s">
        <v>43</v>
      </c>
      <c r="B34" s="8" t="n">
        <v>131</v>
      </c>
      <c r="C34" s="8" t="n">
        <v>131</v>
      </c>
      <c r="D34" s="8" t="n">
        <v>139</v>
      </c>
      <c r="E34" s="8" t="n">
        <v>154</v>
      </c>
      <c r="F34" s="8" t="n">
        <v>154</v>
      </c>
      <c r="G34" s="8" t="n">
        <v>223</v>
      </c>
      <c r="H34" s="9" t="n">
        <v>242</v>
      </c>
      <c r="I34" s="9" t="n">
        <v>284</v>
      </c>
    </row>
    <row r="35" customFormat="false" ht="13.8" hidden="false" customHeight="false" outlineLevel="0" collapsed="false">
      <c r="A35" s="5" t="s">
        <v>44</v>
      </c>
      <c r="B35" s="8" t="n">
        <v>2587</v>
      </c>
      <c r="C35" s="8" t="n">
        <v>2439</v>
      </c>
      <c r="D35" s="8" t="n">
        <v>2787</v>
      </c>
      <c r="E35" s="8" t="n">
        <v>2509</v>
      </c>
      <c r="F35" s="8" t="n">
        <v>2011</v>
      </c>
      <c r="G35" s="8" t="n">
        <v>2326</v>
      </c>
      <c r="H35" s="9" t="n">
        <v>2921</v>
      </c>
      <c r="I35" s="9" t="n">
        <v>3821</v>
      </c>
    </row>
    <row r="36" customFormat="false" ht="13.8" hidden="false" customHeight="false" outlineLevel="0" collapsed="false">
      <c r="A36" s="23" t="s">
        <v>45</v>
      </c>
      <c r="B36" s="24" t="n">
        <f aca="false">+SUM(B30:B35)</f>
        <v>21600</v>
      </c>
      <c r="C36" s="24" t="n">
        <f aca="false">+SUM(C30:C35)</f>
        <v>21396</v>
      </c>
      <c r="D36" s="24" t="n">
        <f aca="false">+SUM(D30:D35)</f>
        <v>23259</v>
      </c>
      <c r="E36" s="24" t="n">
        <f aca="false">+SUM(E30:E35)</f>
        <v>22536</v>
      </c>
      <c r="F36" s="24" t="n">
        <f aca="false">+SUM(F30:F35)</f>
        <v>23717</v>
      </c>
      <c r="G36" s="24" t="n">
        <f aca="false">+SUM(G30:G35)</f>
        <v>31342</v>
      </c>
      <c r="H36" s="25" t="n">
        <f aca="false">+SUM(H30:H35)</f>
        <v>37740</v>
      </c>
      <c r="I36" s="25" t="n">
        <f aca="false">+SUM(I30:I35)</f>
        <v>40321</v>
      </c>
    </row>
    <row r="37" customFormat="false" ht="15" hidden="false" customHeight="false" outlineLevel="0" collapsed="false">
      <c r="A37" s="3" t="s">
        <v>46</v>
      </c>
      <c r="B37" s="9"/>
      <c r="C37" s="9"/>
      <c r="D37" s="9"/>
      <c r="E37" s="9"/>
      <c r="F37" s="9"/>
      <c r="G37" s="9"/>
      <c r="H37" s="9"/>
      <c r="I37" s="9"/>
    </row>
    <row r="38" customFormat="false" ht="14.25" hidden="false" customHeight="false" outlineLevel="0" collapsed="false">
      <c r="A38" s="5" t="s">
        <v>47</v>
      </c>
      <c r="B38" s="9"/>
      <c r="C38" s="9"/>
      <c r="D38" s="9"/>
      <c r="E38" s="9"/>
      <c r="F38" s="9"/>
      <c r="G38" s="9"/>
      <c r="H38" s="9"/>
      <c r="I38" s="9"/>
    </row>
    <row r="39" customFormat="false" ht="13.8" hidden="false" customHeight="false" outlineLevel="0" collapsed="false">
      <c r="A39" s="16" t="s">
        <v>48</v>
      </c>
      <c r="B39" s="8" t="n">
        <v>107</v>
      </c>
      <c r="C39" s="8" t="n">
        <v>44</v>
      </c>
      <c r="D39" s="8" t="n">
        <v>6</v>
      </c>
      <c r="E39" s="8" t="n">
        <v>6</v>
      </c>
      <c r="F39" s="8" t="n">
        <v>6</v>
      </c>
      <c r="G39" s="8" t="n">
        <v>3</v>
      </c>
      <c r="H39" s="9" t="n">
        <v>0</v>
      </c>
      <c r="I39" s="9" t="n">
        <v>500</v>
      </c>
    </row>
    <row r="40" customFormat="false" ht="13.8" hidden="false" customHeight="false" outlineLevel="0" collapsed="false">
      <c r="A40" s="16" t="s">
        <v>49</v>
      </c>
      <c r="B40" s="8" t="n">
        <v>74</v>
      </c>
      <c r="C40" s="8" t="n">
        <v>1</v>
      </c>
      <c r="D40" s="8" t="n">
        <v>325</v>
      </c>
      <c r="E40" s="8" t="n">
        <v>336</v>
      </c>
      <c r="F40" s="8" t="n">
        <v>9</v>
      </c>
      <c r="G40" s="8" t="n">
        <v>248</v>
      </c>
      <c r="H40" s="9" t="n">
        <v>2</v>
      </c>
      <c r="I40" s="9" t="n">
        <v>10</v>
      </c>
    </row>
    <row r="41" customFormat="false" ht="13.8" hidden="false" customHeight="false" outlineLevel="0" collapsed="false">
      <c r="A41" s="16" t="s">
        <v>50</v>
      </c>
      <c r="B41" s="8" t="n">
        <v>2131</v>
      </c>
      <c r="C41" s="8" t="n">
        <v>2191</v>
      </c>
      <c r="D41" s="8" t="n">
        <v>2048</v>
      </c>
      <c r="E41" s="8" t="n">
        <v>2279</v>
      </c>
      <c r="F41" s="8" t="n">
        <v>2612</v>
      </c>
      <c r="G41" s="8" t="n">
        <v>2248</v>
      </c>
      <c r="H41" s="9" t="n">
        <v>2836</v>
      </c>
      <c r="I41" s="9" t="n">
        <v>3358</v>
      </c>
      <c r="J41" s="0" t="s">
        <v>35</v>
      </c>
    </row>
    <row r="42" customFormat="false" ht="13.8" hidden="false" customHeight="false" outlineLevel="0" collapsed="false">
      <c r="A42" s="16" t="s">
        <v>51</v>
      </c>
      <c r="B42" s="8" t="n">
        <v>0</v>
      </c>
      <c r="C42" s="8" t="n">
        <v>0</v>
      </c>
      <c r="D42" s="8" t="n">
        <v>0</v>
      </c>
      <c r="E42" s="8" t="n">
        <v>0</v>
      </c>
      <c r="F42" s="8" t="n">
        <v>0</v>
      </c>
      <c r="G42" s="8" t="n">
        <v>445</v>
      </c>
      <c r="H42" s="9" t="n">
        <v>467</v>
      </c>
      <c r="I42" s="9" t="n">
        <v>420</v>
      </c>
    </row>
    <row r="43" customFormat="false" ht="13.8" hidden="false" customHeight="false" outlineLevel="0" collapsed="false">
      <c r="A43" s="16" t="s">
        <v>52</v>
      </c>
      <c r="B43" s="8" t="n">
        <v>3949</v>
      </c>
      <c r="C43" s="8" t="n">
        <v>3037</v>
      </c>
      <c r="D43" s="8" t="n">
        <v>3011</v>
      </c>
      <c r="E43" s="8" t="n">
        <v>3269</v>
      </c>
      <c r="F43" s="8" t="n">
        <v>5010</v>
      </c>
      <c r="G43" s="8" t="n">
        <v>5184</v>
      </c>
      <c r="H43" s="9" t="n">
        <v>6063</v>
      </c>
      <c r="I43" s="9" t="n">
        <v>6220</v>
      </c>
    </row>
    <row r="44" customFormat="false" ht="13.8" hidden="false" customHeight="false" outlineLevel="0" collapsed="false">
      <c r="A44" s="16" t="s">
        <v>53</v>
      </c>
      <c r="B44" s="8" t="n">
        <v>71</v>
      </c>
      <c r="C44" s="8" t="n">
        <v>85</v>
      </c>
      <c r="D44" s="8" t="n">
        <v>84</v>
      </c>
      <c r="E44" s="8" t="n">
        <v>150</v>
      </c>
      <c r="F44" s="8" t="n">
        <v>229</v>
      </c>
      <c r="G44" s="8" t="n">
        <v>156</v>
      </c>
      <c r="H44" s="9" t="n">
        <v>306</v>
      </c>
      <c r="I44" s="9" t="n">
        <v>222</v>
      </c>
      <c r="J44" s="0" t="s">
        <v>35</v>
      </c>
    </row>
    <row r="45" customFormat="false" ht="13.8" hidden="false" customHeight="false" outlineLevel="0" collapsed="false">
      <c r="A45" s="20" t="s">
        <v>54</v>
      </c>
      <c r="B45" s="21" t="n">
        <f aca="false">+SUM(B39:B44)</f>
        <v>6332</v>
      </c>
      <c r="C45" s="21" t="n">
        <f aca="false">+SUM(C39:C44)</f>
        <v>5358</v>
      </c>
      <c r="D45" s="21" t="n">
        <f aca="false">+SUM(D39:D44)</f>
        <v>5474</v>
      </c>
      <c r="E45" s="21" t="n">
        <f aca="false">+SUM(E39:E44)</f>
        <v>6040</v>
      </c>
      <c r="F45" s="21" t="n">
        <f aca="false">+SUM(F39:F44)</f>
        <v>7866</v>
      </c>
      <c r="G45" s="21" t="n">
        <f aca="false">+SUM(G39:G44)</f>
        <v>8284</v>
      </c>
      <c r="H45" s="22" t="n">
        <f aca="false">+SUM(H39:H44)</f>
        <v>9674</v>
      </c>
      <c r="I45" s="22" t="n">
        <f aca="false">+SUM(I39:I44)</f>
        <v>10730</v>
      </c>
    </row>
    <row r="46" customFormat="false" ht="13.8" hidden="false" customHeight="false" outlineLevel="0" collapsed="false">
      <c r="A46" s="5" t="s">
        <v>55</v>
      </c>
      <c r="B46" s="8" t="n">
        <v>1079</v>
      </c>
      <c r="C46" s="8" t="n">
        <v>2010</v>
      </c>
      <c r="D46" s="8" t="n">
        <v>3471</v>
      </c>
      <c r="E46" s="8" t="n">
        <v>3468</v>
      </c>
      <c r="F46" s="8" t="n">
        <v>3464</v>
      </c>
      <c r="G46" s="8" t="n">
        <v>9406</v>
      </c>
      <c r="H46" s="9" t="n">
        <v>9413</v>
      </c>
      <c r="I46" s="9" t="n">
        <v>8920</v>
      </c>
    </row>
    <row r="47" customFormat="false" ht="13.8" hidden="false" customHeight="false" outlineLevel="0" collapsed="false">
      <c r="A47" s="5" t="s">
        <v>56</v>
      </c>
      <c r="B47" s="8" t="n">
        <v>3</v>
      </c>
      <c r="C47" s="8" t="n">
        <v>0</v>
      </c>
      <c r="D47" s="8" t="n">
        <v>0</v>
      </c>
      <c r="E47" s="8" t="n">
        <v>0</v>
      </c>
      <c r="F47" s="8" t="n">
        <v>0</v>
      </c>
      <c r="G47" s="8" t="n">
        <v>2913</v>
      </c>
      <c r="H47" s="9" t="n">
        <v>2931</v>
      </c>
      <c r="I47" s="9" t="n">
        <v>2777</v>
      </c>
    </row>
    <row r="48" customFormat="false" ht="13.8" hidden="false" customHeight="false" outlineLevel="0" collapsed="false">
      <c r="A48" s="5" t="s">
        <v>57</v>
      </c>
      <c r="B48" s="8" t="n">
        <v>1479</v>
      </c>
      <c r="C48" s="8" t="n">
        <v>1770</v>
      </c>
      <c r="D48" s="8" t="n">
        <v>1907</v>
      </c>
      <c r="E48" s="8" t="n">
        <v>3216</v>
      </c>
      <c r="F48" s="8" t="n">
        <v>3347</v>
      </c>
      <c r="G48" s="8" t="n">
        <v>2684</v>
      </c>
      <c r="H48" s="9" t="n">
        <v>2955</v>
      </c>
      <c r="I48" s="9" t="n">
        <v>2613</v>
      </c>
    </row>
    <row r="49" customFormat="false" ht="14.25" hidden="false" customHeight="false" outlineLevel="0" collapsed="false">
      <c r="A49" s="5" t="s">
        <v>58</v>
      </c>
      <c r="B49" s="9"/>
      <c r="C49" s="9"/>
      <c r="D49" s="9"/>
      <c r="E49" s="9"/>
      <c r="F49" s="9"/>
      <c r="G49" s="9"/>
      <c r="H49" s="9"/>
      <c r="I49" s="9"/>
    </row>
    <row r="50" customFormat="false" ht="14.25" hidden="false" customHeight="false" outlineLevel="0" collapsed="false">
      <c r="A50" s="16" t="s">
        <v>59</v>
      </c>
      <c r="B50" s="9"/>
      <c r="C50" s="9"/>
      <c r="D50" s="9"/>
      <c r="E50" s="9"/>
      <c r="F50" s="9"/>
      <c r="G50" s="9"/>
      <c r="H50" s="9" t="n">
        <v>0</v>
      </c>
      <c r="I50" s="9" t="n">
        <v>0</v>
      </c>
    </row>
    <row r="51" customFormat="false" ht="14.25" hidden="false" customHeight="false" outlineLevel="0" collapsed="false">
      <c r="A51" s="5" t="s">
        <v>60</v>
      </c>
      <c r="B51" s="9"/>
      <c r="C51" s="9"/>
      <c r="D51" s="9"/>
      <c r="E51" s="9"/>
      <c r="F51" s="9"/>
      <c r="G51" s="9"/>
      <c r="H51" s="9"/>
      <c r="I51" s="9"/>
    </row>
    <row r="52" customFormat="false" ht="14.25" hidden="false" customHeight="false" outlineLevel="0" collapsed="false">
      <c r="A52" s="16" t="s">
        <v>61</v>
      </c>
      <c r="B52" s="9"/>
      <c r="C52" s="9"/>
      <c r="D52" s="9"/>
      <c r="E52" s="9"/>
      <c r="F52" s="9"/>
      <c r="G52" s="9"/>
      <c r="H52" s="9"/>
      <c r="I52" s="9"/>
    </row>
    <row r="53" customFormat="false" ht="14.25" hidden="false" customHeight="false" outlineLevel="0" collapsed="false">
      <c r="A53" s="31" t="s">
        <v>62</v>
      </c>
      <c r="B53" s="9"/>
      <c r="C53" s="9"/>
      <c r="D53" s="9"/>
      <c r="E53" s="9"/>
      <c r="F53" s="9"/>
      <c r="G53" s="9"/>
      <c r="H53" s="9"/>
      <c r="I53" s="9"/>
    </row>
    <row r="54" customFormat="false" ht="13.8" hidden="false" customHeight="false" outlineLevel="0" collapsed="false">
      <c r="A54" s="31" t="s">
        <v>63</v>
      </c>
      <c r="B54" s="8" t="n">
        <v>3</v>
      </c>
      <c r="C54" s="8" t="n">
        <v>3</v>
      </c>
      <c r="D54" s="8" t="n">
        <v>3</v>
      </c>
      <c r="E54" s="8" t="n">
        <v>3</v>
      </c>
      <c r="F54" s="8" t="n">
        <v>3</v>
      </c>
      <c r="G54" s="8" t="n">
        <v>3</v>
      </c>
      <c r="H54" s="9" t="n">
        <v>3</v>
      </c>
      <c r="I54" s="9" t="n">
        <v>3</v>
      </c>
    </row>
    <row r="55" customFormat="false" ht="13.8" hidden="false" customHeight="false" outlineLevel="0" collapsed="false">
      <c r="A55" s="31" t="s">
        <v>64</v>
      </c>
      <c r="B55" s="8" t="n">
        <v>6773</v>
      </c>
      <c r="C55" s="8" t="n">
        <v>7786</v>
      </c>
      <c r="D55" s="8" t="n">
        <v>5710</v>
      </c>
      <c r="E55" s="8" t="n">
        <v>6384</v>
      </c>
      <c r="F55" s="8" t="n">
        <v>7163</v>
      </c>
      <c r="G55" s="8" t="n">
        <v>8299</v>
      </c>
      <c r="H55" s="9" t="n">
        <v>9965</v>
      </c>
      <c r="I55" s="9" t="n">
        <v>11484</v>
      </c>
    </row>
    <row r="56" customFormat="false" ht="13.8" hidden="false" customHeight="false" outlineLevel="0" collapsed="false">
      <c r="A56" s="31" t="s">
        <v>65</v>
      </c>
      <c r="B56" s="8" t="n">
        <v>1246</v>
      </c>
      <c r="C56" s="8" t="n">
        <v>318</v>
      </c>
      <c r="D56" s="8" t="n">
        <v>-213</v>
      </c>
      <c r="E56" s="8" t="n">
        <v>-92</v>
      </c>
      <c r="F56" s="8" t="n">
        <v>231</v>
      </c>
      <c r="G56" s="8" t="n">
        <v>-56</v>
      </c>
      <c r="H56" s="9" t="n">
        <v>-380</v>
      </c>
      <c r="I56" s="9" t="n">
        <v>318</v>
      </c>
    </row>
    <row r="57" customFormat="false" ht="13.8" hidden="false" customHeight="false" outlineLevel="0" collapsed="false">
      <c r="A57" s="31" t="s">
        <v>66</v>
      </c>
      <c r="B57" s="8" t="n">
        <v>4685</v>
      </c>
      <c r="C57" s="8" t="n">
        <v>4151</v>
      </c>
      <c r="D57" s="8" t="n">
        <v>6907</v>
      </c>
      <c r="E57" s="8" t="n">
        <v>3517</v>
      </c>
      <c r="F57" s="8" t="n">
        <v>1643</v>
      </c>
      <c r="G57" s="8" t="n">
        <v>-191</v>
      </c>
      <c r="H57" s="9" t="n">
        <v>3179</v>
      </c>
      <c r="I57" s="9" t="n">
        <v>3476</v>
      </c>
    </row>
    <row r="58" customFormat="false" ht="14.25" hidden="false" customHeight="false" outlineLevel="0" collapsed="false">
      <c r="A58" s="20" t="s">
        <v>67</v>
      </c>
      <c r="B58" s="22" t="n">
        <f aca="false">+SUM(B53:B57)</f>
        <v>12707</v>
      </c>
      <c r="C58" s="22" t="n">
        <f aca="false">+SUM(C53:C57)</f>
        <v>12258</v>
      </c>
      <c r="D58" s="22" t="n">
        <f aca="false">+SUM(D53:D57)</f>
        <v>12407</v>
      </c>
      <c r="E58" s="22" t="n">
        <f aca="false">+SUM(E53:E57)</f>
        <v>9812</v>
      </c>
      <c r="F58" s="22" t="n">
        <f aca="false">+SUM(F53:F57)</f>
        <v>9040</v>
      </c>
      <c r="G58" s="22" t="n">
        <f aca="false">+SUM(G53:G57)</f>
        <v>8055</v>
      </c>
      <c r="H58" s="22" t="n">
        <f aca="false">+SUM(H53:H57)</f>
        <v>12767</v>
      </c>
      <c r="I58" s="22" t="n">
        <f aca="false">+SUM(I53:I57)</f>
        <v>15281</v>
      </c>
    </row>
    <row r="59" customFormat="false" ht="15" hidden="false" customHeight="false" outlineLevel="0" collapsed="false">
      <c r="A59" s="23" t="s">
        <v>68</v>
      </c>
      <c r="B59" s="25" t="n">
        <f aca="false">+SUM(B45:B50)+B58</f>
        <v>21600</v>
      </c>
      <c r="C59" s="25" t="n">
        <f aca="false">+SUM(C45:C50)+C58</f>
        <v>21396</v>
      </c>
      <c r="D59" s="25" t="n">
        <f aca="false">+SUM(D45:D50)+D58</f>
        <v>23259</v>
      </c>
      <c r="E59" s="25" t="n">
        <f aca="false">+SUM(E45:E50)+E58</f>
        <v>22536</v>
      </c>
      <c r="F59" s="25" t="n">
        <f aca="false">+SUM(F45:F50)+F58</f>
        <v>23717</v>
      </c>
      <c r="G59" s="25" t="n">
        <f aca="false">+SUM(G45:G50)+G58</f>
        <v>31342</v>
      </c>
      <c r="H59" s="25" t="n">
        <f aca="false">+SUM(H45:H50)+H58</f>
        <v>37740</v>
      </c>
      <c r="I59" s="25" t="n">
        <f aca="false">+SUM(I45:I50)+I58</f>
        <v>40321</v>
      </c>
    </row>
    <row r="60" s="27" customFormat="true" ht="15" hidden="false" customHeight="false" outlineLevel="0" collapsed="false">
      <c r="A60" s="27" t="s">
        <v>69</v>
      </c>
      <c r="B60" s="28" t="n">
        <f aca="false">+B59-B36</f>
        <v>0</v>
      </c>
      <c r="C60" s="28" t="n">
        <f aca="false">+C59-C36</f>
        <v>0</v>
      </c>
      <c r="D60" s="28" t="n">
        <f aca="false">+D59-D36</f>
        <v>0</v>
      </c>
      <c r="E60" s="28" t="n">
        <f aca="false">+E59-E36</f>
        <v>0</v>
      </c>
      <c r="F60" s="28" t="n">
        <f aca="false">+F59-F36</f>
        <v>0</v>
      </c>
      <c r="G60" s="28" t="n">
        <f aca="false">+G59-G36</f>
        <v>0</v>
      </c>
      <c r="H60" s="28" t="n">
        <f aca="false">+H59-H36</f>
        <v>0</v>
      </c>
      <c r="I60" s="28" t="n">
        <f aca="false">+I59-I36</f>
        <v>0</v>
      </c>
    </row>
    <row r="61" customFormat="false" ht="14.25" hidden="false" customHeight="false" outlineLevel="0" collapsed="false">
      <c r="A61" s="29" t="s">
        <v>70</v>
      </c>
      <c r="B61" s="29"/>
      <c r="C61" s="29"/>
      <c r="D61" s="29"/>
      <c r="E61" s="29"/>
      <c r="F61" s="29"/>
      <c r="G61" s="29"/>
      <c r="H61" s="29"/>
      <c r="I61" s="29"/>
    </row>
    <row r="62" customFormat="false" ht="14.25" hidden="false" customHeight="false" outlineLevel="0" collapsed="false">
      <c r="A62" s="0" t="s">
        <v>71</v>
      </c>
    </row>
    <row r="63" customFormat="false" ht="14.25" hidden="false" customHeight="false" outlineLevel="0" collapsed="false">
      <c r="A63" s="3" t="s">
        <v>72</v>
      </c>
    </row>
    <row r="64" s="3" customFormat="true" ht="13.8" hidden="false" customHeight="false" outlineLevel="0" collapsed="false">
      <c r="A64" s="30" t="s">
        <v>73</v>
      </c>
      <c r="B64" s="14" t="n">
        <v>3273</v>
      </c>
      <c r="C64" s="14" t="n">
        <v>3760</v>
      </c>
      <c r="D64" s="14" t="n">
        <v>4240</v>
      </c>
      <c r="E64" s="14" t="n">
        <v>1933</v>
      </c>
      <c r="F64" s="14" t="n">
        <v>4029</v>
      </c>
      <c r="G64" s="14" t="n">
        <v>2539</v>
      </c>
      <c r="H64" s="15" t="n">
        <f aca="false">+H12</f>
        <v>5727</v>
      </c>
      <c r="I64" s="15" t="n">
        <f aca="false">+I12</f>
        <v>6046</v>
      </c>
    </row>
    <row r="65" s="3" customFormat="true" ht="14.25" hidden="false" customHeight="false" outlineLevel="0" collapsed="false">
      <c r="A65" s="5" t="s">
        <v>74</v>
      </c>
      <c r="B65" s="9"/>
      <c r="C65" s="9"/>
      <c r="D65" s="9"/>
      <c r="E65" s="9"/>
      <c r="F65" s="9"/>
      <c r="G65" s="9"/>
      <c r="H65" s="9"/>
      <c r="I65" s="9"/>
    </row>
    <row r="66" s="4" customFormat="true" ht="13.8" hidden="false" customHeight="false" outlineLevel="0" collapsed="false">
      <c r="A66" s="16" t="s">
        <v>75</v>
      </c>
      <c r="B66" s="8" t="n">
        <v>606</v>
      </c>
      <c r="C66" s="8" t="n">
        <v>649</v>
      </c>
      <c r="D66" s="8" t="n">
        <v>706</v>
      </c>
      <c r="E66" s="8" t="n">
        <v>747</v>
      </c>
      <c r="F66" s="8" t="n">
        <v>705</v>
      </c>
      <c r="G66" s="8" t="n">
        <v>721</v>
      </c>
      <c r="H66" s="9" t="n">
        <v>744</v>
      </c>
      <c r="I66" s="9" t="n">
        <v>717</v>
      </c>
    </row>
    <row r="67" s="4" customFormat="true" ht="13.8" hidden="false" customHeight="false" outlineLevel="0" collapsed="false">
      <c r="A67" s="16" t="s">
        <v>76</v>
      </c>
      <c r="B67" s="8" t="n">
        <v>-113</v>
      </c>
      <c r="C67" s="8" t="n">
        <v>-80</v>
      </c>
      <c r="D67" s="8" t="n">
        <v>-273</v>
      </c>
      <c r="E67" s="8" t="n">
        <v>647</v>
      </c>
      <c r="F67" s="8" t="n">
        <v>34</v>
      </c>
      <c r="G67" s="8" t="n">
        <v>-380</v>
      </c>
      <c r="H67" s="9" t="n">
        <v>-385</v>
      </c>
      <c r="I67" s="9" t="n">
        <v>-650</v>
      </c>
    </row>
    <row r="68" s="4" customFormat="true" ht="13.8" hidden="false" customHeight="false" outlineLevel="0" collapsed="false">
      <c r="A68" s="16" t="s">
        <v>77</v>
      </c>
      <c r="B68" s="8" t="n">
        <v>191</v>
      </c>
      <c r="C68" s="8" t="n">
        <v>236</v>
      </c>
      <c r="D68" s="8" t="n">
        <v>215</v>
      </c>
      <c r="E68" s="8" t="n">
        <v>218</v>
      </c>
      <c r="F68" s="8" t="n">
        <v>325</v>
      </c>
      <c r="G68" s="8" t="n">
        <v>429</v>
      </c>
      <c r="H68" s="9" t="n">
        <v>611</v>
      </c>
      <c r="I68" s="9" t="n">
        <v>638</v>
      </c>
    </row>
    <row r="69" s="4" customFormat="true" ht="13.8" hidden="false" customHeight="false" outlineLevel="0" collapsed="false">
      <c r="A69" s="16" t="s">
        <v>78</v>
      </c>
      <c r="B69" s="8" t="n">
        <v>43</v>
      </c>
      <c r="C69" s="8" t="n">
        <v>13</v>
      </c>
      <c r="D69" s="8" t="n">
        <v>10</v>
      </c>
      <c r="E69" s="8" t="n">
        <v>27</v>
      </c>
      <c r="F69" s="8" t="n">
        <v>15</v>
      </c>
      <c r="G69" s="8" t="n">
        <v>398</v>
      </c>
      <c r="H69" s="9" t="n">
        <v>53</v>
      </c>
      <c r="I69" s="9" t="n">
        <v>123</v>
      </c>
    </row>
    <row r="70" s="4" customFormat="true" ht="13.8" hidden="false" customHeight="false" outlineLevel="0" collapsed="false">
      <c r="A70" s="16" t="s">
        <v>79</v>
      </c>
      <c r="B70" s="8" t="n">
        <v>424</v>
      </c>
      <c r="C70" s="8" t="n">
        <v>98</v>
      </c>
      <c r="D70" s="8" t="n">
        <v>-117</v>
      </c>
      <c r="E70" s="8" t="n">
        <v>-99</v>
      </c>
      <c r="F70" s="8" t="n">
        <v>233</v>
      </c>
      <c r="G70" s="8" t="n">
        <v>23</v>
      </c>
      <c r="H70" s="9" t="n">
        <v>-138</v>
      </c>
      <c r="I70" s="9" t="n">
        <v>-26</v>
      </c>
    </row>
    <row r="71" s="4" customFormat="true" ht="13.8" hidden="false" customHeight="false" outlineLevel="0" collapsed="false">
      <c r="A71" s="5" t="s">
        <v>80</v>
      </c>
      <c r="B71" s="8"/>
      <c r="C71" s="8"/>
      <c r="D71" s="8"/>
      <c r="E71" s="8"/>
      <c r="F71" s="8"/>
      <c r="G71" s="8"/>
      <c r="H71" s="9"/>
      <c r="I71" s="9"/>
    </row>
    <row r="72" s="4" customFormat="true" ht="13.8" hidden="false" customHeight="false" outlineLevel="0" collapsed="false">
      <c r="A72" s="16" t="s">
        <v>81</v>
      </c>
      <c r="B72" s="8" t="n">
        <v>-216</v>
      </c>
      <c r="C72" s="8" t="n">
        <v>60</v>
      </c>
      <c r="D72" s="8" t="n">
        <v>-426</v>
      </c>
      <c r="E72" s="8" t="n">
        <v>187</v>
      </c>
      <c r="F72" s="8" t="n">
        <v>-270</v>
      </c>
      <c r="G72" s="8" t="n">
        <v>1239</v>
      </c>
      <c r="H72" s="9" t="n">
        <v>-1606</v>
      </c>
      <c r="I72" s="9" t="n">
        <v>-504</v>
      </c>
    </row>
    <row r="73" s="4" customFormat="true" ht="13.8" hidden="false" customHeight="false" outlineLevel="0" collapsed="false">
      <c r="A73" s="16" t="s">
        <v>82</v>
      </c>
      <c r="B73" s="8" t="n">
        <v>-621</v>
      </c>
      <c r="C73" s="8" t="n">
        <v>-590</v>
      </c>
      <c r="D73" s="8" t="n">
        <v>-231</v>
      </c>
      <c r="E73" s="8" t="n">
        <v>-255</v>
      </c>
      <c r="F73" s="8" t="n">
        <v>-490</v>
      </c>
      <c r="G73" s="8" t="n">
        <v>-1854</v>
      </c>
      <c r="H73" s="9" t="n">
        <v>507</v>
      </c>
      <c r="I73" s="9" t="n">
        <v>-1676</v>
      </c>
    </row>
    <row r="74" s="4" customFormat="true" ht="13.8" hidden="false" customHeight="false" outlineLevel="0" collapsed="false">
      <c r="A74" s="16" t="s">
        <v>83</v>
      </c>
      <c r="B74" s="8" t="n">
        <v>-144</v>
      </c>
      <c r="C74" s="8" t="n">
        <v>-161</v>
      </c>
      <c r="D74" s="8" t="n">
        <v>-120</v>
      </c>
      <c r="E74" s="8" t="n">
        <v>35</v>
      </c>
      <c r="F74" s="8" t="n">
        <v>-203</v>
      </c>
      <c r="G74" s="8" t="n">
        <v>-654</v>
      </c>
      <c r="H74" s="9" t="n">
        <v>-182</v>
      </c>
      <c r="I74" s="9" t="n">
        <v>-845</v>
      </c>
    </row>
    <row r="75" s="4" customFormat="true" ht="13.8" hidden="false" customHeight="false" outlineLevel="0" collapsed="false">
      <c r="A75" s="16" t="s">
        <v>84</v>
      </c>
      <c r="B75" s="8" t="n">
        <v>1237</v>
      </c>
      <c r="C75" s="8" t="n">
        <v>-889</v>
      </c>
      <c r="D75" s="8" t="n">
        <v>-158</v>
      </c>
      <c r="E75" s="8" t="n">
        <v>1515</v>
      </c>
      <c r="F75" s="8" t="n">
        <v>1525</v>
      </c>
      <c r="G75" s="8" t="n">
        <v>24</v>
      </c>
      <c r="H75" s="9" t="n">
        <v>1326</v>
      </c>
      <c r="I75" s="9" t="n">
        <v>1365</v>
      </c>
    </row>
    <row r="76" s="4" customFormat="true" ht="14.25" hidden="false" customHeight="false" outlineLevel="0" collapsed="false">
      <c r="A76" s="32" t="s">
        <v>85</v>
      </c>
      <c r="B76" s="33" t="n">
        <f aca="false">+SUM(B64:B75)</f>
        <v>4680</v>
      </c>
      <c r="C76" s="33" t="n">
        <f aca="false">+SUM(C64:C75)</f>
        <v>3096</v>
      </c>
      <c r="D76" s="33" t="n">
        <f aca="false">+SUM(D64:D75)</f>
        <v>3846</v>
      </c>
      <c r="E76" s="33" t="n">
        <f aca="false">+SUM(E64:E75)</f>
        <v>4955</v>
      </c>
      <c r="F76" s="33" t="n">
        <f aca="false">+SUM(F64:F75)</f>
        <v>5903</v>
      </c>
      <c r="G76" s="33" t="n">
        <f aca="false">+SUM(G64:G75)</f>
        <v>2485</v>
      </c>
      <c r="H76" s="33" t="n">
        <f aca="false">+SUM(H64:H75)</f>
        <v>6657</v>
      </c>
      <c r="I76" s="33" t="n">
        <f aca="false">+SUM(I64:I75)</f>
        <v>5188</v>
      </c>
    </row>
    <row r="77" s="4" customFormat="true" ht="14.25" hidden="false" customHeight="false" outlineLevel="0" collapsed="false">
      <c r="A77" s="3" t="s">
        <v>86</v>
      </c>
      <c r="B77" s="9"/>
      <c r="C77" s="9"/>
      <c r="D77" s="9"/>
      <c r="E77" s="9"/>
      <c r="F77" s="9"/>
      <c r="G77" s="9"/>
      <c r="H77" s="9"/>
      <c r="I77" s="9"/>
    </row>
    <row r="78" s="4" customFormat="true" ht="13.8" hidden="false" customHeight="false" outlineLevel="0" collapsed="false">
      <c r="A78" s="5" t="s">
        <v>87</v>
      </c>
      <c r="B78" s="8" t="n">
        <v>-4936</v>
      </c>
      <c r="C78" s="8" t="n">
        <v>-5367</v>
      </c>
      <c r="D78" s="8" t="n">
        <v>-5928</v>
      </c>
      <c r="E78" s="8" t="n">
        <v>-4783</v>
      </c>
      <c r="F78" s="8" t="n">
        <v>-2937</v>
      </c>
      <c r="G78" s="8" t="n">
        <v>-2426</v>
      </c>
      <c r="H78" s="9" t="n">
        <v>-9961</v>
      </c>
      <c r="I78" s="9" t="n">
        <v>-12913</v>
      </c>
    </row>
    <row r="79" s="4" customFormat="true" ht="13.8" hidden="false" customHeight="false" outlineLevel="0" collapsed="false">
      <c r="A79" s="5" t="s">
        <v>88</v>
      </c>
      <c r="B79" s="8" t="n">
        <v>3655</v>
      </c>
      <c r="C79" s="8" t="n">
        <v>2924</v>
      </c>
      <c r="D79" s="8" t="n">
        <v>3623</v>
      </c>
      <c r="E79" s="8" t="n">
        <v>3613</v>
      </c>
      <c r="F79" s="8" t="n">
        <v>1715</v>
      </c>
      <c r="G79" s="8" t="n">
        <v>74</v>
      </c>
      <c r="H79" s="9" t="n">
        <v>4236</v>
      </c>
      <c r="I79" s="9" t="n">
        <v>8199</v>
      </c>
    </row>
    <row r="80" s="4" customFormat="true" ht="13.8" hidden="false" customHeight="false" outlineLevel="0" collapsed="false">
      <c r="A80" s="5" t="s">
        <v>89</v>
      </c>
      <c r="B80" s="8" t="n">
        <v>2216</v>
      </c>
      <c r="C80" s="8" t="n">
        <v>2386</v>
      </c>
      <c r="D80" s="8" t="n">
        <v>2423</v>
      </c>
      <c r="E80" s="8" t="n">
        <v>2496</v>
      </c>
      <c r="F80" s="8" t="n">
        <v>2072</v>
      </c>
      <c r="G80" s="8" t="n">
        <v>2379</v>
      </c>
      <c r="H80" s="9" t="n">
        <v>2449</v>
      </c>
      <c r="I80" s="9" t="n">
        <v>3967</v>
      </c>
    </row>
    <row r="81" s="4" customFormat="true" ht="13.8" hidden="false" customHeight="false" outlineLevel="0" collapsed="false">
      <c r="A81" s="5" t="s">
        <v>90</v>
      </c>
      <c r="B81" s="8" t="n">
        <v>-960</v>
      </c>
      <c r="C81" s="8" t="n">
        <v>-1133</v>
      </c>
      <c r="D81" s="8" t="n">
        <v>-1092</v>
      </c>
      <c r="E81" s="8" t="n">
        <v>-1025</v>
      </c>
      <c r="F81" s="8" t="n">
        <v>-1119</v>
      </c>
      <c r="G81" s="8" t="n">
        <v>-1086</v>
      </c>
      <c r="H81" s="9" t="n">
        <v>-695</v>
      </c>
      <c r="I81" s="9" t="n">
        <v>-758</v>
      </c>
    </row>
    <row r="82" s="4" customFormat="true" ht="13.8" hidden="false" customHeight="false" outlineLevel="0" collapsed="false">
      <c r="A82" s="5" t="s">
        <v>91</v>
      </c>
      <c r="B82" s="8" t="n">
        <v>-150</v>
      </c>
      <c r="C82" s="8" t="n">
        <v>156</v>
      </c>
      <c r="D82" s="8" t="n">
        <v>-34</v>
      </c>
      <c r="E82" s="8" t="n">
        <v>-25</v>
      </c>
      <c r="F82" s="8" t="n">
        <v>5</v>
      </c>
      <c r="G82" s="8" t="n">
        <v>31</v>
      </c>
      <c r="H82" s="9" t="n">
        <v>171</v>
      </c>
      <c r="I82" s="9" t="n">
        <v>-19</v>
      </c>
    </row>
    <row r="83" s="4" customFormat="true" ht="14.25" hidden="false" customHeight="false" outlineLevel="0" collapsed="false">
      <c r="A83" s="34" t="s">
        <v>92</v>
      </c>
      <c r="B83" s="33" t="n">
        <f aca="false">+SUM(B78:B82)</f>
        <v>-175</v>
      </c>
      <c r="C83" s="33" t="n">
        <f aca="false">+SUM(C78:C82)</f>
        <v>-1034</v>
      </c>
      <c r="D83" s="33" t="n">
        <f aca="false">+SUM(D78:D82)</f>
        <v>-1008</v>
      </c>
      <c r="E83" s="33" t="n">
        <f aca="false">+SUM(E78:E82)</f>
        <v>276</v>
      </c>
      <c r="F83" s="33" t="n">
        <f aca="false">+SUM(F78:F82)</f>
        <v>-264</v>
      </c>
      <c r="G83" s="33" t="n">
        <f aca="false">+SUM(G78:G82)</f>
        <v>-1028</v>
      </c>
      <c r="H83" s="33" t="n">
        <f aca="false">+SUM(H78:H82)</f>
        <v>-3800</v>
      </c>
      <c r="I83" s="33" t="n">
        <f aca="false">+SUM(I78:I82)</f>
        <v>-1524</v>
      </c>
    </row>
    <row r="84" s="4" customFormat="true" ht="14.25" hidden="false" customHeight="false" outlineLevel="0" collapsed="false">
      <c r="A84" s="3" t="s">
        <v>93</v>
      </c>
      <c r="B84" s="9"/>
      <c r="C84" s="9"/>
      <c r="D84" s="9"/>
      <c r="E84" s="9"/>
      <c r="F84" s="9"/>
      <c r="G84" s="9"/>
      <c r="H84" s="9"/>
      <c r="I84" s="9"/>
    </row>
    <row r="85" s="4" customFormat="true" ht="13.8" hidden="false" customHeight="false" outlineLevel="0" collapsed="false">
      <c r="A85" s="5" t="s">
        <v>94</v>
      </c>
      <c r="B85" s="8" t="n">
        <v>0</v>
      </c>
      <c r="C85" s="8" t="n">
        <v>981</v>
      </c>
      <c r="D85" s="8" t="n">
        <v>1482</v>
      </c>
      <c r="E85" s="8" t="n">
        <v>0</v>
      </c>
      <c r="F85" s="8" t="n">
        <v>0</v>
      </c>
      <c r="G85" s="8" t="n">
        <v>6134</v>
      </c>
      <c r="H85" s="9" t="n">
        <v>0</v>
      </c>
      <c r="I85" s="9" t="n">
        <v>0</v>
      </c>
    </row>
    <row r="86" s="4" customFormat="true" ht="13.8" hidden="false" customHeight="false" outlineLevel="0" collapsed="false">
      <c r="A86" s="5" t="s">
        <v>95</v>
      </c>
      <c r="B86" s="8" t="n">
        <v>-63</v>
      </c>
      <c r="C86" s="8" t="n">
        <v>-67</v>
      </c>
      <c r="D86" s="8" t="n">
        <v>327</v>
      </c>
      <c r="E86" s="8" t="n">
        <v>13</v>
      </c>
      <c r="F86" s="8" t="n">
        <v>-325</v>
      </c>
      <c r="G86" s="8" t="n">
        <v>49</v>
      </c>
      <c r="H86" s="9" t="n">
        <v>-52</v>
      </c>
      <c r="I86" s="9" t="n">
        <v>15</v>
      </c>
    </row>
    <row r="87" s="4" customFormat="true" ht="13.8" hidden="false" customHeight="false" outlineLevel="0" collapsed="false">
      <c r="A87" s="5" t="s">
        <v>96</v>
      </c>
      <c r="B87" s="8" t="n">
        <v>-26</v>
      </c>
      <c r="C87" s="8" t="n">
        <v>-113</v>
      </c>
      <c r="D87" s="8" t="n">
        <v>-61</v>
      </c>
      <c r="E87" s="8" t="n">
        <v>0</v>
      </c>
      <c r="F87" s="8" t="n">
        <v>0</v>
      </c>
      <c r="G87" s="8" t="n">
        <v>0</v>
      </c>
      <c r="H87" s="9" t="n">
        <v>-197</v>
      </c>
      <c r="I87" s="9" t="n">
        <v>0</v>
      </c>
    </row>
    <row r="88" s="4" customFormat="true" ht="13.8" hidden="false" customHeight="false" outlineLevel="0" collapsed="false">
      <c r="A88" s="5" t="s">
        <v>97</v>
      </c>
      <c r="B88" s="8" t="n">
        <v>514</v>
      </c>
      <c r="C88" s="8" t="n">
        <v>507</v>
      </c>
      <c r="D88" s="8" t="n">
        <v>489</v>
      </c>
      <c r="E88" s="8" t="n">
        <v>733</v>
      </c>
      <c r="F88" s="8" t="n">
        <v>700</v>
      </c>
      <c r="G88" s="8" t="n">
        <v>885</v>
      </c>
      <c r="H88" s="9" t="n">
        <v>1172</v>
      </c>
      <c r="I88" s="9" t="n">
        <v>1151</v>
      </c>
    </row>
    <row r="89" s="4" customFormat="true" ht="13.8" hidden="false" customHeight="false" outlineLevel="0" collapsed="false">
      <c r="A89" s="5" t="s">
        <v>98</v>
      </c>
      <c r="B89" s="8" t="n">
        <v>-2534</v>
      </c>
      <c r="C89" s="8" t="n">
        <v>-3238</v>
      </c>
      <c r="D89" s="8" t="n">
        <v>-3223</v>
      </c>
      <c r="E89" s="8" t="n">
        <v>-4254</v>
      </c>
      <c r="F89" s="8" t="n">
        <v>-4286</v>
      </c>
      <c r="G89" s="8" t="n">
        <v>-3067</v>
      </c>
      <c r="H89" s="9" t="n">
        <v>-608</v>
      </c>
      <c r="I89" s="9" t="n">
        <v>-4014</v>
      </c>
    </row>
    <row r="90" s="4" customFormat="true" ht="13.8" hidden="false" customHeight="false" outlineLevel="0" collapsed="false">
      <c r="A90" s="5" t="s">
        <v>99</v>
      </c>
      <c r="B90" s="8" t="n">
        <v>-899</v>
      </c>
      <c r="C90" s="8" t="n">
        <v>-1022</v>
      </c>
      <c r="D90" s="8" t="n">
        <v>-1133</v>
      </c>
      <c r="E90" s="8" t="n">
        <v>-1243</v>
      </c>
      <c r="F90" s="8" t="n">
        <v>-1332</v>
      </c>
      <c r="G90" s="8" t="n">
        <v>-1452</v>
      </c>
      <c r="H90" s="9" t="n">
        <v>-1638</v>
      </c>
      <c r="I90" s="9" t="n">
        <v>-1837</v>
      </c>
    </row>
    <row r="91" s="4" customFormat="true" ht="13.8" hidden="false" customHeight="false" outlineLevel="0" collapsed="false">
      <c r="A91" s="5" t="s">
        <v>100</v>
      </c>
      <c r="B91" s="8" t="n">
        <v>218</v>
      </c>
      <c r="C91" s="8" t="n">
        <v>-22</v>
      </c>
      <c r="D91" s="8" t="n">
        <v>-29</v>
      </c>
      <c r="E91" s="8" t="n">
        <v>-84</v>
      </c>
      <c r="F91" s="8" t="n">
        <v>-50</v>
      </c>
      <c r="G91" s="8" t="n">
        <v>-58</v>
      </c>
      <c r="H91" s="9" t="n">
        <v>-136</v>
      </c>
      <c r="I91" s="9" t="n">
        <v>-151</v>
      </c>
    </row>
    <row r="92" s="4" customFormat="true" ht="14.25" hidden="false" customHeight="false" outlineLevel="0" collapsed="false">
      <c r="A92" s="34" t="s">
        <v>101</v>
      </c>
      <c r="B92" s="33" t="n">
        <f aca="false">+SUM(B85:B91)</f>
        <v>-2790</v>
      </c>
      <c r="C92" s="33" t="n">
        <f aca="false">+SUM(C85:C91)</f>
        <v>-2974</v>
      </c>
      <c r="D92" s="33" t="n">
        <f aca="false">+SUM(D85:D91)</f>
        <v>-2148</v>
      </c>
      <c r="E92" s="33" t="n">
        <f aca="false">+SUM(E85:E91)</f>
        <v>-4835</v>
      </c>
      <c r="F92" s="33" t="n">
        <f aca="false">+SUM(F85:F91)</f>
        <v>-5293</v>
      </c>
      <c r="G92" s="33" t="n">
        <f aca="false">+SUM(G85:G91)</f>
        <v>2491</v>
      </c>
      <c r="H92" s="33" t="n">
        <f aca="false">+SUM(H85:H91)</f>
        <v>-1459</v>
      </c>
      <c r="I92" s="33" t="n">
        <f aca="false">+SUM(I85:I91)</f>
        <v>-4836</v>
      </c>
    </row>
    <row r="93" s="4" customFormat="true" ht="13.8" hidden="false" customHeight="false" outlineLevel="0" collapsed="false">
      <c r="A93" s="5" t="s">
        <v>102</v>
      </c>
      <c r="B93" s="8" t="n">
        <v>-83</v>
      </c>
      <c r="C93" s="8" t="n">
        <v>-105</v>
      </c>
      <c r="D93" s="8" t="n">
        <v>-20</v>
      </c>
      <c r="E93" s="8" t="n">
        <v>45</v>
      </c>
      <c r="F93" s="8" t="n">
        <v>-129</v>
      </c>
      <c r="G93" s="8" t="n">
        <v>-66</v>
      </c>
      <c r="H93" s="9" t="n">
        <v>143</v>
      </c>
      <c r="I93" s="9" t="n">
        <v>-143</v>
      </c>
    </row>
    <row r="94" s="4" customFormat="true" ht="14.25" hidden="false" customHeight="false" outlineLevel="0" collapsed="false">
      <c r="A94" s="34" t="s">
        <v>103</v>
      </c>
      <c r="B94" s="33" t="n">
        <f aca="false">+B76+B83+B92+B93</f>
        <v>1632</v>
      </c>
      <c r="C94" s="33" t="n">
        <f aca="false">+C76+C83+C92+C93</f>
        <v>-1017</v>
      </c>
      <c r="D94" s="33" t="n">
        <f aca="false">+D76+D83+D92+D93</f>
        <v>670</v>
      </c>
      <c r="E94" s="33" t="n">
        <f aca="false">+E76+E83+E92+E93</f>
        <v>441</v>
      </c>
      <c r="F94" s="33" t="n">
        <f aca="false">+F76+F83+F92+F93</f>
        <v>217</v>
      </c>
      <c r="G94" s="33" t="n">
        <f aca="false">+G76+G83+G92+G93</f>
        <v>3882</v>
      </c>
      <c r="H94" s="33" t="n">
        <f aca="false">+H76+H83+H92+H93</f>
        <v>1541</v>
      </c>
      <c r="I94" s="33" t="n">
        <f aca="false">+I76+I83+I92+I93</f>
        <v>-1315</v>
      </c>
    </row>
    <row r="95" s="4" customFormat="true" ht="13.8" hidden="false" customHeight="false" outlineLevel="0" collapsed="false">
      <c r="A95" s="4" t="s">
        <v>104</v>
      </c>
      <c r="B95" s="8" t="n">
        <v>2220</v>
      </c>
      <c r="C95" s="8" t="n">
        <v>3852</v>
      </c>
      <c r="D95" s="8" t="n">
        <v>3138</v>
      </c>
      <c r="E95" s="8" t="n">
        <v>3808</v>
      </c>
      <c r="F95" s="8" t="n">
        <v>4249</v>
      </c>
      <c r="G95" s="8" t="n">
        <v>4466</v>
      </c>
      <c r="H95" s="9" t="n">
        <v>8348</v>
      </c>
      <c r="I95" s="9" t="n">
        <f aca="false">+H96</f>
        <v>9889</v>
      </c>
    </row>
    <row r="96" s="4" customFormat="true" ht="13.8" hidden="false" customHeight="false" outlineLevel="0" collapsed="false">
      <c r="A96" s="23" t="s">
        <v>105</v>
      </c>
      <c r="B96" s="24" t="n">
        <v>3852</v>
      </c>
      <c r="C96" s="24" t="n">
        <v>3138</v>
      </c>
      <c r="D96" s="24" t="n">
        <v>3808</v>
      </c>
      <c r="E96" s="24" t="n">
        <v>4249</v>
      </c>
      <c r="F96" s="24" t="n">
        <v>4466</v>
      </c>
      <c r="G96" s="24" t="n">
        <v>8348</v>
      </c>
      <c r="H96" s="35" t="n">
        <f aca="false">+H94+H95</f>
        <v>9889</v>
      </c>
      <c r="I96" s="25" t="n">
        <f aca="false">+I94+I95</f>
        <v>8574</v>
      </c>
    </row>
    <row r="97" s="27" customFormat="true" ht="15" hidden="false" customHeight="false" outlineLevel="0" collapsed="false">
      <c r="A97" s="27" t="s">
        <v>106</v>
      </c>
      <c r="B97" s="28" t="n">
        <f aca="false">+B96-B25</f>
        <v>0</v>
      </c>
      <c r="C97" s="28" t="n">
        <f aca="false">+C96-C25</f>
        <v>0</v>
      </c>
      <c r="D97" s="28" t="n">
        <f aca="false">+D96-D25</f>
        <v>0</v>
      </c>
      <c r="E97" s="28" t="n">
        <f aca="false">+E96-E25</f>
        <v>0</v>
      </c>
      <c r="F97" s="28" t="n">
        <f aca="false">+F96-F25</f>
        <v>0</v>
      </c>
      <c r="G97" s="28" t="n">
        <f aca="false">+G96-G25</f>
        <v>0</v>
      </c>
      <c r="H97" s="28" t="n">
        <f aca="false">+H96-H25</f>
        <v>0</v>
      </c>
      <c r="I97" s="28" t="n">
        <f aca="false">+I96-I25</f>
        <v>0</v>
      </c>
    </row>
    <row r="98" s="4" customFormat="true" ht="14.25" hidden="false" customHeight="false" outlineLevel="0" collapsed="false">
      <c r="A98" s="4" t="s">
        <v>107</v>
      </c>
      <c r="B98" s="9"/>
      <c r="C98" s="9"/>
      <c r="D98" s="9"/>
      <c r="E98" s="9"/>
      <c r="F98" s="9"/>
      <c r="G98" s="9"/>
      <c r="H98" s="9"/>
      <c r="I98" s="9"/>
    </row>
    <row r="99" s="4" customFormat="true" ht="14.25" hidden="false" customHeight="false" outlineLevel="0" collapsed="false">
      <c r="A99" s="5" t="s">
        <v>108</v>
      </c>
      <c r="B99" s="9"/>
      <c r="C99" s="9"/>
      <c r="D99" s="9"/>
      <c r="E99" s="9"/>
      <c r="F99" s="9"/>
      <c r="G99" s="9"/>
      <c r="H99" s="9"/>
      <c r="I99" s="9"/>
    </row>
    <row r="100" s="4" customFormat="true" ht="13.8" hidden="false" customHeight="false" outlineLevel="0" collapsed="false">
      <c r="A100" s="16" t="s">
        <v>109</v>
      </c>
      <c r="B100" s="8" t="n">
        <v>53</v>
      </c>
      <c r="C100" s="8" t="n">
        <v>70</v>
      </c>
      <c r="D100" s="8" t="n">
        <v>98</v>
      </c>
      <c r="E100" s="8" t="n">
        <v>125</v>
      </c>
      <c r="F100" s="8" t="n">
        <v>153</v>
      </c>
      <c r="G100" s="8" t="n">
        <v>140</v>
      </c>
      <c r="H100" s="9" t="n">
        <v>293</v>
      </c>
      <c r="I100" s="9" t="n">
        <v>290</v>
      </c>
    </row>
    <row r="101" s="4" customFormat="true" ht="13.8" hidden="false" customHeight="false" outlineLevel="0" collapsed="false">
      <c r="A101" s="16" t="s">
        <v>110</v>
      </c>
      <c r="B101" s="8" t="n">
        <v>1262</v>
      </c>
      <c r="C101" s="8" t="n">
        <v>748</v>
      </c>
      <c r="D101" s="8" t="n">
        <v>703</v>
      </c>
      <c r="E101" s="8" t="n">
        <v>529</v>
      </c>
      <c r="F101" s="8" t="n">
        <v>757</v>
      </c>
      <c r="G101" s="8" t="n">
        <v>1028</v>
      </c>
      <c r="H101" s="9" t="n">
        <v>1177</v>
      </c>
      <c r="I101" s="9" t="n">
        <v>1231</v>
      </c>
    </row>
    <row r="102" s="4" customFormat="true" ht="13.8" hidden="false" customHeight="false" outlineLevel="0" collapsed="false">
      <c r="A102" s="16" t="s">
        <v>111</v>
      </c>
      <c r="B102" s="8" t="n">
        <v>206</v>
      </c>
      <c r="C102" s="8" t="n">
        <v>252</v>
      </c>
      <c r="D102" s="8" t="n">
        <v>266</v>
      </c>
      <c r="E102" s="8" t="n">
        <v>294</v>
      </c>
      <c r="F102" s="8" t="n">
        <v>160</v>
      </c>
      <c r="G102" s="8" t="n">
        <v>121</v>
      </c>
      <c r="H102" s="9" t="n">
        <v>179</v>
      </c>
      <c r="I102" s="9" t="n">
        <v>160</v>
      </c>
    </row>
    <row r="103" s="4" customFormat="true" ht="13.8" hidden="false" customHeight="false" outlineLevel="0" collapsed="false">
      <c r="A103" s="16" t="s">
        <v>112</v>
      </c>
      <c r="B103" s="8" t="n">
        <v>240</v>
      </c>
      <c r="C103" s="8" t="n">
        <v>271</v>
      </c>
      <c r="D103" s="8" t="n">
        <v>300</v>
      </c>
      <c r="E103" s="8" t="n">
        <v>320</v>
      </c>
      <c r="F103" s="8" t="n">
        <v>347</v>
      </c>
      <c r="G103" s="8" t="n">
        <v>385</v>
      </c>
      <c r="H103" s="9" t="n">
        <v>438</v>
      </c>
      <c r="I103" s="9" t="n">
        <v>480</v>
      </c>
    </row>
    <row r="105" customFormat="false" ht="14.25" hidden="false" customHeight="false" outlineLevel="0" collapsed="false">
      <c r="A105" s="29" t="s">
        <v>113</v>
      </c>
      <c r="B105" s="29"/>
      <c r="C105" s="29"/>
      <c r="D105" s="29"/>
      <c r="E105" s="29"/>
      <c r="F105" s="29"/>
      <c r="G105" s="29"/>
      <c r="H105" s="29"/>
      <c r="I105" s="29"/>
    </row>
    <row r="106" customFormat="false" ht="14.25" hidden="false" customHeight="false" outlineLevel="0" collapsed="false">
      <c r="A106" s="36" t="s">
        <v>114</v>
      </c>
      <c r="B106" s="9"/>
      <c r="C106" s="9"/>
      <c r="D106" s="9"/>
      <c r="E106" s="9"/>
      <c r="F106" s="9"/>
      <c r="G106" s="9"/>
      <c r="H106" s="9"/>
      <c r="I106" s="9"/>
    </row>
    <row r="107" customFormat="false" ht="13.8" hidden="false" customHeight="false" outlineLevel="0" collapsed="false">
      <c r="A107" s="5" t="s">
        <v>115</v>
      </c>
      <c r="B107" s="8" t="n">
        <v>13740</v>
      </c>
      <c r="C107" s="8" t="n">
        <v>14764</v>
      </c>
      <c r="D107" s="8" t="n">
        <v>15216</v>
      </c>
      <c r="E107" s="8" t="n">
        <v>14855</v>
      </c>
      <c r="F107" s="8" t="n">
        <v>15902</v>
      </c>
      <c r="G107" s="8" t="n">
        <v>14484</v>
      </c>
      <c r="H107" s="9" t="n">
        <f aca="false">+SUM(H108:H110)</f>
        <v>17179</v>
      </c>
      <c r="I107" s="9" t="n">
        <f aca="false">+SUM(I108:I110)</f>
        <v>18353</v>
      </c>
    </row>
    <row r="108" customFormat="false" ht="13.8" hidden="false" customHeight="false" outlineLevel="0" collapsed="false">
      <c r="A108" s="16" t="s">
        <v>116</v>
      </c>
      <c r="B108" s="4" t="n">
        <v>8506</v>
      </c>
      <c r="C108" s="4" t="n">
        <v>9299</v>
      </c>
      <c r="D108" s="4" t="n">
        <v>9684</v>
      </c>
      <c r="E108" s="4" t="n">
        <v>9322</v>
      </c>
      <c r="F108" s="4" t="n">
        <v>10045</v>
      </c>
      <c r="G108" s="4" t="n">
        <v>9329</v>
      </c>
      <c r="H108" s="26" t="n">
        <v>11644</v>
      </c>
      <c r="I108" s="26" t="n">
        <v>12228</v>
      </c>
    </row>
    <row r="109" customFormat="false" ht="13.8" hidden="false" customHeight="false" outlineLevel="0" collapsed="false">
      <c r="A109" s="16" t="s">
        <v>117</v>
      </c>
      <c r="B109" s="4" t="n">
        <v>4410</v>
      </c>
      <c r="C109" s="4" t="n">
        <v>4746</v>
      </c>
      <c r="D109" s="4" t="n">
        <v>4886</v>
      </c>
      <c r="E109" s="4" t="n">
        <v>4938</v>
      </c>
      <c r="F109" s="4" t="n">
        <v>5260</v>
      </c>
      <c r="G109" s="4" t="n">
        <v>4639</v>
      </c>
      <c r="H109" s="26" t="n">
        <v>5028</v>
      </c>
      <c r="I109" s="26" t="n">
        <v>5492</v>
      </c>
    </row>
    <row r="110" customFormat="false" ht="13.8" hidden="false" customHeight="false" outlineLevel="0" collapsed="false">
      <c r="A110" s="16" t="s">
        <v>118</v>
      </c>
      <c r="B110" s="4" t="n">
        <v>824</v>
      </c>
      <c r="C110" s="4" t="n">
        <v>719</v>
      </c>
      <c r="D110" s="4" t="n">
        <v>646</v>
      </c>
      <c r="E110" s="4" t="n">
        <v>595</v>
      </c>
      <c r="F110" s="4" t="n">
        <v>597</v>
      </c>
      <c r="G110" s="4" t="n">
        <v>516</v>
      </c>
      <c r="H110" s="0" t="n">
        <v>507</v>
      </c>
      <c r="I110" s="0" t="n">
        <v>633</v>
      </c>
    </row>
    <row r="111" customFormat="false" ht="13.8" hidden="false" customHeight="false" outlineLevel="0" collapsed="false">
      <c r="A111" s="5" t="s">
        <v>119</v>
      </c>
      <c r="B111" s="8" t="n">
        <f aca="false">+SUM(B112:B114)</f>
        <v>7126</v>
      </c>
      <c r="C111" s="8" t="n">
        <f aca="false">+SUM(C112:C114)</f>
        <v>7568</v>
      </c>
      <c r="D111" s="8" t="n">
        <f aca="false">+SUM(D112:D114)</f>
        <v>7970</v>
      </c>
      <c r="E111" s="8" t="n">
        <f aca="false">+SUM(E112:E114)</f>
        <v>9242</v>
      </c>
      <c r="F111" s="8" t="n">
        <f aca="false">+SUM(F112:F114)</f>
        <v>9812</v>
      </c>
      <c r="G111" s="8" t="n">
        <f aca="false">+SUM(G112:G114)</f>
        <v>9347</v>
      </c>
      <c r="H111" s="9" t="n">
        <f aca="false">+SUM(H112:H114)</f>
        <v>11456</v>
      </c>
      <c r="I111" s="9" t="n">
        <f aca="false">+SUM(I112:I114)</f>
        <v>12479</v>
      </c>
    </row>
    <row r="112" customFormat="false" ht="13.8" hidden="false" customHeight="false" outlineLevel="0" collapsed="false">
      <c r="A112" s="16" t="s">
        <v>116</v>
      </c>
      <c r="B112" s="4" t="n">
        <f aca="false">3876+827</f>
        <v>4703</v>
      </c>
      <c r="C112" s="4" t="n">
        <v>5043</v>
      </c>
      <c r="D112" s="4" t="n">
        <v>5192</v>
      </c>
      <c r="E112" s="4" t="n">
        <v>5875</v>
      </c>
      <c r="F112" s="4" t="n">
        <v>6293</v>
      </c>
      <c r="G112" s="4" t="n">
        <v>5892</v>
      </c>
      <c r="H112" s="26" t="n">
        <v>6970</v>
      </c>
      <c r="I112" s="26" t="n">
        <v>7388</v>
      </c>
    </row>
    <row r="113" customFormat="false" ht="13.8" hidden="false" customHeight="false" outlineLevel="0" collapsed="false">
      <c r="A113" s="16" t="s">
        <v>117</v>
      </c>
      <c r="B113" s="4" t="n">
        <f aca="false">1552+499</f>
        <v>2051</v>
      </c>
      <c r="C113" s="4" t="n">
        <v>2149</v>
      </c>
      <c r="D113" s="4" t="n">
        <v>2395</v>
      </c>
      <c r="E113" s="4" t="n">
        <v>2940</v>
      </c>
      <c r="F113" s="4" t="n">
        <v>3087</v>
      </c>
      <c r="G113" s="4" t="n">
        <v>3053</v>
      </c>
      <c r="H113" s="26" t="n">
        <v>3996</v>
      </c>
      <c r="I113" s="26" t="n">
        <v>4527</v>
      </c>
    </row>
    <row r="114" customFormat="false" ht="13.8" hidden="false" customHeight="false" outlineLevel="0" collapsed="false">
      <c r="A114" s="16" t="s">
        <v>118</v>
      </c>
      <c r="B114" s="4" t="n">
        <f aca="false">277+95</f>
        <v>372</v>
      </c>
      <c r="C114" s="4" t="n">
        <v>376</v>
      </c>
      <c r="D114" s="4" t="n">
        <v>383</v>
      </c>
      <c r="E114" s="4" t="n">
        <v>427</v>
      </c>
      <c r="F114" s="4" t="n">
        <v>432</v>
      </c>
      <c r="G114" s="4" t="n">
        <v>402</v>
      </c>
      <c r="H114" s="0" t="n">
        <v>490</v>
      </c>
      <c r="I114" s="0" t="n">
        <v>564</v>
      </c>
    </row>
    <row r="115" customFormat="false" ht="13.8" hidden="false" customHeight="false" outlineLevel="0" collapsed="false">
      <c r="A115" s="5" t="s">
        <v>120</v>
      </c>
      <c r="B115" s="8" t="n">
        <v>3067</v>
      </c>
      <c r="C115" s="8" t="n">
        <v>3785</v>
      </c>
      <c r="D115" s="8" t="n">
        <v>4237</v>
      </c>
      <c r="E115" s="8" t="n">
        <v>5134</v>
      </c>
      <c r="F115" s="8" t="n">
        <v>6208</v>
      </c>
      <c r="G115" s="8" t="n">
        <v>6679</v>
      </c>
      <c r="H115" s="9" t="n">
        <f aca="false">+SUM(H116:H118)</f>
        <v>8290</v>
      </c>
      <c r="I115" s="9" t="n">
        <f aca="false">+SUM(I116:I118)</f>
        <v>7547</v>
      </c>
    </row>
    <row r="116" customFormat="false" ht="13.8" hidden="false" customHeight="false" outlineLevel="0" collapsed="false">
      <c r="A116" s="16" t="s">
        <v>116</v>
      </c>
      <c r="B116" s="4" t="n">
        <v>2016</v>
      </c>
      <c r="C116" s="4" t="n">
        <v>2599</v>
      </c>
      <c r="D116" s="4" t="n">
        <v>2920</v>
      </c>
      <c r="E116" s="4" t="n">
        <v>3496</v>
      </c>
      <c r="F116" s="4" t="n">
        <v>4262</v>
      </c>
      <c r="G116" s="4" t="n">
        <v>4635</v>
      </c>
      <c r="H116" s="26" t="n">
        <v>5748</v>
      </c>
      <c r="I116" s="26" t="n">
        <v>5416</v>
      </c>
    </row>
    <row r="117" customFormat="false" ht="13.8" hidden="false" customHeight="false" outlineLevel="0" collapsed="false">
      <c r="A117" s="16" t="s">
        <v>117</v>
      </c>
      <c r="B117" s="4" t="n">
        <v>925</v>
      </c>
      <c r="C117" s="4" t="n">
        <v>1055</v>
      </c>
      <c r="D117" s="4" t="n">
        <v>1188</v>
      </c>
      <c r="E117" s="4" t="n">
        <v>1508</v>
      </c>
      <c r="F117" s="4" t="n">
        <v>1808</v>
      </c>
      <c r="G117" s="4" t="n">
        <v>1896</v>
      </c>
      <c r="H117" s="26" t="n">
        <v>2347</v>
      </c>
      <c r="I117" s="26" t="n">
        <v>1938</v>
      </c>
    </row>
    <row r="118" customFormat="false" ht="13.8" hidden="false" customHeight="false" outlineLevel="0" collapsed="false">
      <c r="A118" s="16" t="s">
        <v>118</v>
      </c>
      <c r="B118" s="4" t="n">
        <v>126</v>
      </c>
      <c r="C118" s="4" t="n">
        <v>131</v>
      </c>
      <c r="D118" s="4" t="n">
        <v>129</v>
      </c>
      <c r="E118" s="4" t="n">
        <v>130</v>
      </c>
      <c r="F118" s="4" t="n">
        <v>138</v>
      </c>
      <c r="G118" s="4" t="n">
        <v>148</v>
      </c>
      <c r="H118" s="0" t="n">
        <v>195</v>
      </c>
      <c r="I118" s="0" t="n">
        <v>193</v>
      </c>
    </row>
    <row r="119" customFormat="false" ht="13.8" hidden="false" customHeight="false" outlineLevel="0" collapsed="false">
      <c r="A119" s="5" t="s">
        <v>121</v>
      </c>
      <c r="B119" s="8" t="n">
        <f aca="false">+SUM(B120:B122)</f>
        <v>4653</v>
      </c>
      <c r="C119" s="8" t="n">
        <f aca="false">+SUM(C120:C122)</f>
        <v>4317</v>
      </c>
      <c r="D119" s="8" t="n">
        <f aca="false">+SUM(D120:D122)</f>
        <v>4737</v>
      </c>
      <c r="E119" s="8" t="n">
        <f aca="false">+SUM(E120:E122)</f>
        <v>5166</v>
      </c>
      <c r="F119" s="8" t="n">
        <f aca="false">+SUM(F120:F122)</f>
        <v>5254</v>
      </c>
      <c r="G119" s="8" t="n">
        <f aca="false">+SUM(G120:G122)</f>
        <v>5028</v>
      </c>
      <c r="H119" s="9" t="n">
        <f aca="false">+SUM(H120:H122)</f>
        <v>5343</v>
      </c>
      <c r="I119" s="9" t="n">
        <f aca="false">+SUM(I120:I122)</f>
        <v>5955</v>
      </c>
    </row>
    <row r="120" customFormat="false" ht="13.8" hidden="false" customHeight="false" outlineLevel="0" collapsed="false">
      <c r="A120" s="16" t="s">
        <v>116</v>
      </c>
      <c r="B120" s="4" t="n">
        <v>3093</v>
      </c>
      <c r="C120" s="4" t="n">
        <v>2930</v>
      </c>
      <c r="D120" s="4" t="n">
        <v>3285</v>
      </c>
      <c r="E120" s="4" t="n">
        <v>3575</v>
      </c>
      <c r="F120" s="4" t="n">
        <v>3622</v>
      </c>
      <c r="G120" s="4" t="n">
        <v>3449</v>
      </c>
      <c r="H120" s="26" t="n">
        <v>3659</v>
      </c>
      <c r="I120" s="26" t="n">
        <v>4111</v>
      </c>
    </row>
    <row r="121" customFormat="false" ht="13.8" hidden="false" customHeight="false" outlineLevel="0" collapsed="false">
      <c r="A121" s="16" t="s">
        <v>117</v>
      </c>
      <c r="B121" s="4" t="n">
        <v>1251</v>
      </c>
      <c r="C121" s="4" t="n">
        <v>1117</v>
      </c>
      <c r="D121" s="4" t="n">
        <v>1185</v>
      </c>
      <c r="E121" s="4" t="n">
        <v>1347</v>
      </c>
      <c r="F121" s="4" t="n">
        <v>1395</v>
      </c>
      <c r="G121" s="4" t="n">
        <v>1365</v>
      </c>
      <c r="H121" s="26" t="n">
        <v>1494</v>
      </c>
      <c r="I121" s="26" t="n">
        <v>1610</v>
      </c>
    </row>
    <row r="122" customFormat="false" ht="13.8" hidden="false" customHeight="false" outlineLevel="0" collapsed="false">
      <c r="A122" s="16" t="s">
        <v>118</v>
      </c>
      <c r="B122" s="4" t="n">
        <v>309</v>
      </c>
      <c r="C122" s="4" t="n">
        <v>270</v>
      </c>
      <c r="D122" s="4" t="n">
        <v>267</v>
      </c>
      <c r="E122" s="4" t="n">
        <v>244</v>
      </c>
      <c r="F122" s="4" t="n">
        <v>237</v>
      </c>
      <c r="G122" s="4" t="n">
        <v>214</v>
      </c>
      <c r="H122" s="0" t="n">
        <v>190</v>
      </c>
      <c r="I122" s="0" t="n">
        <v>234</v>
      </c>
    </row>
    <row r="123" customFormat="false" ht="13.8" hidden="false" customHeight="false" outlineLevel="0" collapsed="false">
      <c r="A123" s="5" t="s">
        <v>122</v>
      </c>
      <c r="B123" s="8" t="n">
        <v>115</v>
      </c>
      <c r="C123" s="8" t="n">
        <v>73</v>
      </c>
      <c r="D123" s="8" t="n">
        <v>73</v>
      </c>
      <c r="E123" s="8" t="n">
        <v>88</v>
      </c>
      <c r="F123" s="8" t="n">
        <v>42</v>
      </c>
      <c r="G123" s="8" t="n">
        <v>30</v>
      </c>
      <c r="H123" s="9" t="n">
        <v>25</v>
      </c>
      <c r="I123" s="9" t="n">
        <v>102</v>
      </c>
    </row>
    <row r="124" customFormat="false" ht="14.25" hidden="false" customHeight="false" outlineLevel="0" collapsed="false">
      <c r="A124" s="20" t="s">
        <v>123</v>
      </c>
      <c r="B124" s="22" t="n">
        <f aca="false">+B107+B111+B115+B119+B123</f>
        <v>28701</v>
      </c>
      <c r="C124" s="22" t="n">
        <f aca="false">+C107+C111+C115+C119+C123</f>
        <v>30507</v>
      </c>
      <c r="D124" s="22" t="n">
        <f aca="false">+D107+D111+D115+D119+D123</f>
        <v>32233</v>
      </c>
      <c r="E124" s="22" t="n">
        <f aca="false">+E107+E111+E115+E119+E123</f>
        <v>34485</v>
      </c>
      <c r="F124" s="22" t="n">
        <f aca="false">+F107+F111+F115+F119+F123</f>
        <v>37218</v>
      </c>
      <c r="G124" s="22" t="n">
        <f aca="false">+G107+G111+G115+G119+G123</f>
        <v>35568</v>
      </c>
      <c r="H124" s="22" t="n">
        <f aca="false">+H107+H111+H115+H119+H123</f>
        <v>42293</v>
      </c>
      <c r="I124" s="22" t="n">
        <f aca="false">+I107+I111+I115+I119+I123</f>
        <v>44436</v>
      </c>
    </row>
    <row r="125" customFormat="false" ht="13.8" hidden="false" customHeight="false" outlineLevel="0" collapsed="false">
      <c r="A125" s="5" t="s">
        <v>124</v>
      </c>
      <c r="B125" s="8" t="n">
        <v>1982</v>
      </c>
      <c r="C125" s="8" t="n">
        <v>1955</v>
      </c>
      <c r="D125" s="8" t="n">
        <v>2042</v>
      </c>
      <c r="E125" s="8" t="n">
        <v>1886</v>
      </c>
      <c r="F125" s="8" t="n">
        <v>1906</v>
      </c>
      <c r="G125" s="8" t="n">
        <v>1846</v>
      </c>
      <c r="H125" s="9" t="n">
        <f aca="false">+SUM(H126:H129)</f>
        <v>2205</v>
      </c>
      <c r="I125" s="9" t="n">
        <f aca="false">+SUM(I126:I129)</f>
        <v>2346</v>
      </c>
    </row>
    <row r="126" customFormat="false" ht="13.8" hidden="false" customHeight="false" outlineLevel="0" collapsed="false">
      <c r="A126" s="16" t="s">
        <v>116</v>
      </c>
      <c r="B126" s="8" t="n">
        <v>18318</v>
      </c>
      <c r="C126" s="8" t="n">
        <v>19871</v>
      </c>
      <c r="D126" s="8" t="n">
        <v>21081</v>
      </c>
      <c r="E126" s="8" t="n">
        <v>22268</v>
      </c>
      <c r="F126" s="8" t="n">
        <v>25880</v>
      </c>
      <c r="G126" s="8" t="n">
        <v>24947</v>
      </c>
      <c r="H126" s="9" t="n">
        <v>1986</v>
      </c>
      <c r="I126" s="9" t="n">
        <v>2094</v>
      </c>
    </row>
    <row r="127" customFormat="false" ht="13.8" hidden="false" customHeight="false" outlineLevel="0" collapsed="false">
      <c r="A127" s="16" t="s">
        <v>117</v>
      </c>
      <c r="B127" s="8" t="n">
        <v>8637</v>
      </c>
      <c r="C127" s="8" t="n">
        <v>9067</v>
      </c>
      <c r="D127" s="8" t="n">
        <v>9654</v>
      </c>
      <c r="E127" s="8" t="n">
        <v>10733</v>
      </c>
      <c r="F127" s="8" t="n">
        <v>11668</v>
      </c>
      <c r="G127" s="8" t="n">
        <v>11042</v>
      </c>
      <c r="H127" s="9" t="n">
        <v>104</v>
      </c>
      <c r="I127" s="9" t="n">
        <v>103</v>
      </c>
    </row>
    <row r="128" customFormat="false" ht="13.8" hidden="false" customHeight="false" outlineLevel="0" collapsed="false">
      <c r="A128" s="16" t="s">
        <v>118</v>
      </c>
      <c r="B128" s="8" t="n">
        <v>1631</v>
      </c>
      <c r="C128" s="8" t="n">
        <v>1496</v>
      </c>
      <c r="D128" s="8" t="n">
        <v>1425</v>
      </c>
      <c r="E128" s="8" t="n">
        <v>1396</v>
      </c>
      <c r="F128" s="8" t="n">
        <v>1428</v>
      </c>
      <c r="G128" s="8" t="n">
        <v>1305</v>
      </c>
      <c r="H128" s="9" t="n">
        <v>29</v>
      </c>
      <c r="I128" s="9" t="n">
        <v>26</v>
      </c>
    </row>
    <row r="129" customFormat="false" ht="13.8" hidden="false" customHeight="false" outlineLevel="0" collapsed="false">
      <c r="A129" s="16" t="s">
        <v>125</v>
      </c>
      <c r="B129" s="8" t="n">
        <v>2015</v>
      </c>
      <c r="C129" s="8" t="n">
        <v>1942</v>
      </c>
      <c r="D129" s="8" t="n">
        <v>2190</v>
      </c>
      <c r="E129" s="8" t="n">
        <v>2000</v>
      </c>
      <c r="F129" s="8" t="n">
        <v>141</v>
      </c>
      <c r="G129" s="8" t="n">
        <v>109</v>
      </c>
      <c r="H129" s="9" t="n">
        <v>86</v>
      </c>
      <c r="I129" s="9" t="n">
        <v>123</v>
      </c>
    </row>
    <row r="130" customFormat="false" ht="13.8" hidden="false" customHeight="false" outlineLevel="0" collapsed="false">
      <c r="A130" s="5" t="s">
        <v>126</v>
      </c>
      <c r="B130" s="8" t="n">
        <v>-82</v>
      </c>
      <c r="C130" s="8" t="n">
        <v>-86</v>
      </c>
      <c r="D130" s="8" t="n">
        <v>75</v>
      </c>
      <c r="E130" s="8" t="n">
        <v>26</v>
      </c>
      <c r="F130" s="8" t="n">
        <v>-7</v>
      </c>
      <c r="G130" s="8" t="n">
        <v>-11</v>
      </c>
      <c r="H130" s="9" t="n">
        <v>40</v>
      </c>
      <c r="I130" s="9" t="n">
        <v>-72</v>
      </c>
    </row>
    <row r="131" customFormat="false" ht="15" hidden="false" customHeight="false" outlineLevel="0" collapsed="false">
      <c r="A131" s="23" t="s">
        <v>127</v>
      </c>
      <c r="B131" s="25" t="n">
        <f aca="false">+B124+B125+B130</f>
        <v>30601</v>
      </c>
      <c r="C131" s="25" t="n">
        <f aca="false">+C124+C125+C130</f>
        <v>32376</v>
      </c>
      <c r="D131" s="25" t="n">
        <f aca="false">+D124+D125+D130</f>
        <v>34350</v>
      </c>
      <c r="E131" s="25" t="n">
        <f aca="false">+E124+E125+E130</f>
        <v>36397</v>
      </c>
      <c r="F131" s="25" t="n">
        <f aca="false">+F124+F125+F130</f>
        <v>39117</v>
      </c>
      <c r="G131" s="25" t="n">
        <f aca="false">+G124+G125+G130</f>
        <v>37403</v>
      </c>
      <c r="H131" s="25" t="n">
        <f aca="false">+H124+H125+H130</f>
        <v>44538</v>
      </c>
      <c r="I131" s="25" t="n">
        <f aca="false">+I124+I125+I130</f>
        <v>46710</v>
      </c>
    </row>
    <row r="132" s="27" customFormat="true" ht="15" hidden="false" customHeight="false" outlineLevel="0" collapsed="false">
      <c r="A132" s="27" t="s">
        <v>128</v>
      </c>
      <c r="B132" s="28" t="n">
        <f aca="false">+I131-I2</f>
        <v>0</v>
      </c>
      <c r="C132" s="28" t="n">
        <f aca="false">+C131-C2</f>
        <v>0</v>
      </c>
      <c r="D132" s="28" t="n">
        <f aca="false">+D131-D2</f>
        <v>0</v>
      </c>
      <c r="E132" s="28" t="n">
        <f aca="false">+E131-E2</f>
        <v>0</v>
      </c>
      <c r="F132" s="28" t="n">
        <f aca="false">+F131-F2</f>
        <v>0</v>
      </c>
      <c r="G132" s="28" t="n">
        <f aca="false">+G131-G2</f>
        <v>0</v>
      </c>
      <c r="H132" s="28" t="n">
        <f aca="false">+H131-H2</f>
        <v>0</v>
      </c>
    </row>
    <row r="133" customFormat="false" ht="14.25" hidden="false" customHeight="false" outlineLevel="0" collapsed="false">
      <c r="A133" s="3" t="s">
        <v>129</v>
      </c>
    </row>
    <row r="134" customFormat="false" ht="13.8" hidden="false" customHeight="false" outlineLevel="0" collapsed="false">
      <c r="A134" s="5" t="s">
        <v>115</v>
      </c>
      <c r="B134" s="8" t="n">
        <v>3645</v>
      </c>
      <c r="C134" s="8" t="n">
        <v>3763</v>
      </c>
      <c r="D134" s="8" t="n">
        <v>3875</v>
      </c>
      <c r="E134" s="8" t="n">
        <v>3600</v>
      </c>
      <c r="F134" s="8" t="n">
        <v>3925</v>
      </c>
      <c r="G134" s="8" t="n">
        <v>2899</v>
      </c>
      <c r="H134" s="9" t="n">
        <v>5089</v>
      </c>
      <c r="I134" s="9" t="n">
        <v>5114</v>
      </c>
    </row>
    <row r="135" customFormat="false" ht="13.8" hidden="false" customHeight="false" outlineLevel="0" collapsed="false">
      <c r="A135" s="5" t="s">
        <v>119</v>
      </c>
      <c r="B135" s="8" t="n">
        <v>1524</v>
      </c>
      <c r="C135" s="8" t="n">
        <v>1787</v>
      </c>
      <c r="D135" s="8" t="n">
        <v>1507</v>
      </c>
      <c r="E135" s="8" t="n">
        <v>1587</v>
      </c>
      <c r="F135" s="8" t="n">
        <v>1995</v>
      </c>
      <c r="G135" s="8" t="n">
        <v>1541</v>
      </c>
      <c r="H135" s="9" t="n">
        <v>2435</v>
      </c>
      <c r="I135" s="9" t="n">
        <v>3293</v>
      </c>
    </row>
    <row r="136" customFormat="false" ht="13.8" hidden="false" customHeight="false" outlineLevel="0" collapsed="false">
      <c r="A136" s="5" t="s">
        <v>120</v>
      </c>
      <c r="B136" s="8" t="n">
        <v>993</v>
      </c>
      <c r="C136" s="8" t="n">
        <v>1372</v>
      </c>
      <c r="D136" s="8" t="n">
        <v>1507</v>
      </c>
      <c r="E136" s="8" t="n">
        <v>1807</v>
      </c>
      <c r="F136" s="8" t="n">
        <v>2376</v>
      </c>
      <c r="G136" s="8" t="n">
        <v>2490</v>
      </c>
      <c r="H136" s="9" t="n">
        <v>3243</v>
      </c>
      <c r="I136" s="9" t="n">
        <v>2365</v>
      </c>
    </row>
    <row r="137" customFormat="false" ht="13.8" hidden="false" customHeight="false" outlineLevel="0" collapsed="false">
      <c r="A137" s="5" t="s">
        <v>121</v>
      </c>
      <c r="B137" s="8" t="n">
        <v>918</v>
      </c>
      <c r="C137" s="8" t="n">
        <v>1002</v>
      </c>
      <c r="D137" s="8" t="n">
        <v>980</v>
      </c>
      <c r="E137" s="8" t="n">
        <v>1189</v>
      </c>
      <c r="F137" s="8" t="n">
        <v>1323</v>
      </c>
      <c r="G137" s="8" t="n">
        <v>1184</v>
      </c>
      <c r="H137" s="9" t="n">
        <v>1530</v>
      </c>
      <c r="I137" s="9" t="n">
        <v>1896</v>
      </c>
    </row>
    <row r="138" customFormat="false" ht="13.8" hidden="false" customHeight="false" outlineLevel="0" collapsed="false">
      <c r="A138" s="5" t="s">
        <v>122</v>
      </c>
      <c r="B138" s="8" t="n">
        <v>-2267</v>
      </c>
      <c r="C138" s="8" t="n">
        <v>-2596</v>
      </c>
      <c r="D138" s="8" t="n">
        <v>-2677</v>
      </c>
      <c r="E138" s="8" t="n">
        <v>-2658</v>
      </c>
      <c r="F138" s="8" t="n">
        <v>-3262</v>
      </c>
      <c r="G138" s="8" t="n">
        <v>-3468</v>
      </c>
      <c r="H138" s="9" t="n">
        <v>-3656</v>
      </c>
      <c r="I138" s="9" t="n">
        <v>-4262</v>
      </c>
    </row>
    <row r="139" customFormat="false" ht="14.25" hidden="false" customHeight="false" outlineLevel="0" collapsed="false">
      <c r="A139" s="20" t="s">
        <v>123</v>
      </c>
      <c r="B139" s="22" t="n">
        <f aca="false">+SUM(B134:B138)</f>
        <v>4813</v>
      </c>
      <c r="C139" s="22" t="n">
        <f aca="false">+SUM(C134:C138)</f>
        <v>5328</v>
      </c>
      <c r="D139" s="22" t="n">
        <f aca="false">+SUM(D134:D138)</f>
        <v>5192</v>
      </c>
      <c r="E139" s="22" t="n">
        <f aca="false">+SUM(E134:E138)</f>
        <v>5525</v>
      </c>
      <c r="F139" s="22" t="n">
        <f aca="false">+SUM(F134:F138)</f>
        <v>6357</v>
      </c>
      <c r="G139" s="22" t="n">
        <f aca="false">+SUM(G134:G138)</f>
        <v>4646</v>
      </c>
      <c r="H139" s="22" t="n">
        <f aca="false">+SUM(H134:H138)</f>
        <v>8641</v>
      </c>
      <c r="I139" s="22" t="n">
        <f aca="false">+SUM(I134:I138)</f>
        <v>8406</v>
      </c>
    </row>
    <row r="140" customFormat="false" ht="13.8" hidden="false" customHeight="false" outlineLevel="0" collapsed="false">
      <c r="A140" s="5" t="s">
        <v>124</v>
      </c>
      <c r="B140" s="8" t="n">
        <v>517</v>
      </c>
      <c r="C140" s="8" t="n">
        <v>487</v>
      </c>
      <c r="D140" s="8" t="n">
        <v>477</v>
      </c>
      <c r="E140" s="8" t="n">
        <v>310</v>
      </c>
      <c r="F140" s="8" t="n">
        <v>303</v>
      </c>
      <c r="G140" s="8" t="n">
        <v>297</v>
      </c>
      <c r="H140" s="9" t="n">
        <v>543</v>
      </c>
      <c r="I140" s="9" t="n">
        <v>669</v>
      </c>
    </row>
    <row r="141" customFormat="false" ht="13.8" hidden="false" customHeight="false" outlineLevel="0" collapsed="false">
      <c r="A141" s="5" t="s">
        <v>126</v>
      </c>
      <c r="B141" s="8" t="n">
        <v>-1097</v>
      </c>
      <c r="C141" s="8" t="n">
        <v>-1173</v>
      </c>
      <c r="D141" s="8" t="n">
        <v>-724</v>
      </c>
      <c r="E141" s="8" t="n">
        <v>-1456</v>
      </c>
      <c r="F141" s="8" t="n">
        <v>-1810</v>
      </c>
      <c r="G141" s="8" t="n">
        <v>-1967</v>
      </c>
      <c r="H141" s="9" t="n">
        <v>-2261</v>
      </c>
      <c r="I141" s="9" t="n">
        <v>-2219</v>
      </c>
    </row>
    <row r="142" customFormat="false" ht="15" hidden="false" customHeight="false" outlineLevel="0" collapsed="false">
      <c r="A142" s="23" t="s">
        <v>130</v>
      </c>
      <c r="B142" s="25" t="n">
        <f aca="false">+SUM(B139:B141)</f>
        <v>4233</v>
      </c>
      <c r="C142" s="25" t="n">
        <f aca="false">+SUM(C139:C141)</f>
        <v>4642</v>
      </c>
      <c r="D142" s="25" t="n">
        <f aca="false">+SUM(D139:D141)</f>
        <v>4945</v>
      </c>
      <c r="E142" s="25" t="n">
        <f aca="false">+SUM(E139:E141)</f>
        <v>4379</v>
      </c>
      <c r="F142" s="25" t="n">
        <f aca="false">+SUM(F139:F141)</f>
        <v>4850</v>
      </c>
      <c r="G142" s="25" t="n">
        <f aca="false">+SUM(G139:G141)</f>
        <v>2976</v>
      </c>
      <c r="H142" s="25" t="n">
        <f aca="false">+SUM(H139:H141)</f>
        <v>6923</v>
      </c>
      <c r="I142" s="25" t="n">
        <f aca="false">+SUM(I139:I141)</f>
        <v>6856</v>
      </c>
    </row>
    <row r="143" s="27" customFormat="true" ht="15" hidden="false" customHeight="false" outlineLevel="0" collapsed="false">
      <c r="A143" s="27" t="s">
        <v>128</v>
      </c>
      <c r="B143" s="28" t="n">
        <f aca="false">+B142-B10-B8</f>
        <v>0</v>
      </c>
      <c r="C143" s="28" t="n">
        <f aca="false">+C142-C10-C8</f>
        <v>0</v>
      </c>
      <c r="D143" s="28" t="n">
        <f aca="false">+D142-D10-D8</f>
        <v>0</v>
      </c>
      <c r="E143" s="28" t="n">
        <f aca="false">+E142-E10-E8</f>
        <v>0</v>
      </c>
      <c r="F143" s="28" t="n">
        <f aca="false">+F142-F10-F8</f>
        <v>0</v>
      </c>
      <c r="G143" s="28" t="n">
        <f aca="false">+G142-G10-G8</f>
        <v>0</v>
      </c>
      <c r="H143" s="28" t="n">
        <f aca="false">+H142-H10-H8</f>
        <v>0</v>
      </c>
      <c r="I143" s="28" t="n">
        <f aca="false">+I142-I10-I8</f>
        <v>0</v>
      </c>
    </row>
    <row r="144" customFormat="false" ht="14.25" hidden="false" customHeight="false" outlineLevel="0" collapsed="false">
      <c r="A144" s="3" t="s">
        <v>131</v>
      </c>
    </row>
    <row r="145" customFormat="false" ht="13.8" hidden="false" customHeight="false" outlineLevel="0" collapsed="false">
      <c r="A145" s="5" t="s">
        <v>115</v>
      </c>
      <c r="B145" s="8" t="n">
        <v>632</v>
      </c>
      <c r="C145" s="8" t="n">
        <v>742</v>
      </c>
      <c r="D145" s="8" t="n">
        <v>819</v>
      </c>
      <c r="E145" s="8" t="n">
        <v>848</v>
      </c>
      <c r="F145" s="8" t="n">
        <v>814</v>
      </c>
      <c r="G145" s="8" t="n">
        <v>645</v>
      </c>
      <c r="H145" s="9" t="n">
        <v>617</v>
      </c>
      <c r="I145" s="9" t="n">
        <v>639</v>
      </c>
    </row>
    <row r="146" customFormat="false" ht="13.8" hidden="false" customHeight="false" outlineLevel="0" collapsed="false">
      <c r="A146" s="5" t="s">
        <v>119</v>
      </c>
      <c r="B146" s="8" t="n">
        <v>498</v>
      </c>
      <c r="C146" s="8" t="n">
        <v>639</v>
      </c>
      <c r="D146" s="8" t="n">
        <v>709</v>
      </c>
      <c r="E146" s="8" t="n">
        <v>849</v>
      </c>
      <c r="F146" s="8" t="n">
        <v>929</v>
      </c>
      <c r="G146" s="8" t="n">
        <v>885</v>
      </c>
      <c r="H146" s="9" t="n">
        <v>982</v>
      </c>
      <c r="I146" s="9" t="n">
        <v>920</v>
      </c>
    </row>
    <row r="147" customFormat="false" ht="13.8" hidden="false" customHeight="false" outlineLevel="0" collapsed="false">
      <c r="A147" s="5" t="s">
        <v>120</v>
      </c>
      <c r="B147" s="8" t="n">
        <v>254</v>
      </c>
      <c r="C147" s="8" t="n">
        <v>234</v>
      </c>
      <c r="D147" s="8" t="n">
        <v>225</v>
      </c>
      <c r="E147" s="8" t="n">
        <v>256</v>
      </c>
      <c r="F147" s="8" t="n">
        <v>237</v>
      </c>
      <c r="G147" s="8" t="n">
        <v>214</v>
      </c>
      <c r="H147" s="9" t="n">
        <v>288</v>
      </c>
      <c r="I147" s="9" t="n">
        <v>303</v>
      </c>
    </row>
    <row r="148" customFormat="false" ht="13.8" hidden="false" customHeight="false" outlineLevel="0" collapsed="false">
      <c r="A148" s="5" t="s">
        <v>132</v>
      </c>
      <c r="B148" s="8" t="n">
        <v>308</v>
      </c>
      <c r="C148" s="8" t="n">
        <v>332</v>
      </c>
      <c r="D148" s="8" t="n">
        <v>340</v>
      </c>
      <c r="E148" s="8" t="n">
        <v>339</v>
      </c>
      <c r="F148" s="8" t="n">
        <v>326</v>
      </c>
      <c r="G148" s="8" t="n">
        <v>296</v>
      </c>
      <c r="H148" s="9" t="n">
        <v>304</v>
      </c>
      <c r="I148" s="9" t="n">
        <v>274</v>
      </c>
    </row>
    <row r="149" customFormat="false" ht="13.8" hidden="false" customHeight="false" outlineLevel="0" collapsed="false">
      <c r="A149" s="5" t="s">
        <v>122</v>
      </c>
      <c r="B149" s="8" t="n">
        <v>484</v>
      </c>
      <c r="C149" s="8" t="n">
        <v>511</v>
      </c>
      <c r="D149" s="8" t="n">
        <v>533</v>
      </c>
      <c r="E149" s="8" t="n">
        <v>597</v>
      </c>
      <c r="F149" s="8" t="n">
        <v>665</v>
      </c>
      <c r="G149" s="8" t="n">
        <v>830</v>
      </c>
      <c r="H149" s="9" t="n">
        <v>780</v>
      </c>
      <c r="I149" s="9" t="n">
        <v>789</v>
      </c>
    </row>
    <row r="150" customFormat="false" ht="14.25" hidden="false" customHeight="false" outlineLevel="0" collapsed="false">
      <c r="A150" s="20" t="s">
        <v>133</v>
      </c>
      <c r="B150" s="22" t="n">
        <f aca="false">+SUM(B145:B149)</f>
        <v>2176</v>
      </c>
      <c r="C150" s="22" t="n">
        <f aca="false">+SUM(C145:C149)</f>
        <v>2458</v>
      </c>
      <c r="D150" s="22" t="n">
        <f aca="false">+SUM(D145:D149)</f>
        <v>2626</v>
      </c>
      <c r="E150" s="22" t="n">
        <f aca="false">+SUM(E145:E149)</f>
        <v>2889</v>
      </c>
      <c r="F150" s="22" t="n">
        <f aca="false">+SUM(F145:F149)</f>
        <v>2971</v>
      </c>
      <c r="G150" s="22" t="n">
        <f aca="false">+SUM(G145:G149)</f>
        <v>2870</v>
      </c>
      <c r="H150" s="22" t="n">
        <f aca="false">+SUM(H145:H149)</f>
        <v>2971</v>
      </c>
      <c r="I150" s="22" t="n">
        <f aca="false">+SUM(I145:I149)</f>
        <v>2925</v>
      </c>
    </row>
    <row r="151" customFormat="false" ht="13.8" hidden="false" customHeight="false" outlineLevel="0" collapsed="false">
      <c r="A151" s="5" t="s">
        <v>124</v>
      </c>
      <c r="B151" s="8" t="n">
        <v>122</v>
      </c>
      <c r="C151" s="8" t="n">
        <v>125</v>
      </c>
      <c r="D151" s="8" t="n">
        <v>125</v>
      </c>
      <c r="E151" s="8" t="n">
        <v>115</v>
      </c>
      <c r="F151" s="8" t="n">
        <v>100</v>
      </c>
      <c r="G151" s="8" t="n">
        <v>80</v>
      </c>
      <c r="H151" s="9" t="n">
        <v>63</v>
      </c>
      <c r="I151" s="9" t="n">
        <v>49</v>
      </c>
    </row>
    <row r="152" customFormat="false" ht="13.8" hidden="false" customHeight="false" outlineLevel="0" collapsed="false">
      <c r="A152" s="5" t="s">
        <v>126</v>
      </c>
      <c r="B152" s="8" t="n">
        <v>713</v>
      </c>
      <c r="C152" s="8" t="n">
        <v>937</v>
      </c>
      <c r="D152" s="8" t="n">
        <v>1238</v>
      </c>
      <c r="E152" s="8" t="n">
        <v>1450</v>
      </c>
      <c r="F152" s="8" t="n">
        <v>1673</v>
      </c>
      <c r="G152" s="8" t="n">
        <v>1916</v>
      </c>
      <c r="H152" s="9" t="n">
        <v>1870</v>
      </c>
      <c r="I152" s="9" t="n">
        <v>1817</v>
      </c>
    </row>
    <row r="153" customFormat="false" ht="15" hidden="false" customHeight="false" outlineLevel="0" collapsed="false">
      <c r="A153" s="23" t="s">
        <v>134</v>
      </c>
      <c r="B153" s="25" t="n">
        <f aca="false">+SUM(B150:B152)</f>
        <v>3011</v>
      </c>
      <c r="C153" s="25" t="n">
        <f aca="false">+SUM(C150:C152)</f>
        <v>3520</v>
      </c>
      <c r="D153" s="25" t="n">
        <f aca="false">+SUM(D150:D152)</f>
        <v>3989</v>
      </c>
      <c r="E153" s="25" t="n">
        <f aca="false">+SUM(E150:E152)</f>
        <v>4454</v>
      </c>
      <c r="F153" s="25" t="n">
        <f aca="false">+SUM(F150:F152)</f>
        <v>4744</v>
      </c>
      <c r="G153" s="25" t="n">
        <f aca="false">+SUM(G150:G152)</f>
        <v>4866</v>
      </c>
      <c r="H153" s="25" t="n">
        <f aca="false">+SUM(H150:H152)</f>
        <v>4904</v>
      </c>
      <c r="I153" s="25" t="n">
        <f aca="false">+SUM(I150:I152)</f>
        <v>4791</v>
      </c>
    </row>
    <row r="154" customFormat="false" ht="15" hidden="false" customHeight="false" outlineLevel="0" collapsed="false">
      <c r="A154" s="27" t="s">
        <v>128</v>
      </c>
      <c r="B154" s="28" t="n">
        <f aca="false">+B153-B31</f>
        <v>0</v>
      </c>
      <c r="C154" s="28" t="n">
        <f aca="false">+C153-C31</f>
        <v>0</v>
      </c>
      <c r="D154" s="28" t="n">
        <f aca="false">+D153-D31</f>
        <v>0</v>
      </c>
      <c r="E154" s="28" t="n">
        <f aca="false">+E153-E31</f>
        <v>0</v>
      </c>
      <c r="F154" s="28" t="n">
        <f aca="false">+F153-F31</f>
        <v>0</v>
      </c>
      <c r="G154" s="28" t="n">
        <f aca="false">+G153-G31</f>
        <v>0</v>
      </c>
      <c r="H154" s="28" t="n">
        <f aca="false">+H153-H31</f>
        <v>0</v>
      </c>
      <c r="I154" s="28" t="n">
        <f aca="false">+I153-I31</f>
        <v>0</v>
      </c>
    </row>
    <row r="155" customFormat="false" ht="14.25" hidden="false" customHeight="false" outlineLevel="0" collapsed="false">
      <c r="A155" s="3" t="s">
        <v>135</v>
      </c>
    </row>
    <row r="156" customFormat="false" ht="13.8" hidden="false" customHeight="false" outlineLevel="0" collapsed="false">
      <c r="A156" s="5" t="s">
        <v>115</v>
      </c>
      <c r="B156" s="8" t="n">
        <v>208</v>
      </c>
      <c r="C156" s="8" t="n">
        <v>242</v>
      </c>
      <c r="D156" s="8" t="n">
        <v>223</v>
      </c>
      <c r="E156" s="8" t="n">
        <v>196</v>
      </c>
      <c r="F156" s="8" t="n">
        <v>117</v>
      </c>
      <c r="G156" s="8" t="n">
        <v>110</v>
      </c>
      <c r="H156" s="9" t="n">
        <v>98</v>
      </c>
      <c r="I156" s="9" t="n">
        <v>146</v>
      </c>
    </row>
    <row r="157" customFormat="false" ht="13.8" hidden="false" customHeight="false" outlineLevel="0" collapsed="false">
      <c r="A157" s="5" t="s">
        <v>119</v>
      </c>
      <c r="B157" s="8" t="n">
        <v>232</v>
      </c>
      <c r="C157" s="8" t="n">
        <v>236</v>
      </c>
      <c r="D157" s="8" t="n">
        <v>173</v>
      </c>
      <c r="E157" s="8" t="n">
        <v>240</v>
      </c>
      <c r="F157" s="8" t="n">
        <v>233</v>
      </c>
      <c r="G157" s="8" t="n">
        <v>139</v>
      </c>
      <c r="H157" s="9" t="n">
        <v>153</v>
      </c>
      <c r="I157" s="9" t="n">
        <v>197</v>
      </c>
    </row>
    <row r="158" customFormat="false" ht="13.8" hidden="false" customHeight="false" outlineLevel="0" collapsed="false">
      <c r="A158" s="5" t="s">
        <v>120</v>
      </c>
      <c r="B158" s="8" t="n">
        <v>69</v>
      </c>
      <c r="C158" s="8" t="n">
        <v>44</v>
      </c>
      <c r="D158" s="8" t="n">
        <v>51</v>
      </c>
      <c r="E158" s="8" t="n">
        <v>76</v>
      </c>
      <c r="F158" s="8" t="n">
        <v>49</v>
      </c>
      <c r="G158" s="8" t="n">
        <v>28</v>
      </c>
      <c r="H158" s="9" t="n">
        <v>94</v>
      </c>
      <c r="I158" s="9" t="n">
        <v>78</v>
      </c>
    </row>
    <row r="159" customFormat="false" ht="13.8" hidden="false" customHeight="false" outlineLevel="0" collapsed="false">
      <c r="A159" s="5" t="s">
        <v>132</v>
      </c>
      <c r="B159" s="8" t="n">
        <v>64</v>
      </c>
      <c r="C159" s="8" t="n">
        <v>52</v>
      </c>
      <c r="D159" s="8" t="n">
        <v>59</v>
      </c>
      <c r="E159" s="8" t="n">
        <v>49</v>
      </c>
      <c r="F159" s="8" t="n">
        <v>47</v>
      </c>
      <c r="G159" s="8" t="n">
        <v>41</v>
      </c>
      <c r="H159" s="9" t="n">
        <v>54</v>
      </c>
      <c r="I159" s="9" t="n">
        <v>56</v>
      </c>
    </row>
    <row r="160" customFormat="false" ht="13.8" hidden="false" customHeight="false" outlineLevel="0" collapsed="false">
      <c r="A160" s="5" t="s">
        <v>122</v>
      </c>
      <c r="B160" s="8" t="n">
        <v>225</v>
      </c>
      <c r="C160" s="8" t="n">
        <v>258</v>
      </c>
      <c r="D160" s="8" t="n">
        <v>278</v>
      </c>
      <c r="E160" s="8" t="n">
        <v>286</v>
      </c>
      <c r="F160" s="8" t="n">
        <v>278</v>
      </c>
      <c r="G160" s="8" t="n">
        <v>438</v>
      </c>
      <c r="H160" s="9" t="n">
        <v>278</v>
      </c>
      <c r="I160" s="9" t="n">
        <v>222</v>
      </c>
    </row>
    <row r="161" customFormat="false" ht="14.25" hidden="false" customHeight="false" outlineLevel="0" collapsed="false">
      <c r="A161" s="20" t="s">
        <v>133</v>
      </c>
      <c r="B161" s="22" t="n">
        <f aca="false">+SUM(B156:B160)</f>
        <v>798</v>
      </c>
      <c r="C161" s="22" t="n">
        <f aca="false">+SUM(C156:C160)</f>
        <v>832</v>
      </c>
      <c r="D161" s="22" t="n">
        <f aca="false">+SUM(D156:D160)</f>
        <v>784</v>
      </c>
      <c r="E161" s="22" t="n">
        <f aca="false">+SUM(E156:E160)</f>
        <v>847</v>
      </c>
      <c r="F161" s="22" t="n">
        <f aca="false">+SUM(F156:F160)</f>
        <v>724</v>
      </c>
      <c r="G161" s="22" t="n">
        <f aca="false">+SUM(G156:G160)</f>
        <v>756</v>
      </c>
      <c r="H161" s="22" t="n">
        <f aca="false">+SUM(H156:H160)</f>
        <v>677</v>
      </c>
      <c r="I161" s="22" t="n">
        <f aca="false">+SUM(I156:I160)</f>
        <v>699</v>
      </c>
    </row>
    <row r="162" customFormat="false" ht="13.8" hidden="false" customHeight="false" outlineLevel="0" collapsed="false">
      <c r="A162" s="5" t="s">
        <v>124</v>
      </c>
      <c r="B162" s="8" t="n">
        <v>69</v>
      </c>
      <c r="C162" s="8" t="n">
        <v>39</v>
      </c>
      <c r="D162" s="8" t="n">
        <v>30</v>
      </c>
      <c r="E162" s="8" t="n">
        <v>22</v>
      </c>
      <c r="F162" s="8" t="n">
        <v>18</v>
      </c>
      <c r="G162" s="8" t="n">
        <v>12</v>
      </c>
      <c r="H162" s="9" t="n">
        <v>7</v>
      </c>
      <c r="I162" s="9" t="n">
        <v>9</v>
      </c>
    </row>
    <row r="163" customFormat="false" ht="14.25" hidden="false" customHeight="false" outlineLevel="0" collapsed="false">
      <c r="A163" s="5" t="s">
        <v>126</v>
      </c>
      <c r="B163" s="9" t="n">
        <f aca="false">-(SUM(B161:B162)+B81)</f>
        <v>93</v>
      </c>
      <c r="C163" s="9" t="n">
        <f aca="false">-(SUM(C161:C162)+C81)</f>
        <v>262</v>
      </c>
      <c r="D163" s="9" t="n">
        <f aca="false">-(SUM(D161:D162)+D81)</f>
        <v>278</v>
      </c>
      <c r="E163" s="9" t="n">
        <f aca="false">-(SUM(E161:E162)+E81)</f>
        <v>156</v>
      </c>
      <c r="F163" s="9" t="n">
        <f aca="false">-(SUM(F161:F162)+F81)</f>
        <v>377</v>
      </c>
      <c r="G163" s="9" t="n">
        <f aca="false">-(SUM(G161:G162)+G81)</f>
        <v>318</v>
      </c>
      <c r="H163" s="9" t="n">
        <f aca="false">-(SUM(H161:H162)+H81)</f>
        <v>11</v>
      </c>
      <c r="I163" s="9" t="n">
        <f aca="false">-(SUM(I161:I162)+I81)</f>
        <v>50</v>
      </c>
    </row>
    <row r="164" customFormat="false" ht="15" hidden="false" customHeight="false" outlineLevel="0" collapsed="false">
      <c r="A164" s="23" t="s">
        <v>136</v>
      </c>
      <c r="B164" s="25" t="n">
        <f aca="false">+SUM(B161:B163)</f>
        <v>960</v>
      </c>
      <c r="C164" s="25" t="n">
        <f aca="false">+SUM(C161:C163)</f>
        <v>1133</v>
      </c>
      <c r="D164" s="25" t="n">
        <f aca="false">+SUM(D161:D163)</f>
        <v>1092</v>
      </c>
      <c r="E164" s="25" t="n">
        <f aca="false">+SUM(E161:E163)</f>
        <v>1025</v>
      </c>
      <c r="F164" s="25" t="n">
        <f aca="false">+SUM(F161:F163)</f>
        <v>1119</v>
      </c>
      <c r="G164" s="25" t="n">
        <f aca="false">+SUM(G161:G163)</f>
        <v>1086</v>
      </c>
      <c r="H164" s="25" t="n">
        <f aca="false">+SUM(H161:H163)</f>
        <v>695</v>
      </c>
      <c r="I164" s="25" t="n">
        <f aca="false">+SUM(I161:I163)</f>
        <v>758</v>
      </c>
    </row>
    <row r="165" customFormat="false" ht="15" hidden="false" customHeight="false" outlineLevel="0" collapsed="false">
      <c r="A165" s="27" t="s">
        <v>128</v>
      </c>
      <c r="B165" s="28" t="n">
        <f aca="false">+B164+B81</f>
        <v>0</v>
      </c>
      <c r="C165" s="28" t="n">
        <f aca="false">+C164+C81</f>
        <v>0</v>
      </c>
      <c r="D165" s="28" t="n">
        <f aca="false">+D164+D81</f>
        <v>0</v>
      </c>
      <c r="E165" s="28" t="n">
        <f aca="false">+E164+E81</f>
        <v>0</v>
      </c>
      <c r="F165" s="28" t="n">
        <f aca="false">+F164+F81</f>
        <v>0</v>
      </c>
      <c r="G165" s="28" t="n">
        <f aca="false">+G164+G81</f>
        <v>0</v>
      </c>
      <c r="H165" s="28" t="n">
        <f aca="false">+H164+H81</f>
        <v>0</v>
      </c>
      <c r="I165" s="28" t="n">
        <f aca="false">+I164+I81</f>
        <v>0</v>
      </c>
    </row>
    <row r="166" customFormat="false" ht="14.25" hidden="false" customHeight="false" outlineLevel="0" collapsed="false">
      <c r="A166" s="3" t="s">
        <v>137</v>
      </c>
    </row>
    <row r="167" customFormat="false" ht="13.8" hidden="false" customHeight="false" outlineLevel="0" collapsed="false">
      <c r="A167" s="5" t="s">
        <v>115</v>
      </c>
      <c r="B167" s="8" t="n">
        <v>121</v>
      </c>
      <c r="C167" s="8" t="n">
        <v>133</v>
      </c>
      <c r="D167" s="8" t="n">
        <v>140</v>
      </c>
      <c r="E167" s="8" t="n">
        <v>160</v>
      </c>
      <c r="F167" s="8" t="n">
        <v>149</v>
      </c>
      <c r="G167" s="8" t="n">
        <v>148</v>
      </c>
      <c r="H167" s="9" t="n">
        <v>130</v>
      </c>
      <c r="I167" s="9" t="n">
        <v>124</v>
      </c>
    </row>
    <row r="168" customFormat="false" ht="13.8" hidden="false" customHeight="false" outlineLevel="0" collapsed="false">
      <c r="A168" s="5" t="s">
        <v>119</v>
      </c>
      <c r="B168" s="8" t="n">
        <v>87</v>
      </c>
      <c r="C168" s="8" t="n">
        <v>85</v>
      </c>
      <c r="D168" s="8" t="n">
        <v>106</v>
      </c>
      <c r="E168" s="8" t="n">
        <v>116</v>
      </c>
      <c r="F168" s="8" t="n">
        <v>111</v>
      </c>
      <c r="G168" s="8" t="n">
        <v>132</v>
      </c>
      <c r="H168" s="9" t="n">
        <v>136</v>
      </c>
      <c r="I168" s="9" t="n">
        <v>134</v>
      </c>
    </row>
    <row r="169" customFormat="false" ht="13.8" hidden="false" customHeight="false" outlineLevel="0" collapsed="false">
      <c r="A169" s="5" t="s">
        <v>120</v>
      </c>
      <c r="B169" s="8" t="n">
        <v>46</v>
      </c>
      <c r="C169" s="8" t="n">
        <v>48</v>
      </c>
      <c r="D169" s="8" t="n">
        <v>54</v>
      </c>
      <c r="E169" s="8" t="n">
        <v>56</v>
      </c>
      <c r="F169" s="8" t="n">
        <v>50</v>
      </c>
      <c r="G169" s="8" t="n">
        <v>44</v>
      </c>
      <c r="H169" s="9" t="n">
        <v>46</v>
      </c>
      <c r="I169" s="9" t="n">
        <v>41</v>
      </c>
    </row>
    <row r="170" customFormat="false" ht="13.8" hidden="false" customHeight="false" outlineLevel="0" collapsed="false">
      <c r="A170" s="5" t="s">
        <v>121</v>
      </c>
      <c r="B170" s="8" t="n">
        <v>49</v>
      </c>
      <c r="C170" s="8" t="n">
        <v>42</v>
      </c>
      <c r="D170" s="8" t="n">
        <v>54</v>
      </c>
      <c r="E170" s="8" t="n">
        <v>55</v>
      </c>
      <c r="F170" s="8" t="n">
        <v>53</v>
      </c>
      <c r="G170" s="8" t="n">
        <v>46</v>
      </c>
      <c r="H170" s="9" t="n">
        <v>43</v>
      </c>
      <c r="I170" s="9" t="n">
        <v>42</v>
      </c>
    </row>
    <row r="171" customFormat="false" ht="13.8" hidden="false" customHeight="false" outlineLevel="0" collapsed="false">
      <c r="A171" s="5" t="s">
        <v>122</v>
      </c>
      <c r="B171" s="8" t="n">
        <v>210</v>
      </c>
      <c r="C171" s="8" t="n">
        <v>230</v>
      </c>
      <c r="D171" s="8" t="n">
        <v>233</v>
      </c>
      <c r="E171" s="8" t="n">
        <v>217</v>
      </c>
      <c r="F171" s="8" t="n">
        <v>195</v>
      </c>
      <c r="G171" s="8" t="n">
        <v>214</v>
      </c>
      <c r="H171" s="9" t="n">
        <v>222</v>
      </c>
      <c r="I171" s="9" t="n">
        <v>220</v>
      </c>
    </row>
    <row r="172" customFormat="false" ht="14.25" hidden="false" customHeight="false" outlineLevel="0" collapsed="false">
      <c r="A172" s="20" t="s">
        <v>133</v>
      </c>
      <c r="B172" s="22" t="n">
        <f aca="false">+SUM(B167:B171)</f>
        <v>513</v>
      </c>
      <c r="C172" s="22" t="n">
        <f aca="false">+SUM(C167:C171)</f>
        <v>538</v>
      </c>
      <c r="D172" s="22" t="n">
        <f aca="false">+SUM(D167:D171)</f>
        <v>587</v>
      </c>
      <c r="E172" s="22" t="n">
        <f aca="false">+SUM(E167:E171)</f>
        <v>604</v>
      </c>
      <c r="F172" s="22" t="n">
        <f aca="false">+SUM(F167:F171)</f>
        <v>558</v>
      </c>
      <c r="G172" s="22" t="n">
        <f aca="false">+SUM(G167:G171)</f>
        <v>584</v>
      </c>
      <c r="H172" s="22" t="n">
        <f aca="false">+SUM(H167:H171)</f>
        <v>577</v>
      </c>
      <c r="I172" s="22" t="n">
        <f aca="false">+SUM(I167:I171)</f>
        <v>561</v>
      </c>
    </row>
    <row r="173" customFormat="false" ht="13.8" hidden="false" customHeight="false" outlineLevel="0" collapsed="false">
      <c r="A173" s="5" t="s">
        <v>124</v>
      </c>
      <c r="B173" s="8" t="n">
        <v>18</v>
      </c>
      <c r="C173" s="8" t="n">
        <v>27</v>
      </c>
      <c r="D173" s="8" t="n">
        <v>28</v>
      </c>
      <c r="E173" s="8" t="n">
        <v>33</v>
      </c>
      <c r="F173" s="8" t="n">
        <v>31</v>
      </c>
      <c r="G173" s="8" t="n">
        <v>25</v>
      </c>
      <c r="H173" s="9" t="n">
        <v>26</v>
      </c>
      <c r="I173" s="9" t="n">
        <v>22</v>
      </c>
    </row>
    <row r="174" customFormat="false" ht="13.8" hidden="false" customHeight="false" outlineLevel="0" collapsed="false">
      <c r="A174" s="5" t="s">
        <v>126</v>
      </c>
      <c r="B174" s="8" t="n">
        <v>75</v>
      </c>
      <c r="C174" s="8" t="n">
        <v>84</v>
      </c>
      <c r="D174" s="8" t="n">
        <v>91</v>
      </c>
      <c r="E174" s="8" t="n">
        <v>110</v>
      </c>
      <c r="F174" s="8" t="n">
        <v>116</v>
      </c>
      <c r="G174" s="8" t="n">
        <v>112</v>
      </c>
      <c r="H174" s="9" t="n">
        <v>141</v>
      </c>
      <c r="I174" s="9" t="n">
        <v>134</v>
      </c>
    </row>
    <row r="175" customFormat="false" ht="15" hidden="false" customHeight="false" outlineLevel="0" collapsed="false">
      <c r="A175" s="23" t="s">
        <v>138</v>
      </c>
      <c r="B175" s="25" t="n">
        <f aca="false">+SUM(B172:B174)</f>
        <v>606</v>
      </c>
      <c r="C175" s="25" t="n">
        <f aca="false">+SUM(C172:C174)</f>
        <v>649</v>
      </c>
      <c r="D175" s="25" t="n">
        <f aca="false">+SUM(D172:D174)</f>
        <v>706</v>
      </c>
      <c r="E175" s="25" t="n">
        <f aca="false">+SUM(E172:E174)</f>
        <v>747</v>
      </c>
      <c r="F175" s="25" t="n">
        <f aca="false">+SUM(F172:F174)</f>
        <v>705</v>
      </c>
      <c r="G175" s="25" t="n">
        <f aca="false">+SUM(G172:G174)</f>
        <v>721</v>
      </c>
      <c r="H175" s="25" t="n">
        <f aca="false">+SUM(H172:H174)</f>
        <v>744</v>
      </c>
      <c r="I175" s="25" t="n">
        <f aca="false">+SUM(I172:I174)</f>
        <v>717</v>
      </c>
    </row>
    <row r="176" customFormat="false" ht="15" hidden="false" customHeight="false" outlineLevel="0" collapsed="false">
      <c r="A176" s="27" t="s">
        <v>128</v>
      </c>
      <c r="B176" s="28" t="n">
        <f aca="false">+B175-B66</f>
        <v>0</v>
      </c>
      <c r="C176" s="28" t="n">
        <f aca="false">+C175-C66</f>
        <v>0</v>
      </c>
      <c r="D176" s="28" t="n">
        <f aca="false">+D175-D66</f>
        <v>0</v>
      </c>
      <c r="E176" s="28" t="n">
        <f aca="false">+E175-E66</f>
        <v>0</v>
      </c>
      <c r="F176" s="28" t="n">
        <f aca="false">+F175-F66</f>
        <v>0</v>
      </c>
      <c r="G176" s="28" t="n">
        <f aca="false">+G175-G66</f>
        <v>0</v>
      </c>
      <c r="H176" s="28" t="n">
        <f aca="false">+H175-H66</f>
        <v>0</v>
      </c>
      <c r="I176" s="28" t="n">
        <f aca="false">+I175-I66</f>
        <v>0</v>
      </c>
    </row>
    <row r="177" customFormat="false" ht="14.25" hidden="false" customHeight="false" outlineLevel="0" collapsed="false">
      <c r="A177" s="29" t="s">
        <v>139</v>
      </c>
      <c r="B177" s="29"/>
      <c r="C177" s="29"/>
      <c r="D177" s="29"/>
      <c r="E177" s="29"/>
      <c r="F177" s="29"/>
      <c r="G177" s="29"/>
      <c r="H177" s="29"/>
      <c r="I177" s="29"/>
    </row>
    <row r="178" customFormat="false" ht="14.25" hidden="false" customHeight="false" outlineLevel="0" collapsed="false">
      <c r="A178" s="36" t="s">
        <v>140</v>
      </c>
    </row>
    <row r="179" customFormat="false" ht="13.8" hidden="false" customHeight="false" outlineLevel="0" collapsed="false">
      <c r="A179" s="37" t="s">
        <v>115</v>
      </c>
      <c r="B179" s="38" t="n">
        <f aca="false">(13740-12299)/12299</f>
        <v>0.117163997072933</v>
      </c>
      <c r="C179" s="38" t="n">
        <f aca="false">((C107-B107)/B107)</f>
        <v>0.0745269286754003</v>
      </c>
      <c r="D179" s="38" t="n">
        <f aca="false">((D107-C107)/C107)</f>
        <v>0.0306150094825251</v>
      </c>
      <c r="E179" s="38" t="n">
        <f aca="false">((E107-D107)/D107)</f>
        <v>-0.0237250262881178</v>
      </c>
      <c r="F179" s="38" t="n">
        <f aca="false">((F107-E107)/E107)</f>
        <v>0.0704813194210704</v>
      </c>
      <c r="G179" s="38" t="n">
        <f aca="false">((G107-F107)/F107)</f>
        <v>-0.0891711734373035</v>
      </c>
      <c r="H179" s="38" t="n">
        <f aca="false">((H107-G107)/G107)</f>
        <v>0.186067384700359</v>
      </c>
      <c r="I179" s="38" t="n">
        <f aca="false">((I107-H107)/H107)</f>
        <v>0.0683392514116072</v>
      </c>
    </row>
    <row r="180" customFormat="false" ht="13.8" hidden="false" customHeight="false" outlineLevel="0" collapsed="false">
      <c r="A180" s="39" t="s">
        <v>116</v>
      </c>
      <c r="B180" s="40" t="n">
        <f aca="false">(8506-7495)/7495</f>
        <v>0.134889926617745</v>
      </c>
      <c r="C180" s="40" t="n">
        <f aca="false">((C108-B108)/B108)</f>
        <v>0.0932283094286386</v>
      </c>
      <c r="D180" s="40" t="n">
        <f aca="false">((D108-C108)/C108)</f>
        <v>0.0414023013227229</v>
      </c>
      <c r="E180" s="40" t="n">
        <f aca="false">((E108-D108)/D108)</f>
        <v>-0.0373812474184221</v>
      </c>
      <c r="F180" s="40" t="n">
        <f aca="false">((F108-E108)/E108)</f>
        <v>0.0775584638489595</v>
      </c>
      <c r="G180" s="40" t="n">
        <f aca="false">((G108-F108)/F108)</f>
        <v>-0.071279243404679</v>
      </c>
      <c r="H180" s="40" t="n">
        <f aca="false">((H108-G108)/G108)</f>
        <v>0.248150927216207</v>
      </c>
      <c r="I180" s="40" t="n">
        <f aca="false">((I108-H108)/H108)</f>
        <v>0.0501545860529028</v>
      </c>
    </row>
    <row r="181" customFormat="false" ht="13.8" hidden="false" customHeight="false" outlineLevel="0" collapsed="false">
      <c r="A181" s="39" t="s">
        <v>117</v>
      </c>
      <c r="B181" s="40" t="n">
        <f aca="false">(4410-3937)/3937</f>
        <v>0.120142240284481</v>
      </c>
      <c r="C181" s="40" t="n">
        <f aca="false">((C109-B109)/B109)</f>
        <v>0.0761904761904762</v>
      </c>
      <c r="D181" s="40" t="n">
        <f aca="false">((D109-C109)/C109)</f>
        <v>0.0294985250737463</v>
      </c>
      <c r="E181" s="40" t="n">
        <f aca="false">((E109-D109)/D109)</f>
        <v>0.0106426524764634</v>
      </c>
      <c r="F181" s="40" t="n">
        <f aca="false">((F109-E109)/E109)</f>
        <v>0.065208586472256</v>
      </c>
      <c r="G181" s="40" t="n">
        <f aca="false">((G109-F109)/F109)</f>
        <v>-0.118060836501901</v>
      </c>
      <c r="H181" s="40" t="n">
        <f aca="false">((H109-G109)/G109)</f>
        <v>0.0838542789394266</v>
      </c>
      <c r="I181" s="40" t="n">
        <f aca="false">((I109-H109)/H109)</f>
        <v>0.0922832140015911</v>
      </c>
    </row>
    <row r="182" customFormat="false" ht="13.8" hidden="false" customHeight="false" outlineLevel="0" collapsed="false">
      <c r="A182" s="39" t="s">
        <v>118</v>
      </c>
      <c r="B182" s="40" t="n">
        <f aca="false">(824-867)/867</f>
        <v>-0.0495963091118801</v>
      </c>
      <c r="C182" s="40" t="n">
        <f aca="false">((C110-B110)/B110)</f>
        <v>-0.127427184466019</v>
      </c>
      <c r="D182" s="40" t="n">
        <f aca="false">((D110-C110)/C110)</f>
        <v>-0.101529902642559</v>
      </c>
      <c r="E182" s="40" t="n">
        <f aca="false">((E110-D110)/D110)</f>
        <v>-0.0789473684210526</v>
      </c>
      <c r="F182" s="40" t="n">
        <f aca="false">((F110-E110)/E110)</f>
        <v>0.00336134453781513</v>
      </c>
      <c r="G182" s="40" t="n">
        <f aca="false">((G110-F110)/F110)</f>
        <v>-0.135678391959799</v>
      </c>
      <c r="H182" s="40" t="n">
        <f aca="false">((H110-G110)/G110)</f>
        <v>-0.0174418604651163</v>
      </c>
      <c r="I182" s="40" t="n">
        <f aca="false">((I110-H110)/H110)</f>
        <v>0.248520710059172</v>
      </c>
    </row>
    <row r="183" customFormat="false" ht="13.8" hidden="false" customHeight="false" outlineLevel="0" collapsed="false">
      <c r="A183" s="37" t="s">
        <v>119</v>
      </c>
      <c r="B183" s="38" t="n">
        <f aca="false">(7126-6366)/6366</f>
        <v>0.119384228715049</v>
      </c>
      <c r="C183" s="38" t="n">
        <f aca="false">((C111-B111)/B111)</f>
        <v>0.0620263822621387</v>
      </c>
      <c r="D183" s="38" t="n">
        <f aca="false">((D111-C111)/C111)</f>
        <v>0.0531183932346723</v>
      </c>
      <c r="E183" s="38" t="n">
        <f aca="false">((E111-D111)/D111)</f>
        <v>0.159598494353827</v>
      </c>
      <c r="F183" s="38" t="n">
        <f aca="false">((F111-E111)/E111)</f>
        <v>0.0616749621294092</v>
      </c>
      <c r="G183" s="38" t="n">
        <f aca="false">((G111-F111)/F111)</f>
        <v>-0.0473909498573176</v>
      </c>
      <c r="H183" s="38" t="n">
        <f aca="false">((H111-G111)/G111)</f>
        <v>0.225633893227774</v>
      </c>
      <c r="I183" s="38" t="n">
        <f aca="false">((I111-H111)/H111)</f>
        <v>0.0892981843575419</v>
      </c>
    </row>
    <row r="184" customFormat="false" ht="13.8" hidden="false" customHeight="false" outlineLevel="0" collapsed="false">
      <c r="A184" s="39" t="s">
        <v>116</v>
      </c>
      <c r="B184" s="40" t="n">
        <f aca="false">(4703-4062)/4062</f>
        <v>0.15780403741999</v>
      </c>
      <c r="C184" s="40" t="n">
        <f aca="false">((C112-B112)/B112)</f>
        <v>0.0722942802466511</v>
      </c>
      <c r="D184" s="40" t="n">
        <f aca="false">((D112-C112)/C112)</f>
        <v>0.0295459052151497</v>
      </c>
      <c r="E184" s="40" t="n">
        <f aca="false">((E112-D112)/D112)</f>
        <v>0.131548536209553</v>
      </c>
      <c r="F184" s="40" t="n">
        <f aca="false">((F112-E112)/E112)</f>
        <v>0.0711489361702128</v>
      </c>
      <c r="G184" s="40" t="n">
        <f aca="false">((G112-F112)/F112)</f>
        <v>-0.0637215954234864</v>
      </c>
      <c r="H184" s="40" t="n">
        <f aca="false">((H112-G112)/G112)</f>
        <v>0.18295994568907</v>
      </c>
      <c r="I184" s="40" t="n">
        <f aca="false">((I112-H112)/H112)</f>
        <v>0.0599713055954089</v>
      </c>
    </row>
    <row r="185" customFormat="false" ht="13.8" hidden="false" customHeight="false" outlineLevel="0" collapsed="false">
      <c r="A185" s="39" t="s">
        <v>117</v>
      </c>
      <c r="B185" s="40" t="n">
        <f aca="false">(2051-1959)/1959</f>
        <v>0.0469627360898418</v>
      </c>
      <c r="C185" s="40" t="n">
        <f aca="false">((C113-B113)/B113)</f>
        <v>0.0477815699658703</v>
      </c>
      <c r="D185" s="40" t="n">
        <f aca="false">((D113-C113)/C113)</f>
        <v>0.11447184737087</v>
      </c>
      <c r="E185" s="40" t="n">
        <f aca="false">((E113-D113)/D113)</f>
        <v>0.227557411273486</v>
      </c>
      <c r="F185" s="40" t="n">
        <f aca="false">((F113-E113)/E113)</f>
        <v>0.05</v>
      </c>
      <c r="G185" s="40" t="n">
        <f aca="false">((G113-F113)/F113)</f>
        <v>-0.0110139293812763</v>
      </c>
      <c r="H185" s="40" t="n">
        <f aca="false">((H113-G113)/G113)</f>
        <v>0.308876514903374</v>
      </c>
      <c r="I185" s="40" t="n">
        <f aca="false">((I113-H113)/H113)</f>
        <v>0.132882882882883</v>
      </c>
    </row>
    <row r="186" customFormat="false" ht="13.8" hidden="false" customHeight="false" outlineLevel="0" collapsed="false">
      <c r="A186" s="39" t="s">
        <v>118</v>
      </c>
      <c r="B186" s="40" t="n">
        <f aca="false">(372-345)/345</f>
        <v>0.0782608695652174</v>
      </c>
      <c r="C186" s="40" t="n">
        <f aca="false">((C114-B114)/B114)</f>
        <v>0.010752688172043</v>
      </c>
      <c r="D186" s="40" t="n">
        <f aca="false">((D114-C114)/C114)</f>
        <v>0.0186170212765957</v>
      </c>
      <c r="E186" s="40" t="n">
        <f aca="false">((E114-D114)/D114)</f>
        <v>0.114882506527415</v>
      </c>
      <c r="F186" s="40" t="n">
        <f aca="false">((F114-E114)/E114)</f>
        <v>0.0117096018735363</v>
      </c>
      <c r="G186" s="40" t="n">
        <f aca="false">((G114-F114)/F114)</f>
        <v>-0.0694444444444444</v>
      </c>
      <c r="H186" s="40" t="n">
        <f aca="false">((H114-G114)/G114)</f>
        <v>0.218905472636816</v>
      </c>
      <c r="I186" s="40" t="n">
        <f aca="false">((I114-H114)/H114)</f>
        <v>0.151020408163265</v>
      </c>
    </row>
    <row r="187" customFormat="false" ht="13.8" hidden="false" customHeight="false" outlineLevel="0" collapsed="false">
      <c r="A187" s="37" t="s">
        <v>120</v>
      </c>
      <c r="B187" s="38" t="n">
        <f aca="false">(3067-2602)/2602</f>
        <v>0.178708685626441</v>
      </c>
      <c r="C187" s="38" t="n">
        <f aca="false">((C115-B115)/B115)</f>
        <v>0.234104988588197</v>
      </c>
      <c r="D187" s="38" t="n">
        <f aca="false">((D115-C115)/C115)</f>
        <v>0.119418758256275</v>
      </c>
      <c r="E187" s="38" t="n">
        <f aca="false">((E115-D115)/D115)</f>
        <v>0.21170639603493</v>
      </c>
      <c r="F187" s="38" t="n">
        <f aca="false">((F115-E115)/E115)</f>
        <v>0.209193611219322</v>
      </c>
      <c r="G187" s="38" t="n">
        <f aca="false">((G115-F115)/F115)</f>
        <v>0.0758698453608247</v>
      </c>
      <c r="H187" s="38" t="n">
        <f aca="false">((H115-G115)/G115)</f>
        <v>0.241203773019913</v>
      </c>
      <c r="I187" s="38" t="n">
        <f aca="false">((I115-H115)/H115)</f>
        <v>-0.0896260554885404</v>
      </c>
    </row>
    <row r="188" customFormat="false" ht="13.8" hidden="false" customHeight="false" outlineLevel="0" collapsed="false">
      <c r="A188" s="39" t="s">
        <v>116</v>
      </c>
      <c r="B188" s="40" t="n">
        <f aca="false">(2016-1600)/1600</f>
        <v>0.26</v>
      </c>
      <c r="C188" s="40" t="n">
        <f aca="false">((C116-B116)/B116)</f>
        <v>0.289186507936508</v>
      </c>
      <c r="D188" s="40" t="n">
        <f aca="false">((D116-C116)/C116)</f>
        <v>0.123509041939207</v>
      </c>
      <c r="E188" s="40" t="n">
        <f aca="false">((E116-D116)/D116)</f>
        <v>0.197260273972603</v>
      </c>
      <c r="F188" s="40" t="n">
        <f aca="false">((F116-E116)/E116)</f>
        <v>0.219107551487414</v>
      </c>
      <c r="G188" s="40" t="n">
        <f aca="false">((G116-F116)/F116)</f>
        <v>0.0875175973721258</v>
      </c>
      <c r="H188" s="40" t="n">
        <f aca="false">((H116-G116)/G116)</f>
        <v>0.240129449838188</v>
      </c>
      <c r="I188" s="40" t="n">
        <f aca="false">((I116-H116)/H116)</f>
        <v>-0.057759220598469</v>
      </c>
    </row>
    <row r="189" customFormat="false" ht="13.8" hidden="false" customHeight="false" outlineLevel="0" collapsed="false">
      <c r="A189" s="39" t="s">
        <v>117</v>
      </c>
      <c r="B189" s="40" t="n">
        <f aca="false">(925-876)/876</f>
        <v>0.0559360730593607</v>
      </c>
      <c r="C189" s="40" t="n">
        <f aca="false">((C117-B117)/B117)</f>
        <v>0.140540540540541</v>
      </c>
      <c r="D189" s="40" t="n">
        <f aca="false">((D117-C117)/C117)</f>
        <v>0.1260663507109</v>
      </c>
      <c r="E189" s="40" t="n">
        <f aca="false">((E117-D117)/D117)</f>
        <v>0.269360269360269</v>
      </c>
      <c r="F189" s="40" t="n">
        <f aca="false">((F117-E117)/E117)</f>
        <v>0.19893899204244</v>
      </c>
      <c r="G189" s="40" t="n">
        <f aca="false">((G117-F117)/F117)</f>
        <v>0.0486725663716814</v>
      </c>
      <c r="H189" s="40" t="n">
        <f aca="false">((H117-G117)/G117)</f>
        <v>0.237869198312236</v>
      </c>
      <c r="I189" s="40" t="n">
        <f aca="false">((I117-H117)/H117)</f>
        <v>-0.174265019173413</v>
      </c>
    </row>
    <row r="190" customFormat="false" ht="13.8" hidden="false" customHeight="false" outlineLevel="0" collapsed="false">
      <c r="A190" s="39" t="s">
        <v>118</v>
      </c>
      <c r="B190" s="40" t="n">
        <f aca="false">(126-126)/126</f>
        <v>0</v>
      </c>
      <c r="C190" s="40" t="n">
        <f aca="false">((C118-B118)/B118)</f>
        <v>0.0396825396825397</v>
      </c>
      <c r="D190" s="40" t="n">
        <f aca="false">((D118-C118)/C118)</f>
        <v>-0.0152671755725191</v>
      </c>
      <c r="E190" s="40" t="n">
        <f aca="false">((E118-D118)/D118)</f>
        <v>0.00775193798449612</v>
      </c>
      <c r="F190" s="40" t="n">
        <f aca="false">((F118-E118)/E118)</f>
        <v>0.0615384615384615</v>
      </c>
      <c r="G190" s="40" t="n">
        <f aca="false">((G118-F118)/F118)</f>
        <v>0.072463768115942</v>
      </c>
      <c r="H190" s="40" t="n">
        <f aca="false">((H118-G118)/G118)</f>
        <v>0.317567567567568</v>
      </c>
      <c r="I190" s="40" t="n">
        <f aca="false">((I118-H118)/H118)</f>
        <v>-0.0102564102564103</v>
      </c>
    </row>
    <row r="191" customFormat="false" ht="13.8" hidden="false" customHeight="false" outlineLevel="0" collapsed="false">
      <c r="A191" s="37" t="s">
        <v>121</v>
      </c>
      <c r="B191" s="38" t="n">
        <f aca="false">(4653-4720)/4720</f>
        <v>-0.0141949152542373</v>
      </c>
      <c r="C191" s="38" t="n">
        <f aca="false">((C119-B119)/B119)</f>
        <v>-0.0722114764667956</v>
      </c>
      <c r="D191" s="38" t="n">
        <f aca="false">((D119-C119)/C119)</f>
        <v>0.0972897845726199</v>
      </c>
      <c r="E191" s="38" t="n">
        <f aca="false">((E119-D119)/D119)</f>
        <v>0.0905636478784041</v>
      </c>
      <c r="F191" s="38" t="n">
        <f aca="false">((F119-E119)/E119)</f>
        <v>0.0170344560588463</v>
      </c>
      <c r="G191" s="38" t="n">
        <f aca="false">((G119-F119)/F119)</f>
        <v>-0.0430148458317472</v>
      </c>
      <c r="H191" s="38" t="n">
        <f aca="false">((H119-G119)/G119)</f>
        <v>0.0626491646778043</v>
      </c>
      <c r="I191" s="38" t="n">
        <f aca="false">((I119-H119)/H119)</f>
        <v>0.114542391914655</v>
      </c>
    </row>
    <row r="192" customFormat="false" ht="13.8" hidden="false" customHeight="false" outlineLevel="0" collapsed="false">
      <c r="A192" s="39" t="s">
        <v>116</v>
      </c>
      <c r="B192" s="40" t="n">
        <f aca="false">(3093-3051)/3051</f>
        <v>0.0137659783677483</v>
      </c>
      <c r="C192" s="40" t="n">
        <f aca="false">((C120-B120)/B120)</f>
        <v>-0.0526996443582283</v>
      </c>
      <c r="D192" s="40" t="n">
        <f aca="false">((D120-C120)/C120)</f>
        <v>0.121160409556314</v>
      </c>
      <c r="E192" s="40" t="n">
        <f aca="false">((E120-D120)/D120)</f>
        <v>0.0882800608828006</v>
      </c>
      <c r="F192" s="40" t="n">
        <f aca="false">((F120-E120)/E120)</f>
        <v>0.0131468531468531</v>
      </c>
      <c r="G192" s="40" t="n">
        <f aca="false">((G120-F120)/F120)</f>
        <v>-0.0477636664826063</v>
      </c>
      <c r="H192" s="40" t="n">
        <f aca="false">((H120-G120)/G120)</f>
        <v>0.0608872136851261</v>
      </c>
      <c r="I192" s="40" t="n">
        <f aca="false">((I120-H120)/H120)</f>
        <v>0.123531019404209</v>
      </c>
    </row>
    <row r="193" customFormat="false" ht="13.8" hidden="false" customHeight="false" outlineLevel="0" collapsed="false">
      <c r="A193" s="39" t="s">
        <v>117</v>
      </c>
      <c r="B193" s="40" t="n">
        <f aca="false">(B121-1337)/1337</f>
        <v>-0.0643231114435303</v>
      </c>
      <c r="C193" s="40" t="n">
        <f aca="false">((C121-B121)/B121)</f>
        <v>-0.107114308553157</v>
      </c>
      <c r="D193" s="40" t="n">
        <f aca="false">((D121-C121)/C121)</f>
        <v>0.0608773500447628</v>
      </c>
      <c r="E193" s="40" t="n">
        <f aca="false">((E121-D121)/D121)</f>
        <v>0.136708860759494</v>
      </c>
      <c r="F193" s="40" t="n">
        <f aca="false">((F121-E121)/E121)</f>
        <v>0.0356347438752784</v>
      </c>
      <c r="G193" s="40" t="n">
        <f aca="false">((G121-F121)/F121)</f>
        <v>-0.021505376344086</v>
      </c>
      <c r="H193" s="40" t="n">
        <f aca="false">((H121-G121)/G121)</f>
        <v>0.0945054945054945</v>
      </c>
      <c r="I193" s="40" t="n">
        <f aca="false">((I121-H121)/H121)</f>
        <v>0.0776439089692102</v>
      </c>
    </row>
    <row r="194" customFormat="false" ht="13.8" hidden="false" customHeight="false" outlineLevel="0" collapsed="false">
      <c r="A194" s="39" t="s">
        <v>118</v>
      </c>
      <c r="B194" s="40" t="n">
        <f aca="false">(B122-332)/332</f>
        <v>-0.0692771084337349</v>
      </c>
      <c r="C194" s="40" t="n">
        <f aca="false">((C122-B122)/B122)</f>
        <v>-0.12621359223301</v>
      </c>
      <c r="D194" s="40" t="n">
        <f aca="false">((D122-C122)/C122)</f>
        <v>-0.0111111111111111</v>
      </c>
      <c r="E194" s="40" t="n">
        <f aca="false">((E122-D122)/D122)</f>
        <v>-0.0861423220973783</v>
      </c>
      <c r="F194" s="40" t="n">
        <f aca="false">((F122-E122)/E122)</f>
        <v>-0.0286885245901639</v>
      </c>
      <c r="G194" s="40" t="n">
        <f aca="false">((G122-F122)/F122)</f>
        <v>-0.0970464135021097</v>
      </c>
      <c r="H194" s="40" t="n">
        <f aca="false">((H122-G122)/G122)</f>
        <v>-0.11214953271028</v>
      </c>
      <c r="I194" s="40" t="n">
        <f aca="false">((I122-H122)/H122)</f>
        <v>0.231578947368421</v>
      </c>
    </row>
    <row r="195" customFormat="false" ht="13.8" hidden="false" customHeight="false" outlineLevel="0" collapsed="false">
      <c r="A195" s="37" t="s">
        <v>122</v>
      </c>
      <c r="B195" s="38" t="n">
        <f aca="false">(115-125)/125</f>
        <v>-0.08</v>
      </c>
      <c r="C195" s="41" t="n">
        <f aca="false">((C123-B123)/B123)</f>
        <v>-0.365217391304348</v>
      </c>
      <c r="D195" s="41" t="n">
        <f aca="false">((D123-C123)/C123)</f>
        <v>0</v>
      </c>
      <c r="E195" s="41" t="n">
        <f aca="false">((E123-D123)/D123)</f>
        <v>0.205479452054794</v>
      </c>
      <c r="F195" s="41" t="n">
        <f aca="false">((F123-E123)/E123)</f>
        <v>-0.522727272727273</v>
      </c>
      <c r="G195" s="41" t="n">
        <f aca="false">((G123-F123)/F123)</f>
        <v>-0.285714285714286</v>
      </c>
      <c r="H195" s="38" t="n">
        <f aca="false">((H123-G123)/G123)</f>
        <v>-0.166666666666667</v>
      </c>
      <c r="I195" s="38" t="n">
        <f aca="false">((I123-H123)/H123)</f>
        <v>3.08</v>
      </c>
    </row>
    <row r="196" customFormat="false" ht="13.8" hidden="false" customHeight="false" outlineLevel="0" collapsed="false">
      <c r="A196" s="42" t="s">
        <v>123</v>
      </c>
      <c r="B196" s="43" t="n">
        <f aca="false">(28701-26112)/26112</f>
        <v>0.0991498161764706</v>
      </c>
      <c r="C196" s="40" t="n">
        <f aca="false">((C124-B124)/B124)</f>
        <v>0.0629246367722379</v>
      </c>
      <c r="D196" s="40" t="n">
        <f aca="false">((D124-C124)/C124)</f>
        <v>0.0565771790080965</v>
      </c>
      <c r="E196" s="40" t="n">
        <f aca="false">((E124-D124)/D124)</f>
        <v>0.069866286104303</v>
      </c>
      <c r="F196" s="40" t="n">
        <f aca="false">((F124-E124)/E124)</f>
        <v>0.0792518486298391</v>
      </c>
      <c r="G196" s="40" t="n">
        <f aca="false">((G124-F124)/F124)</f>
        <v>-0.0443333870707722</v>
      </c>
      <c r="H196" s="44" t="n">
        <f aca="false">((H124-G124)/G124)</f>
        <v>0.18907444894287</v>
      </c>
      <c r="I196" s="44" t="n">
        <f aca="false">((I124-H124)/H124)</f>
        <v>0.0506703236942284</v>
      </c>
    </row>
    <row r="197" customFormat="false" ht="13.8" hidden="false" customHeight="false" outlineLevel="0" collapsed="false">
      <c r="A197" s="37" t="s">
        <v>124</v>
      </c>
      <c r="B197" s="38" t="n">
        <f aca="false">(1982-1684)/1684</f>
        <v>0.176959619952494</v>
      </c>
      <c r="C197" s="38" t="n">
        <f aca="false">((C125-B125)/B125)</f>
        <v>-0.0136226034308779</v>
      </c>
      <c r="D197" s="38" t="n">
        <f aca="false">((D125-C125)/C125)</f>
        <v>0.0445012787723785</v>
      </c>
      <c r="E197" s="38" t="n">
        <f aca="false">((E125-D125)/D125)</f>
        <v>-0.0763956904995103</v>
      </c>
      <c r="F197" s="38" t="n">
        <f aca="false">((F125-E125)/E125)</f>
        <v>0.0106044538706257</v>
      </c>
      <c r="G197" s="38" t="n">
        <f aca="false">((G125-F125)/F125)</f>
        <v>-0.0314795383001049</v>
      </c>
      <c r="H197" s="38" t="n">
        <f aca="false">((H125-G125)/G125)</f>
        <v>0.194474539544962</v>
      </c>
      <c r="I197" s="38" t="n">
        <f aca="false">((I125-H125)/H125)</f>
        <v>0.0639455782312925</v>
      </c>
    </row>
    <row r="198" customFormat="false" ht="13.8" hidden="false" customHeight="false" outlineLevel="0" collapsed="false">
      <c r="A198" s="39" t="s">
        <v>116</v>
      </c>
      <c r="B198" s="40" t="n">
        <f aca="false">(18318-16208)/16208</f>
        <v>0.130182625863771</v>
      </c>
      <c r="C198" s="40" t="n">
        <f aca="false">((C126-B126)/B126)</f>
        <v>0.0847799978163555</v>
      </c>
      <c r="D198" s="40" t="n">
        <f aca="false">((D126-C126)/C126)</f>
        <v>0.0608927582909768</v>
      </c>
      <c r="E198" s="40" t="n">
        <f aca="false">((E126-D126)/D126)</f>
        <v>0.0563066268203596</v>
      </c>
      <c r="F198" s="40" t="n">
        <f aca="false">((F126-E126)/E126)</f>
        <v>0.16220585593677</v>
      </c>
      <c r="G198" s="40" t="n">
        <f aca="false">((G126-F126)/F126)</f>
        <v>-0.0360510046367852</v>
      </c>
      <c r="H198" s="40" t="n">
        <f aca="false">((H126-G126)/G126)</f>
        <v>-0.920391229406341</v>
      </c>
      <c r="I198" s="40" t="n">
        <f aca="false">((I126-H126)/H126)</f>
        <v>0.054380664652568</v>
      </c>
    </row>
    <row r="199" customFormat="false" ht="13.8" hidden="false" customHeight="false" outlineLevel="0" collapsed="false">
      <c r="A199" s="39" t="s">
        <v>117</v>
      </c>
      <c r="B199" s="40" t="n">
        <f aca="false">(8637-8109)/8109</f>
        <v>0.0651128375878653</v>
      </c>
      <c r="C199" s="40" t="n">
        <f aca="false">((C127-B127)/B127)</f>
        <v>0.0497858052564548</v>
      </c>
      <c r="D199" s="40" t="n">
        <f aca="false">((D127-C127)/C127)</f>
        <v>0.0647402669019521</v>
      </c>
      <c r="E199" s="40" t="n">
        <f aca="false">((E127-D127)/D127)</f>
        <v>0.111767143153097</v>
      </c>
      <c r="F199" s="40" t="n">
        <f aca="false">((F127-E127)/E127)</f>
        <v>0.0871145066616976</v>
      </c>
      <c r="G199" s="40" t="n">
        <f aca="false">((G127-F127)/F127)</f>
        <v>-0.0536510113129928</v>
      </c>
      <c r="H199" s="40" t="n">
        <f aca="false">((H127-G127)/G127)</f>
        <v>-0.990581416410071</v>
      </c>
      <c r="I199" s="40" t="n">
        <f aca="false">((I127-H127)/H127)</f>
        <v>-0.00961538461538462</v>
      </c>
    </row>
    <row r="200" customFormat="false" ht="13.8" hidden="false" customHeight="false" outlineLevel="0" collapsed="false">
      <c r="A200" s="39" t="s">
        <v>118</v>
      </c>
      <c r="B200" s="40" t="n">
        <f aca="false">(1631-1670)/1670</f>
        <v>-0.0233532934131737</v>
      </c>
      <c r="C200" s="40" t="n">
        <f aca="false">((C128-B128)/B128)</f>
        <v>-0.0827713059472716</v>
      </c>
      <c r="D200" s="40" t="n">
        <f aca="false">((D128-C128)/C128)</f>
        <v>-0.0474598930481283</v>
      </c>
      <c r="E200" s="40" t="n">
        <f aca="false">((E128-D128)/D128)</f>
        <v>-0.0203508771929825</v>
      </c>
      <c r="F200" s="40" t="n">
        <f aca="false">((F128-E128)/E128)</f>
        <v>0.0229226361031519</v>
      </c>
      <c r="G200" s="40" t="n">
        <f aca="false">((G128-F128)/F128)</f>
        <v>-0.0861344537815126</v>
      </c>
      <c r="H200" s="40" t="n">
        <f aca="false">((H128-G128)/G128)</f>
        <v>-0.977777777777778</v>
      </c>
      <c r="I200" s="40" t="n">
        <f aca="false">((I128-H128)/H128)</f>
        <v>-0.103448275862069</v>
      </c>
    </row>
    <row r="201" customFormat="false" ht="13.8" hidden="false" customHeight="false" outlineLevel="0" collapsed="false">
      <c r="A201" s="39" t="s">
        <v>125</v>
      </c>
      <c r="B201" s="40" t="n">
        <f aca="false">(2015-1812)/1812</f>
        <v>0.112030905077263</v>
      </c>
      <c r="C201" s="40" t="n">
        <f aca="false">((C129-B129)/B129)</f>
        <v>-0.0362282878411911</v>
      </c>
      <c r="D201" s="40" t="n">
        <f aca="false">((D129-C129)/C129)</f>
        <v>0.127703398558187</v>
      </c>
      <c r="E201" s="40" t="n">
        <f aca="false">((E129-D129)/D129)</f>
        <v>-0.0867579908675799</v>
      </c>
      <c r="F201" s="40" t="n">
        <f aca="false">((F129-E129)/E129)</f>
        <v>-0.9295</v>
      </c>
      <c r="G201" s="40" t="n">
        <f aca="false">((G129-F129)/F129)</f>
        <v>-0.226950354609929</v>
      </c>
      <c r="H201" s="40" t="n">
        <f aca="false">((H129-G129)/G129)</f>
        <v>-0.211009174311927</v>
      </c>
      <c r="I201" s="40" t="n">
        <f aca="false">((I129-H129)/H129)</f>
        <v>0.430232558139535</v>
      </c>
    </row>
    <row r="202" customFormat="false" ht="13.8" hidden="false" customHeight="false" outlineLevel="0" collapsed="false">
      <c r="A202" s="45" t="s">
        <v>126</v>
      </c>
      <c r="B202" s="40" t="n">
        <f aca="false">((-82)-3)/3</f>
        <v>-28.3333333333333</v>
      </c>
      <c r="C202" s="40" t="n">
        <f aca="false">((C130-B130)/B130)</f>
        <v>0.0487804878048781</v>
      </c>
      <c r="D202" s="40" t="n">
        <f aca="false">((D130-C130)/C130)</f>
        <v>-1.87209302325581</v>
      </c>
      <c r="E202" s="40" t="n">
        <f aca="false">((E130-D130)/D130)</f>
        <v>-0.653333333333333</v>
      </c>
      <c r="F202" s="40" t="n">
        <f aca="false">((F130-E130)/E130)</f>
        <v>-1.26923076923077</v>
      </c>
      <c r="G202" s="40" t="n">
        <f aca="false">((G130-F130)/F130)</f>
        <v>0.571428571428571</v>
      </c>
      <c r="H202" s="40" t="n">
        <f aca="false">((H130-G130)/G130)</f>
        <v>-4.63636363636364</v>
      </c>
      <c r="I202" s="40" t="n">
        <f aca="false">((I130-H130)/H130)</f>
        <v>-2.8</v>
      </c>
    </row>
    <row r="203" customFormat="false" ht="13.8" hidden="false" customHeight="false" outlineLevel="0" collapsed="false">
      <c r="A203" s="46" t="s">
        <v>127</v>
      </c>
      <c r="B203" s="47" t="n">
        <f aca="false">(30601-27799)/27799</f>
        <v>0.100794992625634</v>
      </c>
      <c r="C203" s="47" t="n">
        <f aca="false">((C131-B131)/B131)</f>
        <v>0.0580046403712297</v>
      </c>
      <c r="D203" s="47" t="n">
        <f aca="false">((D131-C131)/C131)</f>
        <v>0.0609710896960712</v>
      </c>
      <c r="E203" s="47" t="n">
        <f aca="false">((E131-D131)/D131)</f>
        <v>0.0595924308588064</v>
      </c>
      <c r="F203" s="47" t="n">
        <f aca="false">((F131-E131)/E131)</f>
        <v>0.0747314339093881</v>
      </c>
      <c r="G203" s="47" t="n">
        <f aca="false">((G131-F131)/F131)</f>
        <v>-0.0438172661502671</v>
      </c>
      <c r="H203" s="47" t="n">
        <f aca="false">((H131-G131)/G131)</f>
        <v>0.190760099457263</v>
      </c>
      <c r="I203" s="47" t="n">
        <f aca="false">((I131-H131)/H131)</f>
        <v>0.0487673447393237</v>
      </c>
    </row>
    <row r="204" customFormat="false" ht="15"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U212"/>
  <sheetViews>
    <sheetView showFormulas="false" showGridLines="true" showRowColHeaders="true" showZeros="true" rightToLeft="false" tabSelected="false" showOutlineSymbols="true" defaultGridColor="true" view="normal" topLeftCell="B1" colorId="64" zoomScale="80" zoomScaleNormal="80" zoomScalePageLayoutView="100" workbookViewId="0">
      <selection pane="topLeft" activeCell="O119" activeCellId="0" sqref="O119"/>
    </sheetView>
  </sheetViews>
  <sheetFormatPr defaultColWidth="8.6875" defaultRowHeight="14.25" zeroHeight="false" outlineLevelRow="0" outlineLevelCol="0"/>
  <cols>
    <col collapsed="false" customWidth="true" hidden="false" outlineLevel="0" max="1" min="1" style="0" width="48.78"/>
    <col collapsed="false" customWidth="true" hidden="false" outlineLevel="0" max="14" min="2" style="0" width="11.77"/>
  </cols>
  <sheetData>
    <row r="1" customFormat="false" ht="60" hidden="false" customHeight="true" outlineLevel="0" collapsed="false">
      <c r="A1" s="6" t="s">
        <v>11</v>
      </c>
      <c r="B1" s="7" t="n">
        <f aca="false">+C1-1</f>
        <v>2015</v>
      </c>
      <c r="C1" s="7" t="n">
        <f aca="false">+D1-1</f>
        <v>2016</v>
      </c>
      <c r="D1" s="7" t="n">
        <f aca="false">+E1-1</f>
        <v>2017</v>
      </c>
      <c r="E1" s="7" t="n">
        <f aca="false">+F1-1</f>
        <v>2018</v>
      </c>
      <c r="F1" s="7" t="n">
        <f aca="false">+G1-1</f>
        <v>2019</v>
      </c>
      <c r="G1" s="7" t="n">
        <f aca="false">+H1-1</f>
        <v>2020</v>
      </c>
      <c r="H1" s="7" t="n">
        <f aca="false">+I1-1</f>
        <v>2021</v>
      </c>
      <c r="I1" s="7" t="n">
        <v>2022</v>
      </c>
      <c r="J1" s="48" t="n">
        <f aca="false">+I1+1</f>
        <v>2023</v>
      </c>
      <c r="K1" s="48" t="n">
        <f aca="false">+J1+1</f>
        <v>2024</v>
      </c>
      <c r="L1" s="48" t="n">
        <f aca="false">+K1+1</f>
        <v>2025</v>
      </c>
      <c r="M1" s="48" t="n">
        <f aca="false">+L1+1</f>
        <v>2026</v>
      </c>
      <c r="N1" s="48" t="n">
        <f aca="false">+M1+1</f>
        <v>2027</v>
      </c>
    </row>
    <row r="2" customFormat="false" ht="13.8" hidden="false" customHeight="false" outlineLevel="0" collapsed="false">
      <c r="A2" s="49" t="s">
        <v>141</v>
      </c>
      <c r="B2" s="49"/>
      <c r="C2" s="49"/>
      <c r="D2" s="49"/>
      <c r="E2" s="49"/>
      <c r="F2" s="49"/>
      <c r="G2" s="49"/>
      <c r="H2" s="49"/>
      <c r="I2" s="49"/>
      <c r="J2" s="50" t="n">
        <f aca="false">J21+J52+J83+J115+J146+J177+J196</f>
        <v>48952.702159228</v>
      </c>
      <c r="K2" s="50" t="n">
        <f aca="false">K21+K52+K83+K115+K146+K177+K196</f>
        <v>51131.2797851259</v>
      </c>
      <c r="L2" s="50" t="n">
        <f aca="false">L21+L52+L83+L115+L146+L177+L196</f>
        <v>53568.8879256182</v>
      </c>
      <c r="M2" s="50" t="n">
        <f aca="false">M21+M52+M83+M115+M146+M177+M196</f>
        <v>56276.5959608804</v>
      </c>
      <c r="N2" s="50" t="n">
        <f aca="false">N21+N52+N83+N115+N146+N177+N196</f>
        <v>59267.2503739362</v>
      </c>
    </row>
    <row r="3" customFormat="false" ht="13.8" hidden="false" customHeight="false" outlineLevel="0" collapsed="false">
      <c r="A3" s="15" t="s">
        <v>142</v>
      </c>
      <c r="B3" s="51" t="n">
        <f aca="false">B21+B52+B83+B115+B146+B177+B196</f>
        <v>30601</v>
      </c>
      <c r="C3" s="51" t="n">
        <f aca="false">C21+C52+C83+C115+C146+C177+C196</f>
        <v>32376</v>
      </c>
      <c r="D3" s="51" t="n">
        <f aca="false">D21+D52+D83+D115+D146+D177+D196</f>
        <v>34350</v>
      </c>
      <c r="E3" s="51" t="n">
        <f aca="false">E21+E52+E83+E115+E146+E177+E196</f>
        <v>36397</v>
      </c>
      <c r="F3" s="51" t="n">
        <f aca="false">F21+F52+F83+F115+F146+F177+F196</f>
        <v>39117</v>
      </c>
      <c r="G3" s="51" t="n">
        <f aca="false">G21+G52+G83+G115+G146+G177+G196</f>
        <v>37403</v>
      </c>
      <c r="H3" s="51" t="n">
        <f aca="false">H21+H52+H83+H115+H146+H177+H196</f>
        <v>44538</v>
      </c>
      <c r="I3" s="51" t="n">
        <f aca="false">I21+I52+I83+I115+I146+I177+I196</f>
        <v>46710</v>
      </c>
      <c r="J3" s="15" t="n">
        <f aca="false">+I3*(1+I4)</f>
        <v>48987.9226727738</v>
      </c>
      <c r="K3" s="15" t="n">
        <f aca="false">+J3*(1+J4)</f>
        <v>51376.9335858203</v>
      </c>
      <c r="L3" s="15" t="n">
        <f aca="false">+K3*(1+K4)</f>
        <v>53882.4502176494</v>
      </c>
      <c r="M3" s="15" t="n">
        <f aca="false">+L3*(1+L4)</f>
        <v>56510.1542428129</v>
      </c>
      <c r="N3" s="15" t="n">
        <f aca="false">+M3*(1+M4)</f>
        <v>59266.0044160445</v>
      </c>
      <c r="O3" s="0" t="s">
        <v>143</v>
      </c>
    </row>
    <row r="4" customFormat="false" ht="14.25" hidden="false" customHeight="false" outlineLevel="0" collapsed="false">
      <c r="A4" s="52" t="s">
        <v>144</v>
      </c>
      <c r="B4" s="53" t="str">
        <f aca="false">+IFERROR(B3/A3-1,"nm")</f>
        <v>nm</v>
      </c>
      <c r="C4" s="53" t="n">
        <f aca="false">+IFERROR(C3/B3-1,"nm")</f>
        <v>0.0580046403712298</v>
      </c>
      <c r="D4" s="53" t="n">
        <f aca="false">+IFERROR(D3/C3-1,"nm")</f>
        <v>0.0609710896960711</v>
      </c>
      <c r="E4" s="53" t="n">
        <f aca="false">+IFERROR(E3/D3-1,"nm")</f>
        <v>0.0595924308588065</v>
      </c>
      <c r="F4" s="53" t="n">
        <f aca="false">+IFERROR(F3/E3-1,"nm")</f>
        <v>0.0747314339093881</v>
      </c>
      <c r="G4" s="53" t="n">
        <f aca="false">+IFERROR(G3/F3-1,"nm")</f>
        <v>-0.0438172661502672</v>
      </c>
      <c r="H4" s="53" t="n">
        <f aca="false">+IFERROR(H3/G3-1,"nm")</f>
        <v>0.190760099457263</v>
      </c>
      <c r="I4" s="53" t="n">
        <f aca="false">+IFERROR(I3/H3-1,"nm")</f>
        <v>0.0487673447393238</v>
      </c>
      <c r="J4" s="53" t="n">
        <f aca="false">+IFERROR(J3/I3-1,"nm")</f>
        <v>0.0487673447393238</v>
      </c>
      <c r="K4" s="53" t="n">
        <f aca="false">+IFERROR(K3/J3-1,"nm")</f>
        <v>0.0487673447393238</v>
      </c>
      <c r="L4" s="53" t="n">
        <f aca="false">+IFERROR(L3/K3-1,"nm")</f>
        <v>0.0487673447393238</v>
      </c>
      <c r="M4" s="53" t="n">
        <f aca="false">+IFERROR(M3/L3-1,"nm")</f>
        <v>0.0487673447393238</v>
      </c>
      <c r="N4" s="53" t="n">
        <f aca="false">+IFERROR(N3/M3-1,"nm")</f>
        <v>0.0487673447393238</v>
      </c>
    </row>
    <row r="5" customFormat="false" ht="13.8" hidden="false" customHeight="false" outlineLevel="0" collapsed="false">
      <c r="A5" s="15" t="s">
        <v>145</v>
      </c>
      <c r="B5" s="54" t="n">
        <f aca="false">B35+B66+B98+B129+B160+B179+B198</f>
        <v>4839</v>
      </c>
      <c r="C5" s="54" t="n">
        <f aca="false">C35+C66+C98+C129+C160+C179+C198</f>
        <v>5291</v>
      </c>
      <c r="D5" s="54" t="n">
        <f aca="false">D35+D66+D98+D129+D160+D179+D198</f>
        <v>5651</v>
      </c>
      <c r="E5" s="54" t="n">
        <f aca="false">E35+E66+E98+E129+E160+E179+E198</f>
        <v>5126</v>
      </c>
      <c r="F5" s="54" t="n">
        <f aca="false">F35+F66+F98+F129+F160+F179+F198</f>
        <v>5555</v>
      </c>
      <c r="G5" s="54" t="n">
        <f aca="false">G35+G66+G98+G129+G160+G179+G198</f>
        <v>3697</v>
      </c>
      <c r="H5" s="54" t="n">
        <f aca="false">H35+H66+H98+H129+H160+H179+H198</f>
        <v>7667</v>
      </c>
      <c r="I5" s="54" t="n">
        <f aca="false">I35+I66+I98+I129+I160+I179+I198</f>
        <v>7573</v>
      </c>
      <c r="J5" s="55" t="n">
        <f aca="false">+I5*(1+I6)</f>
        <v>7480.15247163167</v>
      </c>
      <c r="K5" s="55" t="n">
        <f aca="false">+J5*(1+J6)</f>
        <v>7388.44328520499</v>
      </c>
      <c r="L5" s="55" t="n">
        <f aca="false">+K5*(1+K6)</f>
        <v>7297.85848426469</v>
      </c>
      <c r="M5" s="55" t="n">
        <f aca="false">+L5*(1+L6)</f>
        <v>7208.38428346635</v>
      </c>
      <c r="N5" s="55" t="n">
        <f aca="false">+M5*(1+M6)</f>
        <v>7120.0070664785</v>
      </c>
      <c r="O5" s="0" t="s">
        <v>146</v>
      </c>
    </row>
    <row r="6" customFormat="false" ht="14.25" hidden="false" customHeight="false" outlineLevel="0" collapsed="false">
      <c r="A6" s="52" t="s">
        <v>144</v>
      </c>
      <c r="B6" s="53" t="str">
        <f aca="false">+IFERROR(B5/A5-1,"nm")</f>
        <v>nm</v>
      </c>
      <c r="C6" s="53" t="n">
        <f aca="false">+IFERROR(C5/B5-1,"nm")</f>
        <v>0.0934077288696011</v>
      </c>
      <c r="D6" s="53" t="n">
        <f aca="false">+IFERROR(D5/C5-1,"nm")</f>
        <v>0.0680400680400681</v>
      </c>
      <c r="E6" s="53" t="n">
        <f aca="false">+IFERROR(E5/D5-1,"nm")</f>
        <v>-0.0929039108122456</v>
      </c>
      <c r="F6" s="53" t="n">
        <f aca="false">+IFERROR(F5/E5-1,"nm")</f>
        <v>0.0836909871244635</v>
      </c>
      <c r="G6" s="53" t="n">
        <f aca="false">+IFERROR(G5/F5-1,"nm")</f>
        <v>-0.334473447344734</v>
      </c>
      <c r="H6" s="53" t="n">
        <f aca="false">+IFERROR(H5/G5-1,"nm")</f>
        <v>1.07384365701921</v>
      </c>
      <c r="I6" s="53" t="n">
        <f aca="false">+IFERROR(I5/H5-1,"nm")</f>
        <v>-0.0122603365071083</v>
      </c>
      <c r="J6" s="53" t="n">
        <f aca="false">+IFERROR(J5/I5-1,"nm")</f>
        <v>-0.0122603365071083</v>
      </c>
      <c r="K6" s="53" t="n">
        <f aca="false">+IFERROR(K5/J5-1,"nm")</f>
        <v>-0.0122603365071083</v>
      </c>
      <c r="L6" s="53" t="n">
        <f aca="false">+IFERROR(L5/K5-1,"nm")</f>
        <v>-0.0122603365071083</v>
      </c>
      <c r="M6" s="53" t="n">
        <f aca="false">+IFERROR(M5/L5-1,"nm")</f>
        <v>-0.0122603365071083</v>
      </c>
      <c r="N6" s="53" t="n">
        <f aca="false">+IFERROR(N5/M5-1,"nm")</f>
        <v>-0.0122603365071083</v>
      </c>
    </row>
    <row r="7" customFormat="false" ht="14.25" hidden="false" customHeight="false" outlineLevel="0" collapsed="false">
      <c r="A7" s="52" t="s">
        <v>147</v>
      </c>
      <c r="B7" s="53" t="n">
        <f aca="false">+IFERROR(B5/B$3,"nm")</f>
        <v>0.158132087186693</v>
      </c>
      <c r="C7" s="53" t="n">
        <f aca="false">+IFERROR(C5/C$3,"nm")</f>
        <v>0.163423523597727</v>
      </c>
      <c r="D7" s="53" t="n">
        <f aca="false">+IFERROR(D5/D$3,"nm")</f>
        <v>0.164512372634643</v>
      </c>
      <c r="E7" s="53" t="n">
        <f aca="false">+IFERROR(E5/E$3,"nm")</f>
        <v>0.140835783168942</v>
      </c>
      <c r="F7" s="53" t="n">
        <f aca="false">+IFERROR(F5/F$3,"nm")</f>
        <v>0.1420098678324</v>
      </c>
      <c r="G7" s="53" t="n">
        <f aca="false">+IFERROR(G5/G$3,"nm")</f>
        <v>0.0988423388498249</v>
      </c>
      <c r="H7" s="53" t="n">
        <f aca="false">+IFERROR(H5/H$3,"nm")</f>
        <v>0.172145134491895</v>
      </c>
      <c r="I7" s="53" t="n">
        <f aca="false">+IFERROR(I5/I$3,"nm")</f>
        <v>0.162128023977735</v>
      </c>
      <c r="J7" s="53" t="n">
        <f aca="false">+IFERROR(J5/J$3,"nm")</f>
        <v>0.15269380825958</v>
      </c>
      <c r="K7" s="53" t="n">
        <f aca="false">+IFERROR(K5/K$3,"nm")</f>
        <v>0.143808568739574</v>
      </c>
      <c r="L7" s="53" t="n">
        <f aca="false">+IFERROR(L5/L$3,"nm")</f>
        <v>0.135440360540142</v>
      </c>
      <c r="M7" s="53" t="n">
        <f aca="false">+IFERROR(M5/M$3,"nm")</f>
        <v>0.127559097653377</v>
      </c>
      <c r="N7" s="53" t="n">
        <f aca="false">+IFERROR(N5/N$3,"nm")</f>
        <v>0.120136444773574</v>
      </c>
    </row>
    <row r="8" customFormat="false" ht="13.8" hidden="false" customHeight="false" outlineLevel="0" collapsed="false">
      <c r="A8" s="15" t="s">
        <v>148</v>
      </c>
      <c r="B8" s="54" t="n">
        <f aca="false">B38+B69+B101+B132+B163+B182+B201</f>
        <v>606</v>
      </c>
      <c r="C8" s="54" t="n">
        <f aca="false">C38+C69+C101+C132+C163+C182+C201</f>
        <v>649</v>
      </c>
      <c r="D8" s="54" t="n">
        <f aca="false">D38+D69+D101+D132+D163+D182+D201</f>
        <v>706</v>
      </c>
      <c r="E8" s="54" t="n">
        <f aca="false">E38+E69+E101+E132+E163+E182+E201</f>
        <v>747</v>
      </c>
      <c r="F8" s="54" t="n">
        <f aca="false">F38+F69+F101+F132+F163+F182+F201</f>
        <v>705</v>
      </c>
      <c r="G8" s="54" t="n">
        <f aca="false">G38+G69+G101+G132+G163+G182+G201</f>
        <v>721</v>
      </c>
      <c r="H8" s="54" t="n">
        <f aca="false">H38+H69+H101+H132+H163+H182+H201</f>
        <v>744</v>
      </c>
      <c r="I8" s="54" t="n">
        <f aca="false">I38+I69+I101+I132+I163+I182+I201</f>
        <v>717</v>
      </c>
      <c r="J8" s="55" t="n">
        <f aca="false">+I8*(1+I9)</f>
        <v>690.979838709677</v>
      </c>
      <c r="K8" s="55" t="n">
        <f aca="false">+J8*(1+J9)</f>
        <v>665.903957466181</v>
      </c>
      <c r="L8" s="55" t="n">
        <f aca="false">+K8*(1+K9)</f>
        <v>641.738088042005</v>
      </c>
      <c r="M8" s="55" t="n">
        <f aca="false">+L8*(1+L9)</f>
        <v>618.449205814674</v>
      </c>
      <c r="N8" s="55" t="n">
        <f aca="false">+M8*(1+M9)</f>
        <v>596.005484635916</v>
      </c>
      <c r="O8" s="0" t="s">
        <v>149</v>
      </c>
    </row>
    <row r="9" customFormat="false" ht="14.25" hidden="false" customHeight="false" outlineLevel="0" collapsed="false">
      <c r="A9" s="52" t="s">
        <v>144</v>
      </c>
      <c r="B9" s="53" t="str">
        <f aca="false">+IFERROR(B8/A8-1,"nm")</f>
        <v>nm</v>
      </c>
      <c r="C9" s="53" t="n">
        <f aca="false">+IFERROR(C8/B8-1,"nm")</f>
        <v>0.0709570957095709</v>
      </c>
      <c r="D9" s="53" t="n">
        <f aca="false">+IFERROR(D8/C8-1,"nm")</f>
        <v>0.0878274268104777</v>
      </c>
      <c r="E9" s="53" t="n">
        <f aca="false">+IFERROR(E8/D8-1,"nm")</f>
        <v>0.0580736543909348</v>
      </c>
      <c r="F9" s="53" t="n">
        <f aca="false">+IFERROR(F8/E8-1,"nm")</f>
        <v>-0.0562248995983936</v>
      </c>
      <c r="G9" s="53" t="n">
        <f aca="false">+IFERROR(G8/F8-1,"nm")</f>
        <v>0.0226950354609929</v>
      </c>
      <c r="H9" s="53" t="n">
        <f aca="false">+IFERROR(H8/G8-1,"nm")</f>
        <v>0.0319001386962552</v>
      </c>
      <c r="I9" s="53" t="n">
        <f aca="false">+IFERROR(I8/H8-1,"nm")</f>
        <v>-0.0362903225806451</v>
      </c>
      <c r="J9" s="53" t="n">
        <f aca="false">+IFERROR(J8/I8-1,"nm")</f>
        <v>-0.0362903225806451</v>
      </c>
      <c r="K9" s="53" t="n">
        <f aca="false">+IFERROR(K8/J8-1,"nm")</f>
        <v>-0.0362903225806452</v>
      </c>
      <c r="L9" s="53" t="n">
        <f aca="false">+IFERROR(L8/K8-1,"nm")</f>
        <v>-0.0362903225806452</v>
      </c>
      <c r="M9" s="53" t="n">
        <f aca="false">+IFERROR(M8/L8-1,"nm")</f>
        <v>-0.0362903225806452</v>
      </c>
      <c r="N9" s="53" t="n">
        <f aca="false">+IFERROR(N8/M8-1,"nm")</f>
        <v>-0.0362903225806453</v>
      </c>
    </row>
    <row r="10" customFormat="false" ht="14.25" hidden="false" customHeight="false" outlineLevel="0" collapsed="false">
      <c r="A10" s="52" t="s">
        <v>150</v>
      </c>
      <c r="B10" s="53" t="n">
        <f aca="false">+IFERROR(B8/B$3,"nm")</f>
        <v>0.0198032744027973</v>
      </c>
      <c r="C10" s="53" t="n">
        <f aca="false">+IFERROR(C8/C$3,"nm")</f>
        <v>0.0200457128737336</v>
      </c>
      <c r="D10" s="53" t="n">
        <f aca="false">+IFERROR(D8/D$3,"nm")</f>
        <v>0.0205531295487627</v>
      </c>
      <c r="E10" s="53" t="n">
        <f aca="false">+IFERROR(E8/E$3,"nm")</f>
        <v>0.0205236695332033</v>
      </c>
      <c r="F10" s="53" t="n">
        <f aca="false">+IFERROR(F8/F$3,"nm")</f>
        <v>0.0180228545133829</v>
      </c>
      <c r="G10" s="53" t="n">
        <f aca="false">+IFERROR(G8/G$3,"nm")</f>
        <v>0.0192765286206989</v>
      </c>
      <c r="H10" s="53" t="n">
        <f aca="false">+IFERROR(H8/H$3,"nm")</f>
        <v>0.0167048363195474</v>
      </c>
      <c r="I10" s="53" t="n">
        <f aca="false">+IFERROR(I8/I$3,"nm")</f>
        <v>0.0153500321130379</v>
      </c>
      <c r="J10" s="53" t="n">
        <f aca="false">+IFERROR(J8/J$3,"nm")</f>
        <v>0.0141051059324405</v>
      </c>
      <c r="K10" s="53" t="n">
        <f aca="false">+IFERROR(K8/K$3,"nm")</f>
        <v>0.0129611463937187</v>
      </c>
      <c r="L10" s="53" t="n">
        <f aca="false">+IFERROR(L8/L$3,"nm")</f>
        <v>0.0119099648484768</v>
      </c>
      <c r="M10" s="53" t="n">
        <f aca="false">+IFERROR(M8/M$3,"nm")</f>
        <v>0.0109440367682828</v>
      </c>
      <c r="N10" s="53" t="n">
        <f aca="false">+IFERROR(N8/N$3,"nm")</f>
        <v>0.0100564478828704</v>
      </c>
    </row>
    <row r="11" customFormat="false" ht="13.8" hidden="false" customHeight="false" outlineLevel="0" collapsed="false">
      <c r="A11" s="15" t="s">
        <v>151</v>
      </c>
      <c r="B11" s="54" t="n">
        <f aca="false">B5-B8</f>
        <v>4233</v>
      </c>
      <c r="C11" s="54" t="n">
        <f aca="false">C5-C8</f>
        <v>4642</v>
      </c>
      <c r="D11" s="54" t="n">
        <f aca="false">D5-D8</f>
        <v>4945</v>
      </c>
      <c r="E11" s="54" t="n">
        <f aca="false">E5-E8</f>
        <v>4379</v>
      </c>
      <c r="F11" s="54" t="n">
        <f aca="false">F5-F8</f>
        <v>4850</v>
      </c>
      <c r="G11" s="54" t="n">
        <f aca="false">G5-G8</f>
        <v>2976</v>
      </c>
      <c r="H11" s="54" t="n">
        <f aca="false">H5-H8</f>
        <v>6923</v>
      </c>
      <c r="I11" s="54" t="n">
        <f aca="false">I5-I8</f>
        <v>6856</v>
      </c>
      <c r="J11" s="55" t="n">
        <f aca="false">+I11*(1+I12)</f>
        <v>6789.64841831576</v>
      </c>
      <c r="K11" s="55" t="n">
        <f aca="false">+J11*(1+J12)</f>
        <v>6723.93897962918</v>
      </c>
      <c r="L11" s="55" t="n">
        <f aca="false">+K11*(1+K12)</f>
        <v>6658.86546935399</v>
      </c>
      <c r="M11" s="55" t="n">
        <f aca="false">+L11*(1+L12)</f>
        <v>6594.42173304795</v>
      </c>
      <c r="N11" s="55" t="n">
        <f aca="false">+M11*(1+M12)</f>
        <v>6530.60167583082</v>
      </c>
      <c r="O11" s="0" t="s">
        <v>152</v>
      </c>
    </row>
    <row r="12" customFormat="false" ht="14.25" hidden="false" customHeight="false" outlineLevel="0" collapsed="false">
      <c r="A12" s="52" t="s">
        <v>144</v>
      </c>
      <c r="B12" s="53" t="str">
        <f aca="false">+IFERROR(B11/A11-1,"nm")</f>
        <v>nm</v>
      </c>
      <c r="C12" s="53" t="n">
        <f aca="false">+IFERROR(C11/B11-1,"nm")</f>
        <v>0.0966217812426176</v>
      </c>
      <c r="D12" s="53" t="n">
        <f aca="false">+IFERROR(D11/C11-1,"nm")</f>
        <v>0.0652735889702714</v>
      </c>
      <c r="E12" s="53" t="n">
        <f aca="false">+IFERROR(E11/D11-1,"nm")</f>
        <v>-0.114459049544995</v>
      </c>
      <c r="F12" s="53" t="n">
        <f aca="false">+IFERROR(F11/E11-1,"nm")</f>
        <v>0.107558803379767</v>
      </c>
      <c r="G12" s="53" t="n">
        <f aca="false">+IFERROR(G11/F11-1,"nm")</f>
        <v>-0.38639175257732</v>
      </c>
      <c r="H12" s="53" t="n">
        <f aca="false">+IFERROR(H11/G11-1,"nm")</f>
        <v>1.32627688172043</v>
      </c>
      <c r="I12" s="53" t="n">
        <f aca="false">+IFERROR(I11/H11-1,"nm")</f>
        <v>-0.00967788530983682</v>
      </c>
      <c r="J12" s="53" t="n">
        <f aca="false">+IFERROR(J11/I11-1,"nm")</f>
        <v>-0.00967788530983682</v>
      </c>
      <c r="K12" s="53" t="n">
        <f aca="false">+IFERROR(K11/J11-1,"nm")</f>
        <v>-0.00967788530983682</v>
      </c>
      <c r="L12" s="53" t="n">
        <f aca="false">+IFERROR(L11/K11-1,"nm")</f>
        <v>-0.00967788530983682</v>
      </c>
      <c r="M12" s="53" t="n">
        <f aca="false">+IFERROR(M11/L11-1,"nm")</f>
        <v>-0.00967788530983682</v>
      </c>
      <c r="N12" s="53" t="n">
        <f aca="false">+IFERROR(N11/M11-1,"nm")</f>
        <v>-0.00967788530983682</v>
      </c>
    </row>
    <row r="13" customFormat="false" ht="14.25" hidden="false" customHeight="false" outlineLevel="0" collapsed="false">
      <c r="A13" s="52" t="s">
        <v>147</v>
      </c>
      <c r="B13" s="53" t="n">
        <f aca="false">+IFERROR(B11/B$3,"nm")</f>
        <v>0.138328812783896</v>
      </c>
      <c r="C13" s="53" t="n">
        <f aca="false">+IFERROR(C11/C$3,"nm")</f>
        <v>0.143377810723993</v>
      </c>
      <c r="D13" s="53" t="n">
        <f aca="false">+IFERROR(D11/D$3,"nm")</f>
        <v>0.143959243085881</v>
      </c>
      <c r="E13" s="53" t="n">
        <f aca="false">+IFERROR(E11/E$3,"nm")</f>
        <v>0.120312113635739</v>
      </c>
      <c r="F13" s="53" t="n">
        <f aca="false">+IFERROR(F11/F$3,"nm")</f>
        <v>0.123987013319017</v>
      </c>
      <c r="G13" s="53" t="n">
        <f aca="false">+IFERROR(G11/G$3,"nm")</f>
        <v>0.079565810229126</v>
      </c>
      <c r="H13" s="53" t="n">
        <f aca="false">+IFERROR(H11/H$3,"nm")</f>
        <v>0.155440298172347</v>
      </c>
      <c r="I13" s="53" t="n">
        <f aca="false">+IFERROR(I11/I$3,"nm")</f>
        <v>0.146777991864697</v>
      </c>
      <c r="J13" s="53" t="n">
        <f aca="false">+IFERROR(J11/J$3,"nm")</f>
        <v>0.138598414626984</v>
      </c>
      <c r="K13" s="53" t="n">
        <f aca="false">+IFERROR(K11/K$3,"nm")</f>
        <v>0.130874665152942</v>
      </c>
      <c r="L13" s="53" t="n">
        <f aca="false">+IFERROR(L11/L$3,"nm")</f>
        <v>0.123581341280075</v>
      </c>
      <c r="M13" s="53" t="n">
        <f aca="false">+IFERROR(M11/M$3,"nm")</f>
        <v>0.116694456446058</v>
      </c>
      <c r="N13" s="53" t="n">
        <f aca="false">+IFERROR(N11/N$3,"nm")</f>
        <v>0.110191360800811</v>
      </c>
    </row>
    <row r="14" customFormat="false" ht="13.8" hidden="false" customHeight="false" outlineLevel="0" collapsed="false">
      <c r="A14" s="15" t="s">
        <v>153</v>
      </c>
      <c r="B14" s="54" t="n">
        <f aca="false">B45+B76+B108+B139+B170+B189+B207</f>
        <v>1003</v>
      </c>
      <c r="C14" s="54" t="n">
        <f aca="false">C45+C76+C108+C139+C170+C189+C207</f>
        <v>1193</v>
      </c>
      <c r="D14" s="54" t="n">
        <f aca="false">D45+D76+D108+D139+D170+D189+D207</f>
        <v>1201</v>
      </c>
      <c r="E14" s="54" t="n">
        <f aca="false">E45+E76+E108+E139+E170+E189+E207</f>
        <v>1194</v>
      </c>
      <c r="F14" s="54" t="n">
        <f aca="false">F45+F76+F108+F139+F170+F189+F207</f>
        <v>1075</v>
      </c>
      <c r="G14" s="54" t="n">
        <f aca="false">G45+G76+G108+G139+G170+G189+G207</f>
        <v>1124</v>
      </c>
      <c r="H14" s="54" t="n">
        <f aca="false">H45+H76+H108+H139+H170+H189+H207</f>
        <v>791</v>
      </c>
      <c r="I14" s="54" t="n">
        <f aca="false">I45+I76+I108+I139+I170+I189+I207</f>
        <v>811</v>
      </c>
      <c r="J14" s="55" t="n">
        <f aca="false">+I14*(1+I15)</f>
        <v>831.505689001264</v>
      </c>
      <c r="K14" s="55" t="n">
        <f aca="false">+J14*(1+J15)</f>
        <v>852.529853072093</v>
      </c>
      <c r="L14" s="55" t="n">
        <f aca="false">+K14*(1+K15)</f>
        <v>874.085601569491</v>
      </c>
      <c r="M14" s="55" t="n">
        <f aca="false">+L14*(1+L15)</f>
        <v>896.186375313347</v>
      </c>
      <c r="N14" s="55" t="n">
        <f aca="false">+M14*(1+M15)</f>
        <v>918.845954967287</v>
      </c>
      <c r="O14" s="0" t="s">
        <v>154</v>
      </c>
    </row>
    <row r="15" customFormat="false" ht="14.25" hidden="false" customHeight="false" outlineLevel="0" collapsed="false">
      <c r="A15" s="52" t="s">
        <v>144</v>
      </c>
      <c r="B15" s="53" t="str">
        <f aca="false">+IFERROR(B14/A14-1,"nm")</f>
        <v>nm</v>
      </c>
      <c r="C15" s="53" t="n">
        <f aca="false">+IFERROR(C14/B14-1,"nm")</f>
        <v>0.189431704885344</v>
      </c>
      <c r="D15" s="53" t="n">
        <f aca="false">+IFERROR(D14/C14-1,"nm")</f>
        <v>0.00670578373847452</v>
      </c>
      <c r="E15" s="53" t="n">
        <f aca="false">+IFERROR(E14/D14-1,"nm")</f>
        <v>-0.00582847626977523</v>
      </c>
      <c r="F15" s="53" t="n">
        <f aca="false">+IFERROR(F14/E14-1,"nm")</f>
        <v>-0.0996649916247906</v>
      </c>
      <c r="G15" s="53" t="n">
        <f aca="false">+IFERROR(G14/F14-1,"nm")</f>
        <v>0.0455813953488373</v>
      </c>
      <c r="H15" s="53" t="n">
        <f aca="false">+IFERROR(H14/G14-1,"nm")</f>
        <v>-0.296263345195729</v>
      </c>
      <c r="I15" s="53" t="n">
        <f aca="false">+IFERROR(I14/H14-1,"nm")</f>
        <v>0.0252844500632112</v>
      </c>
      <c r="J15" s="53" t="n">
        <f aca="false">+IFERROR(J14/I14-1,"nm")</f>
        <v>0.0252844500632112</v>
      </c>
      <c r="K15" s="53" t="n">
        <f aca="false">+IFERROR(K14/J14-1,"nm")</f>
        <v>0.0252844500632112</v>
      </c>
      <c r="L15" s="53" t="n">
        <f aca="false">+IFERROR(L14/K14-1,"nm")</f>
        <v>0.0252844500632112</v>
      </c>
      <c r="M15" s="53" t="n">
        <f aca="false">+IFERROR(M14/L14-1,"nm")</f>
        <v>0.0252844500632112</v>
      </c>
      <c r="N15" s="53" t="n">
        <f aca="false">+IFERROR(N14/M14-1,"nm")</f>
        <v>0.0252844500632112</v>
      </c>
    </row>
    <row r="16" customFormat="false" ht="14.25" hidden="false" customHeight="false" outlineLevel="0" collapsed="false">
      <c r="A16" s="52" t="s">
        <v>150</v>
      </c>
      <c r="B16" s="53" t="n">
        <f aca="false">+IFERROR(B14/B$3,"nm")</f>
        <v>0.0327767066435737</v>
      </c>
      <c r="C16" s="53" t="n">
        <f aca="false">+IFERROR(C14/C$3,"nm")</f>
        <v>0.0368482826785273</v>
      </c>
      <c r="D16" s="53" t="n">
        <f aca="false">+IFERROR(D14/D$3,"nm")</f>
        <v>0.0349636098981077</v>
      </c>
      <c r="E16" s="53" t="n">
        <f aca="false">+IFERROR(E14/E$3,"nm")</f>
        <v>0.0328049015028711</v>
      </c>
      <c r="F16" s="53" t="n">
        <f aca="false">+IFERROR(F14/F$3,"nm")</f>
        <v>0.0274816575913286</v>
      </c>
      <c r="G16" s="53" t="n">
        <f aca="false">+IFERROR(G14/G$3,"nm")</f>
        <v>0.0300510654225597</v>
      </c>
      <c r="H16" s="53" t="n">
        <f aca="false">+IFERROR(H14/H$3,"nm")</f>
        <v>0.0177601149580134</v>
      </c>
      <c r="I16" s="53" t="n">
        <f aca="false">+IFERROR(I14/I$3,"nm")</f>
        <v>0.0173624491543567</v>
      </c>
      <c r="J16" s="53" t="n">
        <f aca="false">+IFERROR(J14/J$3,"nm")</f>
        <v>0.0169736874648778</v>
      </c>
      <c r="K16" s="53" t="n">
        <f aca="false">+IFERROR(K14/K$3,"nm")</f>
        <v>0.0165936305180227</v>
      </c>
      <c r="L16" s="53" t="n">
        <f aca="false">+IFERROR(L14/L$3,"nm")</f>
        <v>0.0162220834063552</v>
      </c>
      <c r="M16" s="53" t="n">
        <f aca="false">+IFERROR(M14/M$3,"nm")</f>
        <v>0.0158588555866015</v>
      </c>
      <c r="N16" s="53" t="n">
        <f aca="false">+IFERROR(N14/N$3,"nm")</f>
        <v>0.0155037607819321</v>
      </c>
      <c r="U16" s="56" t="n">
        <f aca="false">J48/J21</f>
        <v>0.0348171960987305</v>
      </c>
    </row>
    <row r="17" customFormat="false" ht="13.8" hidden="false" customHeight="false" outlineLevel="0" collapsed="false">
      <c r="A17" s="15" t="s">
        <v>155</v>
      </c>
      <c r="B17" s="54" t="n">
        <f aca="false">B48+B79+B111+B142+B173+B192+B210</f>
        <v>3011</v>
      </c>
      <c r="C17" s="54" t="n">
        <f aca="false">C48+C79+C111+C142+C173+C192+C210</f>
        <v>3520</v>
      </c>
      <c r="D17" s="54" t="n">
        <f aca="false">D48+D79+D111+D142+D173+D192+D210</f>
        <v>3989</v>
      </c>
      <c r="E17" s="54" t="n">
        <f aca="false">E48+E79+E111+E142+E173+E192+E210</f>
        <v>4454</v>
      </c>
      <c r="F17" s="54" t="n">
        <f aca="false">F48+F79+F111+F142+F173+F192+F210</f>
        <v>4744</v>
      </c>
      <c r="G17" s="54" t="n">
        <f aca="false">G48+G79+G111+G142+G173+G192+G210</f>
        <v>4866</v>
      </c>
      <c r="H17" s="54" t="n">
        <f aca="false">H48+H79+H111+H142+H173+H192+H210</f>
        <v>4904</v>
      </c>
      <c r="I17" s="54" t="n">
        <f aca="false">I48+I79+I111+I142+I173+I192+I210</f>
        <v>4791</v>
      </c>
      <c r="J17" s="55" t="n">
        <f aca="false">+I17*(1+I18)</f>
        <v>4680.60379282219</v>
      </c>
      <c r="K17" s="55" t="n">
        <f aca="false">+J17*(1+J18)</f>
        <v>4572.75138079345</v>
      </c>
      <c r="L17" s="55" t="n">
        <f aca="false">+K17*(1+K18)</f>
        <v>4467.38414873194</v>
      </c>
      <c r="M17" s="55" t="n">
        <f aca="false">+L17*(1+L18)</f>
        <v>4364.44483209109</v>
      </c>
      <c r="N17" s="55" t="n">
        <f aca="false">+M17*(1+M18)</f>
        <v>4263.87748583777</v>
      </c>
      <c r="O17" s="0" t="s">
        <v>156</v>
      </c>
    </row>
    <row r="18" customFormat="false" ht="14.25" hidden="false" customHeight="false" outlineLevel="0" collapsed="false">
      <c r="A18" s="52" t="s">
        <v>144</v>
      </c>
      <c r="B18" s="53" t="str">
        <f aca="false">+IFERROR(B17/A17-1,"nm")</f>
        <v>nm</v>
      </c>
      <c r="C18" s="53" t="n">
        <f aca="false">+IFERROR(C17/B17-1,"nm")</f>
        <v>0.169046828296247</v>
      </c>
      <c r="D18" s="53" t="n">
        <f aca="false">+IFERROR(D17/C17-1,"nm")</f>
        <v>0.133238636363636</v>
      </c>
      <c r="E18" s="53" t="n">
        <f aca="false">+IFERROR(E17/D17-1,"nm")</f>
        <v>0.116570569064929</v>
      </c>
      <c r="F18" s="53" t="n">
        <f aca="false">+IFERROR(F17/E17-1,"nm")</f>
        <v>0.0651100134710372</v>
      </c>
      <c r="G18" s="53" t="n">
        <f aca="false">+IFERROR(G17/F17-1,"nm")</f>
        <v>0.0257166947723439</v>
      </c>
      <c r="H18" s="53" t="n">
        <f aca="false">+IFERROR(H17/G17-1,"nm")</f>
        <v>0.00780928894369093</v>
      </c>
      <c r="I18" s="53" t="n">
        <f aca="false">+IFERROR(I17/H17-1,"nm")</f>
        <v>-0.023042414355628</v>
      </c>
      <c r="J18" s="53" t="n">
        <f aca="false">+IFERROR(J17/I17-1,"nm")</f>
        <v>-0.023042414355628</v>
      </c>
      <c r="K18" s="53" t="n">
        <f aca="false">+IFERROR(K17/J17-1,"nm")</f>
        <v>-0.023042414355628</v>
      </c>
      <c r="L18" s="53" t="n">
        <f aca="false">+IFERROR(L17/K17-1,"nm")</f>
        <v>-0.0230424143556281</v>
      </c>
      <c r="M18" s="53" t="n">
        <f aca="false">+IFERROR(M17/L17-1,"nm")</f>
        <v>-0.0230424143556281</v>
      </c>
      <c r="N18" s="53" t="n">
        <f aca="false">+IFERROR(N17/M17-1,"nm")</f>
        <v>-0.0230424143556283</v>
      </c>
    </row>
    <row r="19" customFormat="false" ht="14.25" hidden="false" customHeight="false" outlineLevel="0" collapsed="false">
      <c r="A19" s="52" t="s">
        <v>150</v>
      </c>
      <c r="B19" s="53" t="n">
        <f aca="false">+IFERROR(B17/B$3,"nm")</f>
        <v>0.0983954772719846</v>
      </c>
      <c r="C19" s="53" t="n">
        <f aca="false">+IFERROR(C17/C$3,"nm")</f>
        <v>0.108722510501606</v>
      </c>
      <c r="D19" s="53" t="n">
        <f aca="false">+IFERROR(D17/D$3,"nm")</f>
        <v>0.116128093158661</v>
      </c>
      <c r="E19" s="53" t="n">
        <f aca="false">+IFERROR(E17/E$3,"nm")</f>
        <v>0.122372723026623</v>
      </c>
      <c r="F19" s="53" t="n">
        <f aca="false">+IFERROR(F17/F$3,"nm")</f>
        <v>0.121277194058849</v>
      </c>
      <c r="G19" s="53" t="n">
        <f aca="false">+IFERROR(G17/G$3,"nm")</f>
        <v>0.13009651632222</v>
      </c>
      <c r="H19" s="53" t="n">
        <f aca="false">+IFERROR(H17/H$3,"nm")</f>
        <v>0.110108222192285</v>
      </c>
      <c r="I19" s="53" t="n">
        <f aca="false">+IFERROR(I17/I$3,"nm")</f>
        <v>0.102569043031471</v>
      </c>
      <c r="J19" s="53" t="n">
        <f aca="false">+IFERROR(J17/J$3,"nm")</f>
        <v>0.0955460762050958</v>
      </c>
      <c r="K19" s="53" t="n">
        <f aca="false">+IFERROR(K17/K$3,"nm")</f>
        <v>0.0890039763302554</v>
      </c>
      <c r="L19" s="53" t="n">
        <f aca="false">+IFERROR(L17/L$3,"nm")</f>
        <v>0.0829098181446217</v>
      </c>
      <c r="M19" s="53" t="n">
        <f aca="false">+IFERROR(M17/M$3,"nm")</f>
        <v>0.0772329307992674</v>
      </c>
      <c r="N19" s="53" t="n">
        <f aca="false">+IFERROR(N17/N$3,"nm")</f>
        <v>0.0719447434975632</v>
      </c>
    </row>
    <row r="20" customFormat="false" ht="14.25" hidden="false" customHeight="false" outlineLevel="0" collapsed="false">
      <c r="A20" s="57" t="str">
        <f aca="false">+Historicals!A107</f>
        <v>North America</v>
      </c>
      <c r="B20" s="57"/>
      <c r="C20" s="57"/>
      <c r="D20" s="57"/>
      <c r="E20" s="57"/>
      <c r="F20" s="57"/>
      <c r="G20" s="57"/>
      <c r="H20" s="57"/>
      <c r="I20" s="57"/>
      <c r="J20" s="48"/>
      <c r="K20" s="48"/>
      <c r="L20" s="48"/>
      <c r="M20" s="48"/>
      <c r="N20" s="48"/>
    </row>
    <row r="21" customFormat="false" ht="14.25" hidden="false" customHeight="false" outlineLevel="0" collapsed="false">
      <c r="A21" s="15" t="s">
        <v>157</v>
      </c>
      <c r="B21" s="15" t="n">
        <f aca="false">+Historicals!B107</f>
        <v>13740</v>
      </c>
      <c r="C21" s="15" t="n">
        <f aca="false">+Historicals!C107</f>
        <v>14764</v>
      </c>
      <c r="D21" s="15" t="n">
        <f aca="false">+Historicals!D107</f>
        <v>15216</v>
      </c>
      <c r="E21" s="15" t="n">
        <f aca="false">+Historicals!E107</f>
        <v>14855</v>
      </c>
      <c r="F21" s="15" t="n">
        <f aca="false">+Historicals!F107</f>
        <v>15902</v>
      </c>
      <c r="G21" s="15" t="n">
        <f aca="false">+Historicals!G107</f>
        <v>14484</v>
      </c>
      <c r="H21" s="15" t="n">
        <f aca="false">+Historicals!H107</f>
        <v>17179</v>
      </c>
      <c r="I21" s="15" t="n">
        <f aca="false">+Historicals!I107</f>
        <v>18353</v>
      </c>
      <c r="J21" s="15" t="n">
        <f aca="false">+I21*(1.05)</f>
        <v>19270.65</v>
      </c>
      <c r="K21" s="15" t="n">
        <f aca="false">+J21*(1.05)</f>
        <v>20234.1825</v>
      </c>
      <c r="L21" s="15" t="n">
        <f aca="false">+K21*(1.05)</f>
        <v>21245.891625</v>
      </c>
      <c r="M21" s="15" t="n">
        <f aca="false">+L21*(1.05)</f>
        <v>22308.18620625</v>
      </c>
      <c r="N21" s="15" t="n">
        <f aca="false">+M21*(1.05)</f>
        <v>23423.5955165625</v>
      </c>
    </row>
    <row r="22" customFormat="false" ht="14.25" hidden="false" customHeight="false" outlineLevel="0" collapsed="false">
      <c r="A22" s="58" t="s">
        <v>144</v>
      </c>
      <c r="B22" s="53" t="str">
        <f aca="false">+IFERROR(B21/A21-1,"nm")</f>
        <v>nm</v>
      </c>
      <c r="C22" s="53" t="n">
        <f aca="false">+IFERROR(C21/B21-1,"nm")</f>
        <v>0.0745269286754002</v>
      </c>
      <c r="D22" s="53" t="n">
        <f aca="false">+IFERROR(D21/C21-1,"nm")</f>
        <v>0.030615009482525</v>
      </c>
      <c r="E22" s="53" t="n">
        <f aca="false">+IFERROR(E21/D21-1,"nm")</f>
        <v>-0.0237250262881178</v>
      </c>
      <c r="F22" s="53" t="n">
        <f aca="false">+IFERROR(F21/E21-1,"nm")</f>
        <v>0.0704813194210703</v>
      </c>
      <c r="G22" s="53" t="n">
        <f aca="false">+IFERROR(G21/F21-1,"nm")</f>
        <v>-0.0891711734373035</v>
      </c>
      <c r="H22" s="53" t="n">
        <f aca="false">+IFERROR(H21/G21-1,"nm")</f>
        <v>0.186067384700359</v>
      </c>
      <c r="I22" s="53" t="n">
        <f aca="false">+IFERROR(I21/H21-1,"nm")</f>
        <v>0.0683392514116072</v>
      </c>
      <c r="J22" s="53" t="n">
        <f aca="false">+IFERROR(J21/I21-1,"nm")</f>
        <v>0.05</v>
      </c>
      <c r="K22" s="53" t="n">
        <f aca="false">+IFERROR(K21/J21-1,"nm")</f>
        <v>0.05</v>
      </c>
      <c r="L22" s="53" t="n">
        <f aca="false">+IFERROR(L21/K21-1,"nm")</f>
        <v>0.05</v>
      </c>
      <c r="M22" s="53" t="n">
        <f aca="false">+IFERROR(M21/L21-1,"nm")</f>
        <v>0.05</v>
      </c>
      <c r="N22" s="53" t="n">
        <f aca="false">+IFERROR(N21/M21-1,"nm")</f>
        <v>0.05</v>
      </c>
    </row>
    <row r="23" customFormat="false" ht="14.25" hidden="false" customHeight="false" outlineLevel="0" collapsed="false">
      <c r="A23" s="59" t="s">
        <v>116</v>
      </c>
      <c r="B23" s="9" t="n">
        <f aca="false">+Historicals!B108</f>
        <v>8506</v>
      </c>
      <c r="C23" s="9" t="n">
        <f aca="false">+Historicals!C108</f>
        <v>9299</v>
      </c>
      <c r="D23" s="9" t="n">
        <f aca="false">+Historicals!D108</f>
        <v>9684</v>
      </c>
      <c r="E23" s="9" t="n">
        <f aca="false">+Historicals!E108</f>
        <v>9322</v>
      </c>
      <c r="F23" s="9" t="n">
        <f aca="false">+Historicals!F108</f>
        <v>10045</v>
      </c>
      <c r="G23" s="9" t="n">
        <f aca="false">+Historicals!G108</f>
        <v>9329</v>
      </c>
      <c r="H23" s="9" t="n">
        <f aca="false">+Historicals!H108</f>
        <v>11644</v>
      </c>
      <c r="I23" s="9" t="n">
        <f aca="false">+Historicals!I108</f>
        <v>12228</v>
      </c>
      <c r="J23" s="9" t="n">
        <f aca="false">+I23*(1+I24)</f>
        <v>12841.2902782549</v>
      </c>
      <c r="K23" s="9" t="n">
        <f aca="false">+J23*(1+J24)</f>
        <v>14510.658014428</v>
      </c>
      <c r="L23" s="9" t="n">
        <f aca="false">+K23*(1+K24)</f>
        <v>16397.0435563037</v>
      </c>
      <c r="M23" s="9" t="n">
        <f aca="false">+L23*(1+L24)</f>
        <v>18528.6592186231</v>
      </c>
      <c r="N23" s="9" t="n">
        <f aca="false">+M23*(1+M24)</f>
        <v>20937.3849170442</v>
      </c>
    </row>
    <row r="24" customFormat="false" ht="14.25" hidden="false" customHeight="false" outlineLevel="0" collapsed="false">
      <c r="A24" s="58" t="s">
        <v>144</v>
      </c>
      <c r="B24" s="53" t="str">
        <f aca="false">+IFERROR(B23/A23-1,"nm")</f>
        <v>nm</v>
      </c>
      <c r="C24" s="53" t="n">
        <f aca="false">+IFERROR(C23/B23-1,"nm")</f>
        <v>0.0932283094286386</v>
      </c>
      <c r="D24" s="53" t="n">
        <f aca="false">+IFERROR(D23/C23-1,"nm")</f>
        <v>0.0414023013227229</v>
      </c>
      <c r="E24" s="53" t="n">
        <f aca="false">+IFERROR(E23/D23-1,"nm")</f>
        <v>-0.0373812474184222</v>
      </c>
      <c r="F24" s="53" t="n">
        <f aca="false">+IFERROR(F23/E23-1,"nm")</f>
        <v>0.0775584638489595</v>
      </c>
      <c r="G24" s="53" t="n">
        <f aca="false">+IFERROR(G23/F23-1,"nm")</f>
        <v>-0.071279243404679</v>
      </c>
      <c r="H24" s="53" t="n">
        <f aca="false">+IFERROR(H23/G23-1,"nm")</f>
        <v>0.248150927216207</v>
      </c>
      <c r="I24" s="53" t="n">
        <f aca="false">+IFERROR(I23/H23-1,"nm")</f>
        <v>0.0501545860529027</v>
      </c>
      <c r="J24" s="53" t="n">
        <f aca="false">+J25+J26</f>
        <v>0.13</v>
      </c>
      <c r="K24" s="53" t="n">
        <f aca="false">+K25+K26</f>
        <v>0.13</v>
      </c>
      <c r="L24" s="53" t="n">
        <f aca="false">+L25+L26</f>
        <v>0.13</v>
      </c>
      <c r="M24" s="53" t="n">
        <f aca="false">+M25+M26</f>
        <v>0.13</v>
      </c>
      <c r="N24" s="53" t="n">
        <f aca="false">+N25+N26</f>
        <v>0.13</v>
      </c>
    </row>
    <row r="25" customFormat="false" ht="13.8" hidden="false" customHeight="false" outlineLevel="0" collapsed="false">
      <c r="A25" s="58" t="s">
        <v>158</v>
      </c>
      <c r="B25" s="53" t="n">
        <f aca="false">+Historicals!B180</f>
        <v>0.134889926617745</v>
      </c>
      <c r="C25" s="53" t="n">
        <f aca="false">+Historicals!C180</f>
        <v>0.0932283094286386</v>
      </c>
      <c r="D25" s="53" t="n">
        <f aca="false">+Historicals!D180</f>
        <v>0.0414023013227229</v>
      </c>
      <c r="E25" s="53" t="n">
        <f aca="false">+Historicals!E180</f>
        <v>-0.0373812474184221</v>
      </c>
      <c r="F25" s="53" t="n">
        <f aca="false">+Historicals!F180</f>
        <v>0.0775584638489595</v>
      </c>
      <c r="G25" s="53" t="n">
        <f aca="false">+Historicals!G180</f>
        <v>-0.071279243404679</v>
      </c>
      <c r="H25" s="53" t="n">
        <f aca="false">+Historicals!H180</f>
        <v>0.248150927216207</v>
      </c>
      <c r="I25" s="53" t="n">
        <f aca="false">+Historicals!I180</f>
        <v>0.0501545860529028</v>
      </c>
      <c r="J25" s="60" t="n">
        <v>0.13</v>
      </c>
      <c r="K25" s="60" t="n">
        <f aca="false">+J25</f>
        <v>0.13</v>
      </c>
      <c r="L25" s="60" t="n">
        <f aca="false">+K25</f>
        <v>0.13</v>
      </c>
      <c r="M25" s="60" t="n">
        <f aca="false">+L25</f>
        <v>0.13</v>
      </c>
      <c r="N25" s="60" t="n">
        <f aca="false">+M25</f>
        <v>0.13</v>
      </c>
      <c r="O25" s="61" t="s">
        <v>159</v>
      </c>
    </row>
    <row r="26" customFormat="false" ht="14.25" hidden="false" customHeight="false" outlineLevel="0" collapsed="false">
      <c r="A26" s="58" t="s">
        <v>160</v>
      </c>
      <c r="B26" s="53" t="str">
        <f aca="false">+IFERROR(B24-B25,"nm")</f>
        <v>nm</v>
      </c>
      <c r="C26" s="53" t="n">
        <f aca="false">+IFERROR(C24-C25,"nm")</f>
        <v>0</v>
      </c>
      <c r="D26" s="53" t="n">
        <f aca="false">+IFERROR(D24-D25,"nm")</f>
        <v>0</v>
      </c>
      <c r="E26" s="53" t="n">
        <f aca="false">+IFERROR(E24-E25,"nm")</f>
        <v>0</v>
      </c>
      <c r="F26" s="53" t="n">
        <f aca="false">+IFERROR(F24-F25,"nm")</f>
        <v>0</v>
      </c>
      <c r="G26" s="53" t="n">
        <f aca="false">+IFERROR(G24-G25,"nm")</f>
        <v>0</v>
      </c>
      <c r="H26" s="53" t="n">
        <f aca="false">+IFERROR(H24-H25,"nm")</f>
        <v>0</v>
      </c>
      <c r="I26" s="53" t="n">
        <f aca="false">+IFERROR(I24-I25,"nm")</f>
        <v>0</v>
      </c>
      <c r="J26" s="60" t="n">
        <v>0</v>
      </c>
      <c r="K26" s="60" t="n">
        <f aca="false">+J26</f>
        <v>0</v>
      </c>
      <c r="L26" s="60" t="n">
        <f aca="false">+K26</f>
        <v>0</v>
      </c>
      <c r="M26" s="60" t="n">
        <f aca="false">+L26</f>
        <v>0</v>
      </c>
      <c r="N26" s="60" t="n">
        <f aca="false">+M26</f>
        <v>0</v>
      </c>
    </row>
    <row r="27" customFormat="false" ht="14.25" hidden="false" customHeight="false" outlineLevel="0" collapsed="false">
      <c r="A27" s="59" t="s">
        <v>117</v>
      </c>
      <c r="B27" s="9" t="n">
        <f aca="false">+Historicals!B109</f>
        <v>4410</v>
      </c>
      <c r="C27" s="9" t="n">
        <f aca="false">+Historicals!C109</f>
        <v>4746</v>
      </c>
      <c r="D27" s="9" t="n">
        <f aca="false">+Historicals!D109</f>
        <v>4886</v>
      </c>
      <c r="E27" s="9" t="n">
        <f aca="false">+Historicals!E109</f>
        <v>4938</v>
      </c>
      <c r="F27" s="9" t="n">
        <f aca="false">+Historicals!F109</f>
        <v>5260</v>
      </c>
      <c r="G27" s="9" t="n">
        <f aca="false">+Historicals!G109</f>
        <v>4639</v>
      </c>
      <c r="H27" s="9" t="n">
        <f aca="false">+Historicals!H109</f>
        <v>5028</v>
      </c>
      <c r="I27" s="9" t="n">
        <f aca="false">+Historicals!I109</f>
        <v>5492</v>
      </c>
      <c r="J27" s="62" t="n">
        <f aca="false">+I27*(1+J28)</f>
        <v>5492</v>
      </c>
      <c r="K27" s="9" t="n">
        <f aca="false">+J27*(1+K28)</f>
        <v>5492</v>
      </c>
      <c r="L27" s="9" t="n">
        <f aca="false">+K27*(1+L28)</f>
        <v>5492</v>
      </c>
      <c r="M27" s="9" t="n">
        <f aca="false">+L27*(1+M28)</f>
        <v>5492</v>
      </c>
      <c r="N27" s="9" t="n">
        <f aca="false">+M27*(1+N28)</f>
        <v>5492</v>
      </c>
    </row>
    <row r="28" customFormat="false" ht="14.25" hidden="false" customHeight="false" outlineLevel="0" collapsed="false">
      <c r="A28" s="58" t="s">
        <v>144</v>
      </c>
      <c r="B28" s="53" t="str">
        <f aca="false">+IFERROR(B27/A27-1,"nm")</f>
        <v>nm</v>
      </c>
      <c r="C28" s="53" t="n">
        <f aca="false">+IFERROR(C27/B27-1,"nm")</f>
        <v>0.0761904761904761</v>
      </c>
      <c r="D28" s="53" t="n">
        <f aca="false">+IFERROR(D27/C27-1,"nm")</f>
        <v>0.0294985250737463</v>
      </c>
      <c r="E28" s="53" t="n">
        <f aca="false">+IFERROR(E27/D27-1,"nm")</f>
        <v>0.0106426524764633</v>
      </c>
      <c r="F28" s="53" t="n">
        <f aca="false">+IFERROR(F27/E27-1,"nm")</f>
        <v>0.065208586472256</v>
      </c>
      <c r="G28" s="53" t="n">
        <f aca="false">+IFERROR(G27/F27-1,"nm")</f>
        <v>-0.118060836501901</v>
      </c>
      <c r="H28" s="53" t="n">
        <f aca="false">+IFERROR(H27/G27-1,"nm")</f>
        <v>0.0838542789394265</v>
      </c>
      <c r="I28" s="53" t="n">
        <f aca="false">+IFERROR(I27/H27-1,"nm")</f>
        <v>0.092283214001591</v>
      </c>
      <c r="J28" s="53" t="n">
        <f aca="false">+J29+J30</f>
        <v>0</v>
      </c>
      <c r="K28" s="53" t="n">
        <f aca="false">+K29+K30</f>
        <v>0</v>
      </c>
      <c r="L28" s="53" t="n">
        <f aca="false">+L29+L30</f>
        <v>0</v>
      </c>
      <c r="M28" s="53" t="n">
        <f aca="false">+M29+M30</f>
        <v>0</v>
      </c>
      <c r="N28" s="53" t="n">
        <f aca="false">+N29+N30</f>
        <v>0</v>
      </c>
    </row>
    <row r="29" customFormat="false" ht="14.25" hidden="false" customHeight="false" outlineLevel="0" collapsed="false">
      <c r="A29" s="58" t="s">
        <v>158</v>
      </c>
      <c r="B29" s="53" t="n">
        <f aca="false">+Historicals!B184</f>
        <v>0.15780403741999</v>
      </c>
      <c r="C29" s="53" t="n">
        <f aca="false">+Historicals!C184</f>
        <v>0.0722942802466511</v>
      </c>
      <c r="D29" s="53" t="n">
        <f aca="false">+Historicals!D184</f>
        <v>0.0295459052151497</v>
      </c>
      <c r="E29" s="53" t="n">
        <f aca="false">+Historicals!E184</f>
        <v>0.131548536209553</v>
      </c>
      <c r="F29" s="53" t="n">
        <f aca="false">+Historicals!F184</f>
        <v>0.0711489361702128</v>
      </c>
      <c r="G29" s="53" t="n">
        <f aca="false">+Historicals!G184</f>
        <v>-0.0637215954234864</v>
      </c>
      <c r="H29" s="53" t="n">
        <f aca="false">+Historicals!H184</f>
        <v>0.18295994568907</v>
      </c>
      <c r="I29" s="53" t="n">
        <f aca="false">+Historicals!I184</f>
        <v>0.0599713055954089</v>
      </c>
      <c r="J29" s="60" t="n">
        <v>0</v>
      </c>
      <c r="K29" s="60" t="n">
        <f aca="false">+J29</f>
        <v>0</v>
      </c>
      <c r="L29" s="60" t="n">
        <f aca="false">+K29</f>
        <v>0</v>
      </c>
      <c r="M29" s="60" t="n">
        <f aca="false">+L29</f>
        <v>0</v>
      </c>
      <c r="N29" s="60" t="n">
        <f aca="false">+M29</f>
        <v>0</v>
      </c>
    </row>
    <row r="30" customFormat="false" ht="14.25" hidden="false" customHeight="false" outlineLevel="0" collapsed="false">
      <c r="A30" s="58" t="s">
        <v>160</v>
      </c>
      <c r="B30" s="53" t="str">
        <f aca="false">+IFERROR(B28-B29,"nm")</f>
        <v>nm</v>
      </c>
      <c r="C30" s="53" t="n">
        <f aca="false">+IFERROR(C28-C29,"nm")</f>
        <v>0.00389619594382506</v>
      </c>
      <c r="D30" s="53" t="n">
        <f aca="false">+IFERROR(D28-D29,"nm")</f>
        <v>-4.73801414034268E-005</v>
      </c>
      <c r="E30" s="53" t="n">
        <f aca="false">+IFERROR(E28-E29,"nm")</f>
        <v>-0.12090588373309</v>
      </c>
      <c r="F30" s="53" t="n">
        <f aca="false">+IFERROR(F28-F29,"nm")</f>
        <v>-0.00594034969795675</v>
      </c>
      <c r="G30" s="53" t="n">
        <f aca="false">+IFERROR(G28-G29,"nm")</f>
        <v>-0.0543392410784147</v>
      </c>
      <c r="H30" s="53" t="n">
        <f aca="false">+IFERROR(H28-H29,"nm")</f>
        <v>-0.0991056667496434</v>
      </c>
      <c r="I30" s="53" t="n">
        <f aca="false">+IFERROR(I28-I29,"nm")</f>
        <v>0.0323119084061821</v>
      </c>
      <c r="J30" s="60" t="n">
        <v>0</v>
      </c>
      <c r="K30" s="60" t="n">
        <f aca="false">+J30</f>
        <v>0</v>
      </c>
      <c r="L30" s="60" t="n">
        <f aca="false">+K30</f>
        <v>0</v>
      </c>
      <c r="M30" s="60" t="n">
        <f aca="false">+L30</f>
        <v>0</v>
      </c>
      <c r="N30" s="60" t="n">
        <f aca="false">+M30</f>
        <v>0</v>
      </c>
    </row>
    <row r="31" customFormat="false" ht="14.25" hidden="false" customHeight="false" outlineLevel="0" collapsed="false">
      <c r="A31" s="59" t="s">
        <v>118</v>
      </c>
      <c r="B31" s="9" t="n">
        <f aca="false">+Historicals!B110</f>
        <v>824</v>
      </c>
      <c r="C31" s="9" t="n">
        <f aca="false">+Historicals!C110</f>
        <v>719</v>
      </c>
      <c r="D31" s="9" t="n">
        <f aca="false">+Historicals!D110</f>
        <v>646</v>
      </c>
      <c r="E31" s="9" t="n">
        <f aca="false">+Historicals!E110</f>
        <v>595</v>
      </c>
      <c r="F31" s="9" t="n">
        <f aca="false">+Historicals!F110</f>
        <v>597</v>
      </c>
      <c r="G31" s="9" t="n">
        <f aca="false">+Historicals!G110</f>
        <v>516</v>
      </c>
      <c r="H31" s="9" t="n">
        <f aca="false">+Historicals!H110</f>
        <v>507</v>
      </c>
      <c r="I31" s="9" t="n">
        <f aca="false">+Historicals!I110</f>
        <v>633</v>
      </c>
      <c r="J31" s="9" t="n">
        <f aca="false">+I31*(1+J32)</f>
        <v>633</v>
      </c>
      <c r="K31" s="9" t="n">
        <f aca="false">+J31*(1+K32)</f>
        <v>633</v>
      </c>
      <c r="L31" s="9" t="n">
        <f aca="false">+K31*(1+L32)</f>
        <v>633</v>
      </c>
      <c r="M31" s="9" t="n">
        <f aca="false">+L31*(1+M32)</f>
        <v>633</v>
      </c>
      <c r="N31" s="9" t="n">
        <f aca="false">+M31*(1+N32)</f>
        <v>633</v>
      </c>
    </row>
    <row r="32" customFormat="false" ht="14.25" hidden="false" customHeight="false" outlineLevel="0" collapsed="false">
      <c r="A32" s="58" t="s">
        <v>144</v>
      </c>
      <c r="B32" s="53" t="str">
        <f aca="false">+IFERROR(B31/A31-1,"nm")</f>
        <v>nm</v>
      </c>
      <c r="C32" s="53" t="n">
        <f aca="false">+IFERROR(C31/B31-1,"nm")</f>
        <v>-0.127427184466019</v>
      </c>
      <c r="D32" s="53" t="n">
        <f aca="false">+IFERROR(D31/C31-1,"nm")</f>
        <v>-0.101529902642559</v>
      </c>
      <c r="E32" s="53" t="n">
        <f aca="false">+IFERROR(E31/D31-1,"nm")</f>
        <v>-0.0789473684210527</v>
      </c>
      <c r="F32" s="53" t="n">
        <f aca="false">+IFERROR(F31/E31-1,"nm")</f>
        <v>0.00336134453781511</v>
      </c>
      <c r="G32" s="53" t="n">
        <f aca="false">+IFERROR(G31/F31-1,"nm")</f>
        <v>-0.135678391959799</v>
      </c>
      <c r="H32" s="53" t="n">
        <f aca="false">+IFERROR(H31/G31-1,"nm")</f>
        <v>-0.0174418604651163</v>
      </c>
      <c r="I32" s="53" t="n">
        <f aca="false">+IFERROR(I31/H31-1,"nm")</f>
        <v>0.248520710059172</v>
      </c>
      <c r="J32" s="53" t="n">
        <f aca="false">+J33+J34</f>
        <v>0</v>
      </c>
      <c r="K32" s="53" t="n">
        <f aca="false">+K33+K34</f>
        <v>0</v>
      </c>
      <c r="L32" s="53" t="n">
        <f aca="false">+L33+L34</f>
        <v>0</v>
      </c>
      <c r="M32" s="53" t="n">
        <f aca="false">+M33+M34</f>
        <v>0</v>
      </c>
      <c r="N32" s="53" t="n">
        <f aca="false">+N33+N34</f>
        <v>0</v>
      </c>
    </row>
    <row r="33" customFormat="false" ht="13.8" hidden="false" customHeight="false" outlineLevel="0" collapsed="false">
      <c r="A33" s="58" t="s">
        <v>158</v>
      </c>
      <c r="B33" s="53" t="n">
        <f aca="false">+Historicals!B182</f>
        <v>-0.0495963091118801</v>
      </c>
      <c r="C33" s="53" t="n">
        <f aca="false">+Historicals!C182</f>
        <v>-0.127427184466019</v>
      </c>
      <c r="D33" s="53" t="n">
        <f aca="false">+Historicals!D182</f>
        <v>-0.101529902642559</v>
      </c>
      <c r="E33" s="53" t="n">
        <f aca="false">+Historicals!E182</f>
        <v>-0.0789473684210526</v>
      </c>
      <c r="F33" s="53" t="n">
        <f aca="false">+Historicals!F182</f>
        <v>0.00336134453781513</v>
      </c>
      <c r="G33" s="53" t="n">
        <f aca="false">+Historicals!G182</f>
        <v>-0.135678391959799</v>
      </c>
      <c r="H33" s="53" t="n">
        <f aca="false">+Historicals!H182</f>
        <v>-0.0174418604651163</v>
      </c>
      <c r="I33" s="53" t="n">
        <f aca="false">+Historicals!I182</f>
        <v>0.248520710059172</v>
      </c>
      <c r="J33" s="60" t="n">
        <v>0</v>
      </c>
      <c r="K33" s="60" t="n">
        <f aca="false">+J33</f>
        <v>0</v>
      </c>
      <c r="L33" s="60" t="n">
        <f aca="false">+K33</f>
        <v>0</v>
      </c>
      <c r="M33" s="60" t="n">
        <f aca="false">+L33</f>
        <v>0</v>
      </c>
      <c r="N33" s="60" t="n">
        <f aca="false">+M33</f>
        <v>0</v>
      </c>
      <c r="O33" s="61" t="s">
        <v>161</v>
      </c>
    </row>
    <row r="34" customFormat="false" ht="14.25" hidden="false" customHeight="false" outlineLevel="0" collapsed="false">
      <c r="A34" s="58" t="s">
        <v>160</v>
      </c>
      <c r="B34" s="53" t="str">
        <f aca="false">+IFERROR(B32-B33,"nm")</f>
        <v>nm</v>
      </c>
      <c r="C34" s="53" t="n">
        <f aca="false">+IFERROR(C32-C33,"nm")</f>
        <v>0</v>
      </c>
      <c r="D34" s="53" t="n">
        <f aca="false">+IFERROR(D32-D33,"nm")</f>
        <v>0</v>
      </c>
      <c r="E34" s="53" t="n">
        <f aca="false">+IFERROR(E32-E33,"nm")</f>
        <v>0</v>
      </c>
      <c r="F34" s="53" t="n">
        <f aca="false">+IFERROR(F32-F33,"nm")</f>
        <v>-1.21430643318377E-017</v>
      </c>
      <c r="G34" s="53" t="n">
        <f aca="false">+IFERROR(G32-G33,"nm")</f>
        <v>0</v>
      </c>
      <c r="H34" s="53" t="n">
        <f aca="false">+IFERROR(H32-H33,"nm")</f>
        <v>0</v>
      </c>
      <c r="I34" s="53" t="n">
        <f aca="false">+IFERROR(I32-I33,"nm")</f>
        <v>0</v>
      </c>
      <c r="J34" s="60" t="n">
        <v>0</v>
      </c>
      <c r="K34" s="60" t="n">
        <f aca="false">+J34</f>
        <v>0</v>
      </c>
      <c r="L34" s="60" t="n">
        <f aca="false">+K34</f>
        <v>0</v>
      </c>
      <c r="M34" s="60" t="n">
        <f aca="false">+L34</f>
        <v>0</v>
      </c>
      <c r="N34" s="60" t="n">
        <f aca="false">+M34</f>
        <v>0</v>
      </c>
    </row>
    <row r="35" customFormat="false" ht="14.25" hidden="false" customHeight="false" outlineLevel="0" collapsed="false">
      <c r="A35" s="15" t="s">
        <v>145</v>
      </c>
      <c r="B35" s="63" t="n">
        <f aca="false">+B42+B38</f>
        <v>3766</v>
      </c>
      <c r="C35" s="63" t="n">
        <f aca="false">+C42+C38</f>
        <v>3896</v>
      </c>
      <c r="D35" s="63" t="n">
        <f aca="false">+D42+D38</f>
        <v>4015</v>
      </c>
      <c r="E35" s="63" t="n">
        <f aca="false">+E42+E38</f>
        <v>3760</v>
      </c>
      <c r="F35" s="63" t="n">
        <f aca="false">+F42+F38</f>
        <v>4074</v>
      </c>
      <c r="G35" s="63" t="n">
        <f aca="false">+G42+G38</f>
        <v>3047</v>
      </c>
      <c r="H35" s="63" t="n">
        <f aca="false">+H42+H38</f>
        <v>5219</v>
      </c>
      <c r="I35" s="63" t="n">
        <f aca="false">+I42+I38</f>
        <v>5238</v>
      </c>
      <c r="J35" s="63" t="n">
        <f aca="false">+J21*J37</f>
        <v>5499.9</v>
      </c>
      <c r="K35" s="63" t="n">
        <f aca="false">+K21*K37</f>
        <v>5774.895</v>
      </c>
      <c r="L35" s="63" t="n">
        <f aca="false">+L21*L37</f>
        <v>6063.63975</v>
      </c>
      <c r="M35" s="63" t="n">
        <f aca="false">+M21*M37</f>
        <v>6366.8217375</v>
      </c>
      <c r="N35" s="63" t="n">
        <f aca="false">+N21*N37</f>
        <v>6685.162824375</v>
      </c>
    </row>
    <row r="36" customFormat="false" ht="14.25" hidden="false" customHeight="false" outlineLevel="0" collapsed="false">
      <c r="A36" s="52" t="s">
        <v>144</v>
      </c>
      <c r="B36" s="53" t="str">
        <f aca="false">+IFERROR(B35/A35-1,"nm")</f>
        <v>nm</v>
      </c>
      <c r="C36" s="53" t="n">
        <f aca="false">+IFERROR(C35/B35-1,"nm")</f>
        <v>0.0345193839617632</v>
      </c>
      <c r="D36" s="53" t="n">
        <f aca="false">+IFERROR(D35/C35-1,"nm")</f>
        <v>0.0305441478439425</v>
      </c>
      <c r="E36" s="53" t="n">
        <f aca="false">+IFERROR(E35/D35-1,"nm")</f>
        <v>-0.0635118306351183</v>
      </c>
      <c r="F36" s="53" t="n">
        <f aca="false">+IFERROR(F35/E35-1,"nm")</f>
        <v>0.0835106382978723</v>
      </c>
      <c r="G36" s="53" t="n">
        <f aca="false">+IFERROR(G35/F35-1,"nm")</f>
        <v>-0.252086401570938</v>
      </c>
      <c r="H36" s="53" t="n">
        <f aca="false">+IFERROR(H35/G35-1,"nm")</f>
        <v>0.712832294059731</v>
      </c>
      <c r="I36" s="53" t="n">
        <f aca="false">+IFERROR(I35/H35-1,"nm")</f>
        <v>0.00364054416554893</v>
      </c>
      <c r="J36" s="53" t="n">
        <f aca="false">+IFERROR(J35/I35-1,"nm")</f>
        <v>0.0499999999999998</v>
      </c>
      <c r="K36" s="53" t="n">
        <f aca="false">+IFERROR(K35/J35-1,"nm")</f>
        <v>0.05</v>
      </c>
      <c r="L36" s="53" t="n">
        <f aca="false">+IFERROR(L35/K35-1,"nm")</f>
        <v>0.05</v>
      </c>
      <c r="M36" s="53" t="n">
        <f aca="false">+IFERROR(M35/L35-1,"nm")</f>
        <v>0.05</v>
      </c>
      <c r="N36" s="53" t="n">
        <f aca="false">+IFERROR(N35/M35-1,"nm")</f>
        <v>0.05</v>
      </c>
    </row>
    <row r="37" customFormat="false" ht="14.25" hidden="false" customHeight="false" outlineLevel="0" collapsed="false">
      <c r="A37" s="52" t="s">
        <v>147</v>
      </c>
      <c r="B37" s="53" t="n">
        <f aca="false">+IFERROR(B35/B$21,"nm")</f>
        <v>0.274090247452693</v>
      </c>
      <c r="C37" s="53" t="n">
        <f aca="false">+IFERROR(C35/C$21,"nm")</f>
        <v>0.263885125982119</v>
      </c>
      <c r="D37" s="53" t="n">
        <f aca="false">+IFERROR(D35/D$21,"nm")</f>
        <v>0.26386698212408</v>
      </c>
      <c r="E37" s="53" t="n">
        <f aca="false">+IFERROR(E35/E$21,"nm")</f>
        <v>0.253113429821609</v>
      </c>
      <c r="F37" s="53" t="n">
        <f aca="false">+IFERROR(F35/F$21,"nm")</f>
        <v>0.256194189410137</v>
      </c>
      <c r="G37" s="53" t="n">
        <f aca="false">+IFERROR(G35/G$21,"nm")</f>
        <v>0.210370063518365</v>
      </c>
      <c r="H37" s="53" t="n">
        <f aca="false">+IFERROR(H35/H$21,"nm")</f>
        <v>0.303801152569998</v>
      </c>
      <c r="I37" s="53" t="n">
        <f aca="false">+IFERROR(I35/I$21,"nm")</f>
        <v>0.285402931400861</v>
      </c>
      <c r="J37" s="60" t="n">
        <f aca="false">+I37</f>
        <v>0.285402931400861</v>
      </c>
      <c r="K37" s="60" t="n">
        <f aca="false">+J37</f>
        <v>0.285402931400861</v>
      </c>
      <c r="L37" s="60" t="n">
        <f aca="false">+K37</f>
        <v>0.285402931400861</v>
      </c>
      <c r="M37" s="60" t="n">
        <f aca="false">+L37</f>
        <v>0.285402931400861</v>
      </c>
      <c r="N37" s="60" t="n">
        <f aca="false">+M37</f>
        <v>0.285402931400861</v>
      </c>
    </row>
    <row r="38" customFormat="false" ht="14.25" hidden="false" customHeight="false" outlineLevel="0" collapsed="false">
      <c r="A38" s="15" t="s">
        <v>148</v>
      </c>
      <c r="B38" s="15" t="n">
        <f aca="false">+Historicals!B167</f>
        <v>121</v>
      </c>
      <c r="C38" s="15" t="n">
        <f aca="false">+Historicals!C167</f>
        <v>133</v>
      </c>
      <c r="D38" s="15" t="n">
        <f aca="false">+Historicals!D167</f>
        <v>140</v>
      </c>
      <c r="E38" s="15" t="n">
        <f aca="false">+Historicals!E167</f>
        <v>160</v>
      </c>
      <c r="F38" s="15" t="n">
        <f aca="false">+Historicals!F167</f>
        <v>149</v>
      </c>
      <c r="G38" s="15" t="n">
        <f aca="false">+Historicals!G167</f>
        <v>148</v>
      </c>
      <c r="H38" s="15" t="n">
        <f aca="false">+Historicals!H167</f>
        <v>130</v>
      </c>
      <c r="I38" s="15" t="n">
        <f aca="false">+Historicals!I167</f>
        <v>124</v>
      </c>
      <c r="J38" s="63" t="n">
        <f aca="false">+J41*J48</f>
        <v>130.2</v>
      </c>
      <c r="K38" s="63" t="n">
        <f aca="false">+K41*K48</f>
        <v>136.71</v>
      </c>
      <c r="L38" s="63" t="n">
        <f aca="false">+L41*L48</f>
        <v>143.5455</v>
      </c>
      <c r="M38" s="63" t="n">
        <f aca="false">+M41*M48</f>
        <v>150.722775</v>
      </c>
      <c r="N38" s="63" t="n">
        <f aca="false">+N41*N48</f>
        <v>158.25891375</v>
      </c>
    </row>
    <row r="39" customFormat="false" ht="14.25" hidden="false" customHeight="false" outlineLevel="0" collapsed="false">
      <c r="A39" s="52" t="s">
        <v>144</v>
      </c>
      <c r="B39" s="53" t="str">
        <f aca="false">+IFERROR(B38/A38-1,"nm")</f>
        <v>nm</v>
      </c>
      <c r="C39" s="53" t="n">
        <f aca="false">+IFERROR(C38/B38-1,"nm")</f>
        <v>0.0991735537190082</v>
      </c>
      <c r="D39" s="53" t="n">
        <f aca="false">+IFERROR(D38/C38-1,"nm")</f>
        <v>0.0526315789473684</v>
      </c>
      <c r="E39" s="53" t="n">
        <f aca="false">+IFERROR(E38/D38-1,"nm")</f>
        <v>0.142857142857143</v>
      </c>
      <c r="F39" s="53" t="n">
        <f aca="false">+IFERROR(F38/E38-1,"nm")</f>
        <v>-0.06875</v>
      </c>
      <c r="G39" s="53" t="n">
        <f aca="false">+IFERROR(G38/F38-1,"nm")</f>
        <v>-0.00671140939597315</v>
      </c>
      <c r="H39" s="53" t="n">
        <f aca="false">+IFERROR(H38/G38-1,"nm")</f>
        <v>-0.121621621621622</v>
      </c>
      <c r="I39" s="53" t="n">
        <f aca="false">+IFERROR(I38/H38-1,"nm")</f>
        <v>-0.0461538461538461</v>
      </c>
      <c r="J39" s="53" t="n">
        <f aca="false">+IFERROR(J38/I38-1,"nm")</f>
        <v>0.05</v>
      </c>
      <c r="K39" s="53" t="n">
        <f aca="false">+IFERROR(K38/J38-1,"nm")</f>
        <v>0.05</v>
      </c>
      <c r="L39" s="53" t="n">
        <f aca="false">+IFERROR(L38/K38-1,"nm")</f>
        <v>0.05</v>
      </c>
      <c r="M39" s="53" t="n">
        <f aca="false">+IFERROR(M38/L38-1,"nm")</f>
        <v>0.05</v>
      </c>
      <c r="N39" s="53" t="n">
        <f aca="false">+IFERROR(N38/M38-1,"nm")</f>
        <v>0.05</v>
      </c>
    </row>
    <row r="40" customFormat="false" ht="14.25" hidden="false" customHeight="false" outlineLevel="0" collapsed="false">
      <c r="A40" s="52" t="s">
        <v>150</v>
      </c>
      <c r="B40" s="53" t="n">
        <f aca="false">+IFERROR(B38/B$21,"nm")</f>
        <v>0.00880640465793304</v>
      </c>
      <c r="C40" s="53" t="n">
        <f aca="false">+IFERROR(C38/C$21,"nm")</f>
        <v>0.00900839880791114</v>
      </c>
      <c r="D40" s="53" t="n">
        <f aca="false">+IFERROR(D38/D$21,"nm")</f>
        <v>0.00920084121976866</v>
      </c>
      <c r="E40" s="53" t="n">
        <f aca="false">+IFERROR(E38/E$21,"nm")</f>
        <v>0.010770784247728</v>
      </c>
      <c r="F40" s="53" t="n">
        <f aca="false">+IFERROR(F38/F$21,"nm")</f>
        <v>0.00936989057980128</v>
      </c>
      <c r="G40" s="53" t="n">
        <f aca="false">+IFERROR(G38/G$21,"nm")</f>
        <v>0.0102181717757526</v>
      </c>
      <c r="H40" s="53" t="n">
        <f aca="false">+IFERROR(H38/H$21,"nm")</f>
        <v>0.00756737877641306</v>
      </c>
      <c r="I40" s="53" t="n">
        <f aca="false">+IFERROR(I38/I$21,"nm")</f>
        <v>0.00675638860131859</v>
      </c>
      <c r="J40" s="53" t="n">
        <f aca="false">+IFERROR(J38/J$21,"nm")</f>
        <v>0.00675638860131859</v>
      </c>
      <c r="K40" s="53" t="n">
        <f aca="false">+IFERROR(K38/K$21,"nm")</f>
        <v>0.00675638860131859</v>
      </c>
      <c r="L40" s="53" t="n">
        <f aca="false">+IFERROR(L38/L$21,"nm")</f>
        <v>0.00675638860131859</v>
      </c>
      <c r="M40" s="53" t="n">
        <f aca="false">+IFERROR(M38/M$21,"nm")</f>
        <v>0.00675638860131859</v>
      </c>
      <c r="N40" s="53" t="n">
        <f aca="false">+IFERROR(N38/N$21,"nm")</f>
        <v>0.00675638860131859</v>
      </c>
    </row>
    <row r="41" customFormat="false" ht="14.25" hidden="false" customHeight="false" outlineLevel="0" collapsed="false">
      <c r="A41" s="52" t="s">
        <v>162</v>
      </c>
      <c r="B41" s="53" t="n">
        <f aca="false">+IFERROR(B38/B48,"nm")</f>
        <v>0.191455696202532</v>
      </c>
      <c r="C41" s="53" t="n">
        <f aca="false">+IFERROR(C38/C48,"nm")</f>
        <v>0.179245283018868</v>
      </c>
      <c r="D41" s="53" t="n">
        <f aca="false">+IFERROR(D38/D48,"nm")</f>
        <v>0.170940170940171</v>
      </c>
      <c r="E41" s="53" t="n">
        <f aca="false">+IFERROR(E38/E48,"nm")</f>
        <v>0.188679245283019</v>
      </c>
      <c r="F41" s="53" t="n">
        <f aca="false">+IFERROR(F38/F48,"nm")</f>
        <v>0.183046683046683</v>
      </c>
      <c r="G41" s="53" t="n">
        <f aca="false">+IFERROR(G38/G48,"nm")</f>
        <v>0.229457364341085</v>
      </c>
      <c r="H41" s="53" t="n">
        <f aca="false">+IFERROR(H38/H48,"nm")</f>
        <v>0.210696920583468</v>
      </c>
      <c r="I41" s="53" t="n">
        <f aca="false">+IFERROR(I38/I48,"nm")</f>
        <v>0.194053208137715</v>
      </c>
      <c r="J41" s="60" t="n">
        <f aca="false">+I41</f>
        <v>0.194053208137715</v>
      </c>
      <c r="K41" s="60" t="n">
        <f aca="false">+J41</f>
        <v>0.194053208137715</v>
      </c>
      <c r="L41" s="60" t="n">
        <f aca="false">+K41</f>
        <v>0.194053208137715</v>
      </c>
      <c r="M41" s="60" t="n">
        <f aca="false">+L41</f>
        <v>0.194053208137715</v>
      </c>
      <c r="N41" s="60" t="n">
        <f aca="false">+M41</f>
        <v>0.194053208137715</v>
      </c>
    </row>
    <row r="42" customFormat="false" ht="14.25" hidden="false" customHeight="false" outlineLevel="0" collapsed="false">
      <c r="A42" s="15" t="s">
        <v>151</v>
      </c>
      <c r="B42" s="15" t="n">
        <f aca="false">+Historicals!B134</f>
        <v>3645</v>
      </c>
      <c r="C42" s="15" t="n">
        <f aca="false">+Historicals!C134</f>
        <v>3763</v>
      </c>
      <c r="D42" s="15" t="n">
        <f aca="false">+Historicals!D134</f>
        <v>3875</v>
      </c>
      <c r="E42" s="15" t="n">
        <f aca="false">+Historicals!E134</f>
        <v>3600</v>
      </c>
      <c r="F42" s="15" t="n">
        <f aca="false">+Historicals!F134</f>
        <v>3925</v>
      </c>
      <c r="G42" s="15" t="n">
        <f aca="false">+Historicals!G134</f>
        <v>2899</v>
      </c>
      <c r="H42" s="15" t="n">
        <f aca="false">+Historicals!H134</f>
        <v>5089</v>
      </c>
      <c r="I42" s="15" t="n">
        <f aca="false">+Historicals!I134</f>
        <v>5114</v>
      </c>
      <c r="J42" s="15" t="n">
        <f aca="false">+J35-J38</f>
        <v>5369.7</v>
      </c>
      <c r="K42" s="15" t="n">
        <f aca="false">+K35-K38</f>
        <v>5638.185</v>
      </c>
      <c r="L42" s="15" t="n">
        <f aca="false">+L35-L38</f>
        <v>5920.09425</v>
      </c>
      <c r="M42" s="15" t="n">
        <f aca="false">+M35-M38</f>
        <v>6216.0989625</v>
      </c>
      <c r="N42" s="15" t="n">
        <f aca="false">+N35-N38</f>
        <v>6526.903910625</v>
      </c>
    </row>
    <row r="43" customFormat="false" ht="14.25" hidden="false" customHeight="false" outlineLevel="0" collapsed="false">
      <c r="A43" s="52" t="s">
        <v>144</v>
      </c>
      <c r="B43" s="53" t="str">
        <f aca="false">+IFERROR(B42/A42-1,"nm")</f>
        <v>nm</v>
      </c>
      <c r="C43" s="53" t="n">
        <f aca="false">+IFERROR(C42/B42-1,"nm")</f>
        <v>0.0323731138545953</v>
      </c>
      <c r="D43" s="53" t="n">
        <f aca="false">+IFERROR(D42/C42-1,"nm")</f>
        <v>0.0297634865798564</v>
      </c>
      <c r="E43" s="53" t="n">
        <f aca="false">+IFERROR(E42/D42-1,"nm")</f>
        <v>-0.0709677419354838</v>
      </c>
      <c r="F43" s="53" t="n">
        <f aca="false">+IFERROR(F42/E42-1,"nm")</f>
        <v>0.0902777777777777</v>
      </c>
      <c r="G43" s="53" t="n">
        <f aca="false">+IFERROR(G42/F42-1,"nm")</f>
        <v>-0.26140127388535</v>
      </c>
      <c r="H43" s="53" t="n">
        <f aca="false">+IFERROR(H42/G42-1,"nm")</f>
        <v>0.755432907899276</v>
      </c>
      <c r="I43" s="53" t="n">
        <f aca="false">+IFERROR(I42/H42-1,"nm")</f>
        <v>0.0049125564943997</v>
      </c>
      <c r="J43" s="53" t="n">
        <f aca="false">+IFERROR(J42/I42-1,"nm")</f>
        <v>0.05</v>
      </c>
      <c r="K43" s="53" t="n">
        <f aca="false">+IFERROR(K42/J42-1,"nm")</f>
        <v>0.05</v>
      </c>
      <c r="L43" s="53" t="n">
        <f aca="false">+IFERROR(L42/K42-1,"nm")</f>
        <v>0.05</v>
      </c>
      <c r="M43" s="53" t="n">
        <f aca="false">+IFERROR(M42/L42-1,"nm")</f>
        <v>0.05</v>
      </c>
      <c r="N43" s="53" t="n">
        <f aca="false">+IFERROR(N42/M42-1,"nm")</f>
        <v>0.05</v>
      </c>
    </row>
    <row r="44" customFormat="false" ht="14.25" hidden="false" customHeight="false" outlineLevel="0" collapsed="false">
      <c r="A44" s="52" t="s">
        <v>147</v>
      </c>
      <c r="B44" s="53" t="n">
        <f aca="false">+IFERROR(B42/B$21,"nm")</f>
        <v>0.26528384279476</v>
      </c>
      <c r="C44" s="53" t="n">
        <f aca="false">+IFERROR(C42/C$21,"nm")</f>
        <v>0.254876727174207</v>
      </c>
      <c r="D44" s="53" t="n">
        <f aca="false">+IFERROR(D42/D$21,"nm")</f>
        <v>0.254666140904311</v>
      </c>
      <c r="E44" s="53" t="n">
        <f aca="false">+IFERROR(E42/E$21,"nm")</f>
        <v>0.242342645573881</v>
      </c>
      <c r="F44" s="53" t="n">
        <f aca="false">+IFERROR(F42/F$21,"nm")</f>
        <v>0.246824298830336</v>
      </c>
      <c r="G44" s="53" t="n">
        <f aca="false">+IFERROR(G42/G$21,"nm")</f>
        <v>0.200151891742613</v>
      </c>
      <c r="H44" s="53" t="n">
        <f aca="false">+IFERROR(H42/H$21,"nm")</f>
        <v>0.296233773793585</v>
      </c>
      <c r="I44" s="53" t="n">
        <f aca="false">+IFERROR(I42/I$21,"nm")</f>
        <v>0.278646542799542</v>
      </c>
      <c r="J44" s="53" t="n">
        <f aca="false">+IFERROR(J42/J$21,"nm")</f>
        <v>0.278646542799542</v>
      </c>
      <c r="K44" s="53" t="n">
        <f aca="false">+IFERROR(K42/K$21,"nm")</f>
        <v>0.278646542799542</v>
      </c>
      <c r="L44" s="53" t="n">
        <f aca="false">+IFERROR(L42/L$21,"nm")</f>
        <v>0.278646542799542</v>
      </c>
      <c r="M44" s="53" t="n">
        <f aca="false">+IFERROR(M42/M$21,"nm")</f>
        <v>0.278646542799542</v>
      </c>
      <c r="N44" s="53" t="n">
        <f aca="false">+IFERROR(N42/N$21,"nm")</f>
        <v>0.278646542799542</v>
      </c>
    </row>
    <row r="45" customFormat="false" ht="14.25" hidden="false" customHeight="false" outlineLevel="0" collapsed="false">
      <c r="A45" s="15" t="s">
        <v>153</v>
      </c>
      <c r="B45" s="15" t="n">
        <f aca="false">+Historicals!B156</f>
        <v>208</v>
      </c>
      <c r="C45" s="15" t="n">
        <f aca="false">+Historicals!C156</f>
        <v>242</v>
      </c>
      <c r="D45" s="15" t="n">
        <f aca="false">+Historicals!D156</f>
        <v>223</v>
      </c>
      <c r="E45" s="15" t="n">
        <f aca="false">+Historicals!E156</f>
        <v>196</v>
      </c>
      <c r="F45" s="15" t="n">
        <f aca="false">+Historicals!F156</f>
        <v>117</v>
      </c>
      <c r="G45" s="15" t="n">
        <f aca="false">+Historicals!G156</f>
        <v>110</v>
      </c>
      <c r="H45" s="15" t="n">
        <f aca="false">+Historicals!H156</f>
        <v>98</v>
      </c>
      <c r="I45" s="15" t="n">
        <f aca="false">+Historicals!I156</f>
        <v>146</v>
      </c>
      <c r="J45" s="63" t="n">
        <f aca="false">+J21*J47</f>
        <v>153.3</v>
      </c>
      <c r="K45" s="63" t="n">
        <f aca="false">+K21*K47</f>
        <v>160.965</v>
      </c>
      <c r="L45" s="63" t="n">
        <f aca="false">+L21*L47</f>
        <v>169.01325</v>
      </c>
      <c r="M45" s="63" t="n">
        <f aca="false">+M21*M47</f>
        <v>177.4639125</v>
      </c>
      <c r="N45" s="63" t="n">
        <f aca="false">+N21*N47</f>
        <v>186.337108125</v>
      </c>
    </row>
    <row r="46" customFormat="false" ht="14.25" hidden="false" customHeight="false" outlineLevel="0" collapsed="false">
      <c r="A46" s="52" t="s">
        <v>144</v>
      </c>
      <c r="B46" s="53" t="str">
        <f aca="false">+IFERROR(B45/A45-1,"nm")</f>
        <v>nm</v>
      </c>
      <c r="C46" s="53" t="n">
        <f aca="false">+IFERROR(C45/B45-1,"nm")</f>
        <v>0.163461538461539</v>
      </c>
      <c r="D46" s="53" t="n">
        <f aca="false">+IFERROR(D45/C45-1,"nm")</f>
        <v>-0.0785123966942148</v>
      </c>
      <c r="E46" s="53" t="n">
        <f aca="false">+IFERROR(E45/D45-1,"nm")</f>
        <v>-0.121076233183857</v>
      </c>
      <c r="F46" s="53" t="n">
        <f aca="false">+IFERROR(F45/E45-1,"nm")</f>
        <v>-0.403061224489796</v>
      </c>
      <c r="G46" s="53" t="n">
        <f aca="false">+IFERROR(G45/F45-1,"nm")</f>
        <v>-0.0598290598290598</v>
      </c>
      <c r="H46" s="53" t="n">
        <f aca="false">+IFERROR(H45/G45-1,"nm")</f>
        <v>-0.109090909090909</v>
      </c>
      <c r="I46" s="53" t="n">
        <f aca="false">+IFERROR(I45/H45-1,"nm")</f>
        <v>0.489795918367347</v>
      </c>
      <c r="J46" s="53" t="n">
        <f aca="false">+IFERROR(J45/I45-1,"nm")</f>
        <v>0.0500000000000003</v>
      </c>
      <c r="K46" s="53" t="n">
        <f aca="false">+IFERROR(K45/J45-1,"nm")</f>
        <v>0.05</v>
      </c>
      <c r="L46" s="53" t="n">
        <f aca="false">+IFERROR(L45/K45-1,"nm")</f>
        <v>0.05</v>
      </c>
      <c r="M46" s="53" t="n">
        <f aca="false">+IFERROR(M45/L45-1,"nm")</f>
        <v>0.05</v>
      </c>
      <c r="N46" s="53" t="n">
        <f aca="false">+IFERROR(N45/M45-1,"nm")</f>
        <v>0.05</v>
      </c>
    </row>
    <row r="47" customFormat="false" ht="14.25" hidden="false" customHeight="false" outlineLevel="0" collapsed="false">
      <c r="A47" s="52" t="s">
        <v>150</v>
      </c>
      <c r="B47" s="53" t="n">
        <f aca="false">+IFERROR(B45/B$21,"nm")</f>
        <v>0.0151382823871907</v>
      </c>
      <c r="C47" s="53" t="n">
        <f aca="false">+IFERROR(C45/C$21,"nm")</f>
        <v>0.0163912218910864</v>
      </c>
      <c r="D47" s="53" t="n">
        <f aca="false">+IFERROR(D45/D$21,"nm")</f>
        <v>0.0146556256572029</v>
      </c>
      <c r="E47" s="53" t="n">
        <f aca="false">+IFERROR(E45/E$21,"nm")</f>
        <v>0.0131942107034668</v>
      </c>
      <c r="F47" s="53" t="n">
        <f aca="false">+IFERROR(F45/F$21,"nm")</f>
        <v>0.00735756508615269</v>
      </c>
      <c r="G47" s="53" t="n">
        <f aca="false">+IFERROR(G45/G$21,"nm")</f>
        <v>0.0075945871306269</v>
      </c>
      <c r="H47" s="53" t="n">
        <f aca="false">+IFERROR(H45/H$21,"nm")</f>
        <v>0.005704639385296</v>
      </c>
      <c r="I47" s="53" t="n">
        <f aca="false">+IFERROR(I45/I$21,"nm")</f>
        <v>0.00795510270800414</v>
      </c>
      <c r="J47" s="60" t="n">
        <f aca="false">+I47</f>
        <v>0.00795510270800414</v>
      </c>
      <c r="K47" s="60" t="n">
        <f aca="false">+J47</f>
        <v>0.00795510270800414</v>
      </c>
      <c r="L47" s="60" t="n">
        <f aca="false">+K47</f>
        <v>0.00795510270800414</v>
      </c>
      <c r="M47" s="60" t="n">
        <f aca="false">+L47</f>
        <v>0.00795510270800414</v>
      </c>
      <c r="N47" s="60" t="n">
        <f aca="false">+M47</f>
        <v>0.00795510270800414</v>
      </c>
    </row>
    <row r="48" customFormat="false" ht="14.25" hidden="false" customHeight="false" outlineLevel="0" collapsed="false">
      <c r="A48" s="15" t="s">
        <v>155</v>
      </c>
      <c r="B48" s="15" t="n">
        <f aca="false">+Historicals!B145</f>
        <v>632</v>
      </c>
      <c r="C48" s="15" t="n">
        <f aca="false">+Historicals!C145</f>
        <v>742</v>
      </c>
      <c r="D48" s="15" t="n">
        <f aca="false">+Historicals!D145</f>
        <v>819</v>
      </c>
      <c r="E48" s="15" t="n">
        <f aca="false">+Historicals!E145</f>
        <v>848</v>
      </c>
      <c r="F48" s="15" t="n">
        <f aca="false">+Historicals!F145</f>
        <v>814</v>
      </c>
      <c r="G48" s="15" t="n">
        <f aca="false">+Historicals!G145</f>
        <v>645</v>
      </c>
      <c r="H48" s="15" t="n">
        <f aca="false">+Historicals!H145</f>
        <v>617</v>
      </c>
      <c r="I48" s="15" t="n">
        <f aca="false">+Historicals!I145</f>
        <v>639</v>
      </c>
      <c r="J48" s="63" t="n">
        <f aca="false">+J21*J50</f>
        <v>670.95</v>
      </c>
      <c r="K48" s="63" t="n">
        <f aca="false">+K21*K50</f>
        <v>704.4975</v>
      </c>
      <c r="L48" s="63" t="n">
        <f aca="false">+L21*L50</f>
        <v>739.722375</v>
      </c>
      <c r="M48" s="63" t="n">
        <f aca="false">+M21*M50</f>
        <v>776.70849375</v>
      </c>
      <c r="N48" s="63" t="n">
        <f aca="false">+N21*N50</f>
        <v>815.5439184375</v>
      </c>
    </row>
    <row r="49" customFormat="false" ht="14.25" hidden="false" customHeight="false" outlineLevel="0" collapsed="false">
      <c r="A49" s="52" t="s">
        <v>144</v>
      </c>
      <c r="B49" s="53" t="str">
        <f aca="false">+IFERROR(B48/A48-1,"nm")</f>
        <v>nm</v>
      </c>
      <c r="C49" s="53" t="n">
        <f aca="false">+IFERROR(C48/B48-1,"nm")</f>
        <v>0.174050632911392</v>
      </c>
      <c r="D49" s="53" t="n">
        <f aca="false">+IFERROR(D48/C48-1,"nm")</f>
        <v>0.10377358490566</v>
      </c>
      <c r="E49" s="53" t="n">
        <f aca="false">+IFERROR(E48/D48-1,"nm")</f>
        <v>0.0354090354090355</v>
      </c>
      <c r="F49" s="53" t="n">
        <f aca="false">+IFERROR(F48/E48-1,"nm")</f>
        <v>-0.0400943396226415</v>
      </c>
      <c r="G49" s="53" t="n">
        <f aca="false">+IFERROR(G48/F48-1,"nm")</f>
        <v>-0.207616707616708</v>
      </c>
      <c r="H49" s="53" t="n">
        <f aca="false">+IFERROR(H48/G48-1,"nm")</f>
        <v>-0.0434108527131783</v>
      </c>
      <c r="I49" s="53" t="n">
        <f aca="false">+IFERROR(I48/H48-1,"nm")</f>
        <v>0.0356564019448946</v>
      </c>
      <c r="J49" s="53" t="n">
        <f aca="false">+J50+J51</f>
        <v>0.0348171960987305</v>
      </c>
      <c r="K49" s="53" t="n">
        <f aca="false">+K50+K51</f>
        <v>0.0348171960987305</v>
      </c>
      <c r="L49" s="53" t="n">
        <f aca="false">+L50+L51</f>
        <v>0.0348171960987305</v>
      </c>
      <c r="M49" s="53" t="n">
        <f aca="false">+M50+M51</f>
        <v>0.0348171960987305</v>
      </c>
      <c r="N49" s="53" t="n">
        <f aca="false">+N50+N51</f>
        <v>0.0348171960987305</v>
      </c>
    </row>
    <row r="50" customFormat="false" ht="13.8" hidden="false" customHeight="false" outlineLevel="0" collapsed="false">
      <c r="A50" s="52" t="s">
        <v>150</v>
      </c>
      <c r="B50" s="53" t="n">
        <f aca="false">+IFERROR(B48/B$21,"nm")</f>
        <v>0.0459970887918486</v>
      </c>
      <c r="C50" s="53" t="n">
        <f aca="false">+IFERROR(C48/C$21,"nm")</f>
        <v>0.0502573828230832</v>
      </c>
      <c r="D50" s="53" t="n">
        <f aca="false">+IFERROR(D48/D$21,"nm")</f>
        <v>0.0538249211356467</v>
      </c>
      <c r="E50" s="53" t="n">
        <f aca="false">+IFERROR(E48/E$21,"nm")</f>
        <v>0.0570851565129586</v>
      </c>
      <c r="F50" s="53" t="n">
        <f aca="false">+IFERROR(F48/F$21,"nm")</f>
        <v>0.0511885297446862</v>
      </c>
      <c r="G50" s="53" t="n">
        <f aca="false">+IFERROR(G48/G$21,"nm")</f>
        <v>0.0445318972659486</v>
      </c>
      <c r="H50" s="53" t="n">
        <f aca="false">+IFERROR(H48/H$21,"nm")</f>
        <v>0.0359159438849758</v>
      </c>
      <c r="I50" s="53" t="n">
        <f aca="false">+IFERROR(I48/I$21,"nm")</f>
        <v>0.0348171960987305</v>
      </c>
      <c r="J50" s="60" t="n">
        <f aca="false">+I50</f>
        <v>0.0348171960987305</v>
      </c>
      <c r="K50" s="60" t="n">
        <f aca="false">+J50</f>
        <v>0.0348171960987305</v>
      </c>
      <c r="L50" s="60" t="n">
        <f aca="false">+K50</f>
        <v>0.0348171960987305</v>
      </c>
      <c r="M50" s="60" t="n">
        <f aca="false">+L50</f>
        <v>0.0348171960987305</v>
      </c>
      <c r="N50" s="60" t="n">
        <f aca="false">+M50</f>
        <v>0.0348171960987305</v>
      </c>
    </row>
    <row r="51" customFormat="false" ht="14.25" hidden="false" customHeight="false" outlineLevel="0" collapsed="false">
      <c r="A51" s="57" t="str">
        <f aca="false">+Historicals!A111</f>
        <v>Europe, Middle East &amp; Africa</v>
      </c>
      <c r="B51" s="57"/>
      <c r="C51" s="57"/>
      <c r="D51" s="57"/>
      <c r="E51" s="57"/>
      <c r="F51" s="57"/>
      <c r="G51" s="57"/>
      <c r="H51" s="57"/>
      <c r="I51" s="57"/>
      <c r="J51" s="48"/>
      <c r="K51" s="48"/>
      <c r="L51" s="48"/>
      <c r="M51" s="48"/>
      <c r="N51" s="48"/>
    </row>
    <row r="52" customFormat="false" ht="13.8" hidden="false" customHeight="false" outlineLevel="0" collapsed="false">
      <c r="A52" s="14" t="s">
        <v>157</v>
      </c>
      <c r="B52" s="54" t="n">
        <f aca="false">B54+B58+B62</f>
        <v>7126</v>
      </c>
      <c r="C52" s="54" t="n">
        <f aca="false">C54+C58+C62</f>
        <v>7568</v>
      </c>
      <c r="D52" s="54" t="n">
        <f aca="false">D54+D58+D62</f>
        <v>7970</v>
      </c>
      <c r="E52" s="54" t="n">
        <f aca="false">E54+E58+E62</f>
        <v>9242</v>
      </c>
      <c r="F52" s="54" t="n">
        <f aca="false">F54+F58+F62</f>
        <v>9812</v>
      </c>
      <c r="G52" s="54" t="n">
        <f aca="false">G54+G58+G62</f>
        <v>9347</v>
      </c>
      <c r="H52" s="54" t="n">
        <f aca="false">H54+H58+H62</f>
        <v>11456</v>
      </c>
      <c r="I52" s="54" t="n">
        <f aca="false">I54+I58+I62</f>
        <v>12479</v>
      </c>
      <c r="J52" s="64" t="n">
        <f aca="false">+I52*(1.08)</f>
        <v>13477.32</v>
      </c>
      <c r="K52" s="64" t="n">
        <f aca="false">+J52*(1.08)</f>
        <v>14555.5056</v>
      </c>
      <c r="L52" s="64" t="n">
        <f aca="false">+K52*(1.08)</f>
        <v>15719.946048</v>
      </c>
      <c r="M52" s="64" t="n">
        <f aca="false">+L52*(1.08)</f>
        <v>16977.54173184</v>
      </c>
      <c r="N52" s="64" t="n">
        <f aca="false">+M52*(1.08)</f>
        <v>18335.7450703872</v>
      </c>
    </row>
    <row r="53" customFormat="false" ht="13.8" hidden="false" customHeight="false" outlineLevel="0" collapsed="false">
      <c r="A53" s="65" t="s">
        <v>144</v>
      </c>
      <c r="B53" s="66" t="n">
        <f aca="false">+Historicals!B183</f>
        <v>0.119384228715049</v>
      </c>
      <c r="C53" s="66" t="n">
        <f aca="false">+Historicals!C183</f>
        <v>0.0620263822621387</v>
      </c>
      <c r="D53" s="66" t="n">
        <f aca="false">+Historicals!D183</f>
        <v>0.0531183932346723</v>
      </c>
      <c r="E53" s="66" t="n">
        <f aca="false">+Historicals!E183</f>
        <v>0.159598494353827</v>
      </c>
      <c r="F53" s="66" t="n">
        <f aca="false">+Historicals!F183</f>
        <v>0.0616749621294092</v>
      </c>
      <c r="G53" s="66" t="n">
        <f aca="false">+Historicals!G183</f>
        <v>-0.0473909498573176</v>
      </c>
      <c r="H53" s="66" t="n">
        <f aca="false">+Historicals!H183</f>
        <v>0.225633893227774</v>
      </c>
      <c r="I53" s="66" t="n">
        <f aca="false">+Historicals!I183</f>
        <v>0.0892981843575419</v>
      </c>
      <c r="J53" s="56" t="n">
        <f aca="false">J52/I52-1</f>
        <v>0.0800000000000001</v>
      </c>
      <c r="K53" s="56" t="n">
        <f aca="false">K52/J52-1</f>
        <v>0.0800000000000001</v>
      </c>
      <c r="L53" s="56" t="n">
        <f aca="false">L52/K52-1</f>
        <v>0.0800000000000001</v>
      </c>
      <c r="M53" s="56" t="n">
        <f aca="false">M52/L52-1</f>
        <v>0.0800000000000001</v>
      </c>
      <c r="N53" s="56" t="n">
        <f aca="false">N52/M52-1</f>
        <v>0.0800000000000001</v>
      </c>
    </row>
    <row r="54" customFormat="false" ht="13.8" hidden="false" customHeight="false" outlineLevel="0" collapsed="false">
      <c r="A54" s="67" t="s">
        <v>116</v>
      </c>
      <c r="B54" s="0" t="n">
        <f aca="false">+Historicals!B112</f>
        <v>4703</v>
      </c>
      <c r="C54" s="0" t="n">
        <f aca="false">+Historicals!C112</f>
        <v>5043</v>
      </c>
      <c r="D54" s="0" t="n">
        <f aca="false">+Historicals!D112</f>
        <v>5192</v>
      </c>
      <c r="E54" s="0" t="n">
        <f aca="false">+Historicals!E112</f>
        <v>5875</v>
      </c>
      <c r="F54" s="0" t="n">
        <f aca="false">+Historicals!F112</f>
        <v>6293</v>
      </c>
      <c r="G54" s="0" t="n">
        <f aca="false">+Historicals!G112</f>
        <v>5892</v>
      </c>
      <c r="H54" s="26" t="n">
        <f aca="false">+Historicals!H112</f>
        <v>6970</v>
      </c>
      <c r="I54" s="26" t="n">
        <f aca="false">+Historicals!I112</f>
        <v>7388</v>
      </c>
      <c r="J54" s="68" t="n">
        <f aca="false">+I54*(1+I55)</f>
        <v>7831.06800573888</v>
      </c>
      <c r="K54" s="68" t="n">
        <f aca="false">+J54*(1+J55)</f>
        <v>8300.70737824948</v>
      </c>
      <c r="L54" s="68" t="n">
        <f aca="false">+K54*(1+K55)</f>
        <v>8798.51163708855</v>
      </c>
      <c r="M54" s="68" t="n">
        <f aca="false">+L54*(1+L55)</f>
        <v>9326.16986726114</v>
      </c>
      <c r="N54" s="68" t="n">
        <f aca="false">+M54*(1+M55)</f>
        <v>9885.47245040536</v>
      </c>
    </row>
    <row r="55" customFormat="false" ht="13.8" hidden="false" customHeight="false" outlineLevel="0" collapsed="false">
      <c r="A55" s="65" t="s">
        <v>144</v>
      </c>
      <c r="B55" s="0" t="str">
        <f aca="false">IFERROR(B55/A55-1,"nm")</f>
        <v>nm</v>
      </c>
      <c r="C55" s="56" t="n">
        <f aca="false">C54/B54-1</f>
        <v>0.0722942802466511</v>
      </c>
      <c r="D55" s="56" t="n">
        <f aca="false">D54/C54-1</f>
        <v>0.0295459052151497</v>
      </c>
      <c r="E55" s="56" t="n">
        <f aca="false">E54/D54-1</f>
        <v>0.131548536209553</v>
      </c>
      <c r="F55" s="56" t="n">
        <f aca="false">F54/E54-1</f>
        <v>0.0711489361702127</v>
      </c>
      <c r="G55" s="56" t="n">
        <f aca="false">G54/F54-1</f>
        <v>-0.0637215954234864</v>
      </c>
      <c r="H55" s="56" t="n">
        <f aca="false">H54/G54-1</f>
        <v>0.18295994568907</v>
      </c>
      <c r="I55" s="56" t="n">
        <f aca="false">I54/H54-1</f>
        <v>0.059971305595409</v>
      </c>
      <c r="J55" s="56" t="n">
        <f aca="false">J54/I54-1</f>
        <v>0.059971305595409</v>
      </c>
      <c r="K55" s="56" t="n">
        <f aca="false">K54/J54-1</f>
        <v>0.059971305595409</v>
      </c>
      <c r="L55" s="56" t="n">
        <f aca="false">L54/K54-1</f>
        <v>0.059971305595409</v>
      </c>
      <c r="M55" s="56" t="n">
        <f aca="false">M54/L54-1</f>
        <v>0.059971305595409</v>
      </c>
      <c r="N55" s="56" t="n">
        <f aca="false">N54/M54-1</f>
        <v>0.059971305595409</v>
      </c>
    </row>
    <row r="56" customFormat="false" ht="13.8" hidden="false" customHeight="false" outlineLevel="0" collapsed="false">
      <c r="A56" s="65" t="s">
        <v>158</v>
      </c>
      <c r="B56" s="66" t="n">
        <f aca="false">+Historicals!B184</f>
        <v>0.15780403741999</v>
      </c>
      <c r="C56" s="66" t="n">
        <f aca="false">+Historicals!C184</f>
        <v>0.0722942802466511</v>
      </c>
      <c r="D56" s="66" t="n">
        <f aca="false">+Historicals!D184</f>
        <v>0.0295459052151497</v>
      </c>
      <c r="E56" s="66" t="n">
        <f aca="false">+Historicals!E184</f>
        <v>0.131548536209553</v>
      </c>
      <c r="F56" s="66" t="n">
        <f aca="false">+Historicals!F184</f>
        <v>0.0711489361702128</v>
      </c>
      <c r="G56" s="66" t="n">
        <f aca="false">+Historicals!G184</f>
        <v>-0.0637215954234864</v>
      </c>
      <c r="H56" s="66" t="n">
        <f aca="false">+Historicals!H184</f>
        <v>0.18295994568907</v>
      </c>
      <c r="I56" s="66" t="n">
        <f aca="false">+Historicals!I184</f>
        <v>0.0599713055954089</v>
      </c>
      <c r="J56" s="56" t="n">
        <v>0.09</v>
      </c>
      <c r="K56" s="56" t="n">
        <v>0.1</v>
      </c>
      <c r="L56" s="56" t="n">
        <v>0.11</v>
      </c>
      <c r="M56" s="56" t="n">
        <v>0.12</v>
      </c>
      <c r="N56" s="56" t="n">
        <v>0.13</v>
      </c>
      <c r="O56" s="61" t="s">
        <v>163</v>
      </c>
    </row>
    <row r="57" customFormat="false" ht="13.8" hidden="false" customHeight="false" outlineLevel="0" collapsed="false">
      <c r="A57" s="65" t="s">
        <v>160</v>
      </c>
      <c r="B57" s="0" t="str">
        <f aca="false">IFERROR(B55-B56,"nm")</f>
        <v>nm</v>
      </c>
      <c r="C57" s="56" t="n">
        <f aca="false">C55-C56</f>
        <v>0</v>
      </c>
      <c r="D57" s="56" t="n">
        <f aca="false">D55-D56</f>
        <v>0</v>
      </c>
      <c r="E57" s="56" t="n">
        <f aca="false">E55-E56</f>
        <v>0</v>
      </c>
      <c r="F57" s="56" t="n">
        <f aca="false">F55-F56</f>
        <v>0</v>
      </c>
      <c r="G57" s="56" t="n">
        <f aca="false">G55-G56</f>
        <v>0</v>
      </c>
      <c r="H57" s="56" t="n">
        <f aca="false">H55-H56</f>
        <v>0</v>
      </c>
      <c r="I57" s="56" t="n">
        <f aca="false">I55-I56</f>
        <v>0</v>
      </c>
      <c r="J57" s="56" t="n">
        <f aca="false">J55-J56</f>
        <v>-0.030028694404591</v>
      </c>
      <c r="K57" s="56" t="n">
        <f aca="false">K55-K56</f>
        <v>-0.040028694404591</v>
      </c>
      <c r="L57" s="56" t="n">
        <f aca="false">L55-L56</f>
        <v>-0.050028694404591</v>
      </c>
      <c r="M57" s="56" t="n">
        <f aca="false">M55-M56</f>
        <v>-0.060028694404591</v>
      </c>
      <c r="N57" s="56" t="n">
        <f aca="false">N55-N56</f>
        <v>-0.070028694404591</v>
      </c>
    </row>
    <row r="58" customFormat="false" ht="13.8" hidden="false" customHeight="false" outlineLevel="0" collapsed="false">
      <c r="A58" s="67" t="s">
        <v>117</v>
      </c>
      <c r="B58" s="0" t="n">
        <f aca="false">+Historicals!B113</f>
        <v>2051</v>
      </c>
      <c r="C58" s="0" t="n">
        <f aca="false">+Historicals!C113</f>
        <v>2149</v>
      </c>
      <c r="D58" s="0" t="n">
        <f aca="false">+Historicals!D113</f>
        <v>2395</v>
      </c>
      <c r="E58" s="0" t="n">
        <f aca="false">+Historicals!E113</f>
        <v>2940</v>
      </c>
      <c r="F58" s="0" t="n">
        <f aca="false">+Historicals!F113</f>
        <v>3087</v>
      </c>
      <c r="G58" s="0" t="n">
        <f aca="false">+Historicals!G113</f>
        <v>3053</v>
      </c>
      <c r="H58" s="26" t="n">
        <f aca="false">+Historicals!H113</f>
        <v>3996</v>
      </c>
      <c r="I58" s="26" t="n">
        <f aca="false">+Historicals!I113</f>
        <v>4527</v>
      </c>
      <c r="J58" s="68" t="n">
        <f aca="false">+I58*(1+I59)</f>
        <v>5128.56081081081</v>
      </c>
      <c r="K58" s="68" t="n">
        <f aca="false">+J58*(1+J59)</f>
        <v>5810.05875639153</v>
      </c>
      <c r="L58" s="68" t="n">
        <f aca="false">+K58*(1+K59)</f>
        <v>6582.11611365977</v>
      </c>
      <c r="M58" s="68" t="n">
        <f aca="false">+L58*(1+L59)</f>
        <v>7456.76667831276</v>
      </c>
      <c r="N58" s="68" t="n">
        <f aca="false">+M58*(1+M59)</f>
        <v>8447.64333151198</v>
      </c>
    </row>
    <row r="59" customFormat="false" ht="13.8" hidden="false" customHeight="false" outlineLevel="0" collapsed="false">
      <c r="A59" s="65" t="s">
        <v>144</v>
      </c>
      <c r="B59" s="0" t="str">
        <f aca="false">IFERROR(B58/A58-1,"nm")</f>
        <v>nm</v>
      </c>
      <c r="C59" s="56" t="n">
        <f aca="false">C58/B58-1</f>
        <v>0.0477815699658704</v>
      </c>
      <c r="D59" s="56" t="n">
        <f aca="false">D58/C58-1</f>
        <v>0.11447184737087</v>
      </c>
      <c r="E59" s="56" t="n">
        <f aca="false">E58/D58-1</f>
        <v>0.227557411273486</v>
      </c>
      <c r="F59" s="56" t="n">
        <f aca="false">F58/E58-1</f>
        <v>0.05</v>
      </c>
      <c r="G59" s="56" t="n">
        <f aca="false">G58/F58-1</f>
        <v>-0.0110139293812763</v>
      </c>
      <c r="H59" s="56" t="n">
        <f aca="false">H58/G58-1</f>
        <v>0.308876514903374</v>
      </c>
      <c r="I59" s="56" t="n">
        <f aca="false">I58/H58-1</f>
        <v>0.132882882882883</v>
      </c>
      <c r="J59" s="56" t="n">
        <f aca="false">J58/I58-1</f>
        <v>0.132882882882883</v>
      </c>
      <c r="K59" s="56" t="n">
        <f aca="false">K58/J58-1</f>
        <v>0.132882882882883</v>
      </c>
      <c r="L59" s="56" t="n">
        <f aca="false">L58/K58-1</f>
        <v>0.132882882882883</v>
      </c>
      <c r="M59" s="56" t="n">
        <f aca="false">M58/L58-1</f>
        <v>0.132882882882883</v>
      </c>
      <c r="N59" s="56" t="n">
        <f aca="false">N58/M58-1</f>
        <v>0.132882882882883</v>
      </c>
    </row>
    <row r="60" customFormat="false" ht="13.8" hidden="false" customHeight="false" outlineLevel="0" collapsed="false">
      <c r="A60" s="65" t="s">
        <v>158</v>
      </c>
      <c r="B60" s="66" t="n">
        <f aca="false">+Historicals!B185</f>
        <v>0.0469627360898418</v>
      </c>
      <c r="C60" s="66" t="n">
        <f aca="false">+Historicals!C185</f>
        <v>0.0477815699658703</v>
      </c>
      <c r="D60" s="66" t="n">
        <f aca="false">+Historicals!D185</f>
        <v>0.11447184737087</v>
      </c>
      <c r="E60" s="66" t="n">
        <f aca="false">+Historicals!E185</f>
        <v>0.227557411273486</v>
      </c>
      <c r="F60" s="66" t="n">
        <f aca="false">+Historicals!F185</f>
        <v>0.05</v>
      </c>
      <c r="G60" s="66" t="n">
        <f aca="false">+Historicals!G185</f>
        <v>-0.0110139293812763</v>
      </c>
      <c r="H60" s="66" t="n">
        <f aca="false">+Historicals!H185</f>
        <v>0.308876514903374</v>
      </c>
      <c r="I60" s="66" t="n">
        <f aca="false">+Historicals!I185</f>
        <v>0.132882882882883</v>
      </c>
      <c r="J60" s="56" t="n">
        <v>0</v>
      </c>
      <c r="K60" s="56" t="n">
        <v>0</v>
      </c>
      <c r="L60" s="56" t="n">
        <v>0</v>
      </c>
      <c r="M60" s="56" t="n">
        <v>0</v>
      </c>
      <c r="N60" s="56" t="n">
        <v>0</v>
      </c>
    </row>
    <row r="61" customFormat="false" ht="13.8" hidden="false" customHeight="false" outlineLevel="0" collapsed="false">
      <c r="A61" s="65" t="s">
        <v>160</v>
      </c>
      <c r="B61" s="0" t="str">
        <f aca="false">IFERROR(B59-B60,"nm")</f>
        <v>nm</v>
      </c>
      <c r="C61" s="56" t="n">
        <f aca="false">C59-C60</f>
        <v>0</v>
      </c>
      <c r="D61" s="56" t="n">
        <f aca="false">D59-D60</f>
        <v>0</v>
      </c>
      <c r="E61" s="56" t="n">
        <f aca="false">E59-E60</f>
        <v>0</v>
      </c>
      <c r="F61" s="56" t="n">
        <f aca="false">F59-F60</f>
        <v>0</v>
      </c>
      <c r="G61" s="56" t="n">
        <f aca="false">G59-G60</f>
        <v>0</v>
      </c>
      <c r="H61" s="56" t="n">
        <f aca="false">H59-H60</f>
        <v>0</v>
      </c>
      <c r="I61" s="56" t="n">
        <f aca="false">I59-I60</f>
        <v>0</v>
      </c>
      <c r="J61" s="56" t="n">
        <f aca="false">J59-J60</f>
        <v>0.132882882882883</v>
      </c>
      <c r="K61" s="56" t="n">
        <f aca="false">K59-K60</f>
        <v>0.132882882882883</v>
      </c>
      <c r="L61" s="56" t="n">
        <f aca="false">L59-L60</f>
        <v>0.132882882882883</v>
      </c>
      <c r="M61" s="56" t="n">
        <f aca="false">M59-M60</f>
        <v>0.132882882882883</v>
      </c>
      <c r="N61" s="56" t="n">
        <f aca="false">N59-N60</f>
        <v>0.132882882882883</v>
      </c>
    </row>
    <row r="62" customFormat="false" ht="13.8" hidden="false" customHeight="false" outlineLevel="0" collapsed="false">
      <c r="A62" s="67" t="s">
        <v>118</v>
      </c>
      <c r="B62" s="0" t="n">
        <f aca="false">+Historicals!B114</f>
        <v>372</v>
      </c>
      <c r="C62" s="0" t="n">
        <f aca="false">+Historicals!C114</f>
        <v>376</v>
      </c>
      <c r="D62" s="0" t="n">
        <f aca="false">+Historicals!D114</f>
        <v>383</v>
      </c>
      <c r="E62" s="0" t="n">
        <f aca="false">+Historicals!E114</f>
        <v>427</v>
      </c>
      <c r="F62" s="0" t="n">
        <f aca="false">+Historicals!F114</f>
        <v>432</v>
      </c>
      <c r="G62" s="0" t="n">
        <f aca="false">+Historicals!G114</f>
        <v>402</v>
      </c>
      <c r="H62" s="0" t="n">
        <f aca="false">+Historicals!H114</f>
        <v>490</v>
      </c>
      <c r="I62" s="0" t="n">
        <f aca="false">+Historicals!I114</f>
        <v>564</v>
      </c>
      <c r="J62" s="68" t="n">
        <f aca="false">+I62*(1+I63)</f>
        <v>649.175510204082</v>
      </c>
      <c r="K62" s="68" t="n">
        <f aca="false">+J62*(1+J63)</f>
        <v>747.214260724698</v>
      </c>
      <c r="L62" s="68" t="n">
        <f aca="false">+K62*(1+K63)</f>
        <v>860.058863364755</v>
      </c>
      <c r="M62" s="68" t="n">
        <f aca="false">+L62*(1+L63)</f>
        <v>989.945303954534</v>
      </c>
      <c r="N62" s="68" t="n">
        <f aca="false">+M62*(1+M63)</f>
        <v>1139.44724781706</v>
      </c>
    </row>
    <row r="63" customFormat="false" ht="13.8" hidden="false" customHeight="false" outlineLevel="0" collapsed="false">
      <c r="A63" s="65" t="s">
        <v>144</v>
      </c>
      <c r="B63" s="0" t="str">
        <f aca="false">IFERROR(B62/A62-1,"nm")</f>
        <v>nm</v>
      </c>
      <c r="C63" s="56" t="n">
        <f aca="false">C62/B62-1</f>
        <v>0.010752688172043</v>
      </c>
      <c r="D63" s="56" t="n">
        <f aca="false">D62/C62-1</f>
        <v>0.0186170212765957</v>
      </c>
      <c r="E63" s="56" t="n">
        <f aca="false">E62/D62-1</f>
        <v>0.114882506527415</v>
      </c>
      <c r="F63" s="56" t="n">
        <f aca="false">F62/E62-1</f>
        <v>0.0117096018735363</v>
      </c>
      <c r="G63" s="56" t="n">
        <f aca="false">G62/F62-1</f>
        <v>-0.0694444444444444</v>
      </c>
      <c r="H63" s="56" t="n">
        <f aca="false">H62/G62-1</f>
        <v>0.218905472636816</v>
      </c>
      <c r="I63" s="56" t="n">
        <f aca="false">I62/H62-1</f>
        <v>0.151020408163265</v>
      </c>
      <c r="J63" s="56" t="n">
        <f aca="false">J62/I62-1</f>
        <v>0.151020408163265</v>
      </c>
      <c r="K63" s="56" t="n">
        <f aca="false">K62/J62-1</f>
        <v>0.151020408163265</v>
      </c>
      <c r="L63" s="56" t="n">
        <f aca="false">L62/K62-1</f>
        <v>0.151020408163265</v>
      </c>
      <c r="M63" s="56" t="n">
        <f aca="false">M62/L62-1</f>
        <v>0.151020408163265</v>
      </c>
      <c r="N63" s="56" t="n">
        <f aca="false">N62/M62-1</f>
        <v>0.151020408163265</v>
      </c>
    </row>
    <row r="64" customFormat="false" ht="13.8" hidden="false" customHeight="false" outlineLevel="0" collapsed="false">
      <c r="A64" s="65" t="s">
        <v>158</v>
      </c>
      <c r="B64" s="66" t="n">
        <f aca="false">+Historicals!B186</f>
        <v>0.0782608695652174</v>
      </c>
      <c r="C64" s="66" t="n">
        <f aca="false">+Historicals!C186</f>
        <v>0.010752688172043</v>
      </c>
      <c r="D64" s="66" t="n">
        <f aca="false">+Historicals!D186</f>
        <v>0.0186170212765957</v>
      </c>
      <c r="E64" s="66" t="n">
        <f aca="false">+Historicals!E186</f>
        <v>0.114882506527415</v>
      </c>
      <c r="F64" s="66" t="n">
        <f aca="false">+Historicals!F186</f>
        <v>0.0117096018735363</v>
      </c>
      <c r="G64" s="66" t="n">
        <f aca="false">+Historicals!G186</f>
        <v>-0.0694444444444444</v>
      </c>
      <c r="H64" s="66" t="n">
        <f aca="false">+Historicals!H186</f>
        <v>0.218905472636816</v>
      </c>
      <c r="I64" s="66" t="n">
        <f aca="false">+Historicals!I186</f>
        <v>0.151020408163265</v>
      </c>
      <c r="J64" s="56" t="n">
        <v>0.03</v>
      </c>
      <c r="K64" s="56" t="n">
        <v>0.04</v>
      </c>
      <c r="L64" s="56" t="n">
        <v>0.05</v>
      </c>
      <c r="M64" s="56" t="n">
        <v>0.06</v>
      </c>
      <c r="N64" s="56" t="n">
        <v>0.07</v>
      </c>
    </row>
    <row r="65" customFormat="false" ht="13.8" hidden="false" customHeight="false" outlineLevel="0" collapsed="false">
      <c r="A65" s="65" t="s">
        <v>160</v>
      </c>
      <c r="B65" s="0" t="str">
        <f aca="false">IFERROR(B63-B64,"nm")</f>
        <v>nm</v>
      </c>
      <c r="C65" s="56" t="n">
        <f aca="false">C63-C64</f>
        <v>0</v>
      </c>
      <c r="D65" s="56" t="n">
        <f aca="false">D63-D64</f>
        <v>0</v>
      </c>
      <c r="E65" s="56" t="n">
        <f aca="false">E63-E64</f>
        <v>0</v>
      </c>
      <c r="F65" s="56" t="n">
        <f aca="false">F63-F64</f>
        <v>0</v>
      </c>
      <c r="G65" s="56" t="n">
        <f aca="false">G63-G64</f>
        <v>0</v>
      </c>
      <c r="H65" s="56" t="n">
        <f aca="false">H63-H64</f>
        <v>0</v>
      </c>
      <c r="I65" s="56" t="n">
        <f aca="false">I63-I64</f>
        <v>0</v>
      </c>
      <c r="J65" s="56" t="n">
        <f aca="false">J63-J64</f>
        <v>0.121020408163265</v>
      </c>
      <c r="K65" s="56" t="n">
        <f aca="false">K63-K64</f>
        <v>0.111020408163265</v>
      </c>
      <c r="L65" s="56" t="n">
        <f aca="false">L63-L64</f>
        <v>0.101020408163265</v>
      </c>
      <c r="M65" s="56" t="n">
        <f aca="false">M63-M64</f>
        <v>0.0910204081632653</v>
      </c>
      <c r="N65" s="56" t="n">
        <f aca="false">N63-N64</f>
        <v>0.0810204081632653</v>
      </c>
    </row>
    <row r="66" customFormat="false" ht="13.8" hidden="false" customHeight="false" outlineLevel="0" collapsed="false">
      <c r="A66" s="14" t="s">
        <v>145</v>
      </c>
      <c r="B66" s="54" t="n">
        <f aca="false">B69+B73</f>
        <v>1611</v>
      </c>
      <c r="C66" s="54" t="n">
        <f aca="false">C69+C73</f>
        <v>1872</v>
      </c>
      <c r="D66" s="54" t="n">
        <f aca="false">D69+D73</f>
        <v>1613</v>
      </c>
      <c r="E66" s="54" t="n">
        <f aca="false">E69+E73</f>
        <v>1703</v>
      </c>
      <c r="F66" s="54" t="n">
        <f aca="false">F69+F73</f>
        <v>2106</v>
      </c>
      <c r="G66" s="54" t="n">
        <f aca="false">G69+G73</f>
        <v>1673</v>
      </c>
      <c r="H66" s="54" t="n">
        <f aca="false">H69+H73</f>
        <v>2571</v>
      </c>
      <c r="I66" s="54" t="n">
        <f aca="false">I69+I73</f>
        <v>3427</v>
      </c>
      <c r="J66" s="69" t="n">
        <f aca="false">+I66*(1+I67)</f>
        <v>4568.00038895372</v>
      </c>
      <c r="K66" s="69" t="n">
        <f aca="false">+J66*(1+J67)</f>
        <v>4568.00038895372</v>
      </c>
      <c r="L66" s="69" t="n">
        <f aca="false">+K66*(1+K67)</f>
        <v>4568.00038895372</v>
      </c>
      <c r="M66" s="69" t="n">
        <f aca="false">+L66*(1+L67)</f>
        <v>4568.00038895372</v>
      </c>
      <c r="N66" s="69" t="n">
        <f aca="false">+M66*(1+M67)</f>
        <v>4568.00038895372</v>
      </c>
    </row>
    <row r="67" customFormat="false" ht="13.8" hidden="false" customHeight="false" outlineLevel="0" collapsed="false">
      <c r="A67" s="70" t="s">
        <v>144</v>
      </c>
      <c r="B67" s="0" t="str">
        <f aca="false">IFERROR(B66/A66-1,"nm")</f>
        <v>nm</v>
      </c>
      <c r="C67" s="56" t="n">
        <f aca="false">C66/B66-1</f>
        <v>0.162011173184358</v>
      </c>
      <c r="D67" s="56" t="n">
        <f aca="false">D66/C66-1</f>
        <v>-0.138354700854701</v>
      </c>
      <c r="E67" s="56" t="n">
        <f aca="false">E66/D66-1</f>
        <v>0.0557966522008679</v>
      </c>
      <c r="F67" s="56" t="n">
        <f aca="false">F66/E66-1</f>
        <v>0.236641221374046</v>
      </c>
      <c r="G67" s="56" t="n">
        <f aca="false">G66/F66-1</f>
        <v>-0.205603038936372</v>
      </c>
      <c r="H67" s="56" t="n">
        <f aca="false">H66/G66-1</f>
        <v>0.536760310818888</v>
      </c>
      <c r="I67" s="56" t="n">
        <f aca="false">I66/H66-1</f>
        <v>0.332944379618825</v>
      </c>
      <c r="J67" s="56" t="n">
        <v>0</v>
      </c>
      <c r="K67" s="56" t="n">
        <f aca="false">K66/J66-1</f>
        <v>0</v>
      </c>
      <c r="L67" s="56" t="n">
        <f aca="false">L66/K66-1</f>
        <v>0</v>
      </c>
      <c r="M67" s="56" t="n">
        <f aca="false">M66/L66-1</f>
        <v>0</v>
      </c>
      <c r="N67" s="56" t="n">
        <f aca="false">N66/M66-1</f>
        <v>0</v>
      </c>
    </row>
    <row r="68" customFormat="false" ht="13.8" hidden="false" customHeight="false" outlineLevel="0" collapsed="false">
      <c r="A68" s="70" t="s">
        <v>147</v>
      </c>
      <c r="B68" s="56" t="n">
        <f aca="false">B66/B52</f>
        <v>0.226073533539152</v>
      </c>
      <c r="C68" s="56" t="n">
        <f aca="false">C66/C52</f>
        <v>0.247357293868922</v>
      </c>
      <c r="D68" s="56" t="n">
        <f aca="false">D66/D52</f>
        <v>0.202383939774153</v>
      </c>
      <c r="E68" s="56" t="n">
        <f aca="false">E66/E52</f>
        <v>0.184267474572603</v>
      </c>
      <c r="F68" s="56" t="n">
        <f aca="false">F66/F52</f>
        <v>0.214635140644109</v>
      </c>
      <c r="G68" s="56" t="n">
        <f aca="false">G66/G52</f>
        <v>0.178987910559538</v>
      </c>
      <c r="H68" s="56" t="n">
        <f aca="false">H66/H52</f>
        <v>0.224423882681564</v>
      </c>
      <c r="I68" s="56" t="n">
        <f aca="false">I66/I52</f>
        <v>0.274621363891337</v>
      </c>
      <c r="J68" s="56" t="n">
        <f aca="false">J66/J52</f>
        <v>0.338939818076124</v>
      </c>
      <c r="K68" s="56" t="n">
        <f aca="false">K66/K52</f>
        <v>0.3138331648853</v>
      </c>
      <c r="L68" s="56" t="n">
        <f aca="false">L66/L52</f>
        <v>0.290586263782686</v>
      </c>
      <c r="M68" s="56" t="n">
        <f aca="false">M66/M52</f>
        <v>0.269061355354338</v>
      </c>
      <c r="N68" s="56" t="n">
        <f aca="false">N66/N52</f>
        <v>0.24913088458735</v>
      </c>
    </row>
    <row r="69" customFormat="false" ht="13.8" hidden="false" customHeight="false" outlineLevel="0" collapsed="false">
      <c r="A69" s="14" t="s">
        <v>148</v>
      </c>
      <c r="B69" s="71" t="n">
        <f aca="false">+Historicals!B168</f>
        <v>87</v>
      </c>
      <c r="C69" s="71" t="n">
        <f aca="false">+Historicals!C168</f>
        <v>85</v>
      </c>
      <c r="D69" s="71" t="n">
        <f aca="false">+Historicals!D168</f>
        <v>106</v>
      </c>
      <c r="E69" s="71" t="n">
        <f aca="false">+Historicals!E168</f>
        <v>116</v>
      </c>
      <c r="F69" s="71" t="n">
        <f aca="false">+Historicals!F168</f>
        <v>111</v>
      </c>
      <c r="G69" s="71" t="n">
        <f aca="false">+Historicals!G168</f>
        <v>132</v>
      </c>
      <c r="H69" s="71" t="n">
        <f aca="false">+Historicals!H168</f>
        <v>136</v>
      </c>
      <c r="I69" s="71" t="n">
        <f aca="false">+Historicals!I168</f>
        <v>134</v>
      </c>
      <c r="J69" s="64" t="n">
        <f aca="false">+I69*(1+I70)</f>
        <v>132.029411764706</v>
      </c>
      <c r="K69" s="64" t="n">
        <f aca="false">+J69*(1+J70)</f>
        <v>132.029411764706</v>
      </c>
      <c r="L69" s="64" t="n">
        <f aca="false">+K69*(1+K70)</f>
        <v>132.029411764706</v>
      </c>
      <c r="M69" s="64" t="n">
        <f aca="false">+L69*(1+L70)</f>
        <v>132.029411764706</v>
      </c>
      <c r="N69" s="64" t="n">
        <f aca="false">+M69*(1+M70)</f>
        <v>132.029411764706</v>
      </c>
    </row>
    <row r="70" customFormat="false" ht="13.8" hidden="false" customHeight="false" outlineLevel="0" collapsed="false">
      <c r="A70" s="70" t="s">
        <v>144</v>
      </c>
      <c r="B70" s="61" t="str">
        <f aca="false">IFERROR(B69/A69-1,"nm")</f>
        <v>nm</v>
      </c>
      <c r="C70" s="56" t="n">
        <f aca="false">C69/B69-1</f>
        <v>-0.0229885057471264</v>
      </c>
      <c r="D70" s="56" t="n">
        <f aca="false">D69/C69-1</f>
        <v>0.247058823529412</v>
      </c>
      <c r="E70" s="56" t="n">
        <f aca="false">E69/D69-1</f>
        <v>0.0943396226415094</v>
      </c>
      <c r="F70" s="56" t="n">
        <f aca="false">F69/E69-1</f>
        <v>-0.0431034482758621</v>
      </c>
      <c r="G70" s="56" t="n">
        <f aca="false">G69/F69-1</f>
        <v>0.189189189189189</v>
      </c>
      <c r="H70" s="56" t="n">
        <f aca="false">H69/G69-1</f>
        <v>0.0303030303030303</v>
      </c>
      <c r="I70" s="56" t="n">
        <f aca="false">I69/H69-1</f>
        <v>-0.0147058823529411</v>
      </c>
      <c r="J70" s="56" t="n">
        <v>0</v>
      </c>
      <c r="K70" s="56" t="n">
        <v>0</v>
      </c>
      <c r="L70" s="56" t="n">
        <v>0</v>
      </c>
      <c r="M70" s="56" t="n">
        <v>0</v>
      </c>
      <c r="N70" s="56" t="n">
        <v>0</v>
      </c>
    </row>
    <row r="71" customFormat="false" ht="13.8" hidden="false" customHeight="false" outlineLevel="0" collapsed="false">
      <c r="A71" s="70" t="s">
        <v>150</v>
      </c>
      <c r="B71" s="56" t="n">
        <f aca="false">B69/B52</f>
        <v>0.0122088127982038</v>
      </c>
      <c r="C71" s="56" t="n">
        <f aca="false">C69/C52</f>
        <v>0.0112315010570825</v>
      </c>
      <c r="D71" s="56" t="n">
        <f aca="false">D69/D52</f>
        <v>0.0132998745294856</v>
      </c>
      <c r="E71" s="56" t="n">
        <f aca="false">E69/E52</f>
        <v>0.0125513958017745</v>
      </c>
      <c r="F71" s="56" t="n">
        <f aca="false">F69/F52</f>
        <v>0.0113126783530371</v>
      </c>
      <c r="G71" s="56" t="n">
        <f aca="false">G69/G52</f>
        <v>0.0141221782390072</v>
      </c>
      <c r="H71" s="56" t="n">
        <f aca="false">H69/H52</f>
        <v>0.0118715083798883</v>
      </c>
      <c r="I71" s="56" t="n">
        <f aca="false">I69/I52</f>
        <v>0.0107380399070438</v>
      </c>
      <c r="J71" s="56" t="n">
        <f aca="false">J69/J52</f>
        <v>0.00979641440321265</v>
      </c>
      <c r="K71" s="56" t="n">
        <f aca="false">K69/K52</f>
        <v>0.00907075407704875</v>
      </c>
      <c r="L71" s="56" t="n">
        <f aca="false">L69/L52</f>
        <v>0.00839884636763773</v>
      </c>
      <c r="M71" s="56" t="n">
        <f aca="false">M69/M52</f>
        <v>0.00777670959966456</v>
      </c>
      <c r="N71" s="56" t="n">
        <f aca="false">N69/N52</f>
        <v>0.00720065703672645</v>
      </c>
    </row>
    <row r="72" customFormat="false" ht="13.8" hidden="false" customHeight="false" outlineLevel="0" collapsed="false">
      <c r="A72" s="70" t="s">
        <v>162</v>
      </c>
      <c r="B72" s="56" t="n">
        <f aca="false">B69/B79</f>
        <v>0.174698795180723</v>
      </c>
      <c r="C72" s="56" t="n">
        <f aca="false">C69/C79</f>
        <v>0.13302034428795</v>
      </c>
      <c r="D72" s="56" t="n">
        <f aca="false">D69/D79</f>
        <v>0.14950634696756</v>
      </c>
      <c r="E72" s="56" t="n">
        <f aca="false">E69/E79</f>
        <v>0.136631330977621</v>
      </c>
      <c r="F72" s="56" t="n">
        <f aca="false">F69/F79</f>
        <v>0.119483315392896</v>
      </c>
      <c r="G72" s="56" t="n">
        <f aca="false">G69/G79</f>
        <v>0.149152542372881</v>
      </c>
      <c r="H72" s="56" t="n">
        <f aca="false">H69/H79</f>
        <v>0.138492871690428</v>
      </c>
      <c r="I72" s="56" t="n">
        <f aca="false">I69/I79</f>
        <v>0.145652173913043</v>
      </c>
      <c r="J72" s="56" t="n">
        <f aca="false">J69/J79</f>
        <v>0.15318157177805</v>
      </c>
      <c r="K72" s="56" t="n">
        <f aca="false">K69/K79</f>
        <v>0.163504677702223</v>
      </c>
      <c r="L72" s="56" t="n">
        <f aca="false">L69/L79</f>
        <v>0.174523471199546</v>
      </c>
      <c r="M72" s="56" t="n">
        <f aca="false">M69/M79</f>
        <v>0.186284835562994</v>
      </c>
      <c r="N72" s="56" t="n">
        <f aca="false">N69/N79</f>
        <v>0.198838813611804</v>
      </c>
    </row>
    <row r="73" customFormat="false" ht="13.8" hidden="false" customHeight="false" outlineLevel="0" collapsed="false">
      <c r="A73" s="14" t="s">
        <v>151</v>
      </c>
      <c r="B73" s="71" t="n">
        <f aca="false">+Historicals!B135</f>
        <v>1524</v>
      </c>
      <c r="C73" s="71" t="n">
        <f aca="false">+Historicals!C135</f>
        <v>1787</v>
      </c>
      <c r="D73" s="71" t="n">
        <f aca="false">+Historicals!D135</f>
        <v>1507</v>
      </c>
      <c r="E73" s="71" t="n">
        <f aca="false">+Historicals!E135</f>
        <v>1587</v>
      </c>
      <c r="F73" s="71" t="n">
        <f aca="false">+Historicals!F135</f>
        <v>1995</v>
      </c>
      <c r="G73" s="71" t="n">
        <f aca="false">+Historicals!G135</f>
        <v>1541</v>
      </c>
      <c r="H73" s="71" t="n">
        <f aca="false">+Historicals!H135</f>
        <v>2435</v>
      </c>
      <c r="I73" s="71" t="n">
        <f aca="false">+Historicals!I135</f>
        <v>3293</v>
      </c>
      <c r="J73" s="55" t="n">
        <f aca="false">+I73*(1+I74)</f>
        <v>4453.32607802875</v>
      </c>
      <c r="K73" s="55" t="n">
        <f aca="false">+J73*(1+J74)</f>
        <v>4453.32607802875</v>
      </c>
      <c r="L73" s="55" t="n">
        <f aca="false">+K73*(1+K74)</f>
        <v>4497.85933880904</v>
      </c>
      <c r="M73" s="55" t="n">
        <f aca="false">+L73*(1+L74)</f>
        <v>4587.81652558522</v>
      </c>
      <c r="N73" s="55" t="n">
        <f aca="false">+M73*(1+M74)</f>
        <v>4725.45102135277</v>
      </c>
    </row>
    <row r="74" customFormat="false" ht="13.8" hidden="false" customHeight="false" outlineLevel="0" collapsed="false">
      <c r="A74" s="70" t="s">
        <v>144</v>
      </c>
      <c r="B74" s="61" t="str">
        <f aca="false">IFERROR(B73/A73-1,"nm")</f>
        <v>nm</v>
      </c>
      <c r="C74" s="56" t="n">
        <f aca="false">C73/B73-1</f>
        <v>0.17257217847769</v>
      </c>
      <c r="D74" s="56" t="n">
        <f aca="false">D73/C73-1</f>
        <v>-0.156687185226637</v>
      </c>
      <c r="E74" s="56" t="n">
        <f aca="false">E73/D73-1</f>
        <v>0.053085600530856</v>
      </c>
      <c r="F74" s="56" t="n">
        <f aca="false">F73/E73-1</f>
        <v>0.257088846880907</v>
      </c>
      <c r="G74" s="56" t="n">
        <f aca="false">G73/F73-1</f>
        <v>-0.227568922305764</v>
      </c>
      <c r="H74" s="56" t="n">
        <f aca="false">H73/G73-1</f>
        <v>0.580142764438676</v>
      </c>
      <c r="I74" s="56" t="n">
        <f aca="false">I73/H73-1</f>
        <v>0.352361396303901</v>
      </c>
      <c r="J74" s="56" t="n">
        <v>0</v>
      </c>
      <c r="K74" s="56" t="n">
        <v>0.01</v>
      </c>
      <c r="L74" s="56" t="n">
        <v>0.02</v>
      </c>
      <c r="M74" s="56" t="n">
        <v>0.03</v>
      </c>
      <c r="N74" s="56" t="n">
        <v>0.04</v>
      </c>
    </row>
    <row r="75" customFormat="false" ht="13.8" hidden="false" customHeight="false" outlineLevel="0" collapsed="false">
      <c r="A75" s="70" t="s">
        <v>147</v>
      </c>
      <c r="B75" s="56" t="n">
        <f aca="false">B73/B52</f>
        <v>0.213864720740949</v>
      </c>
      <c r="C75" s="56" t="n">
        <f aca="false">C73/C52</f>
        <v>0.236125792811839</v>
      </c>
      <c r="D75" s="56" t="n">
        <f aca="false">D73/D52</f>
        <v>0.189084065244668</v>
      </c>
      <c r="E75" s="56" t="n">
        <f aca="false">E73/E52</f>
        <v>0.171716078770829</v>
      </c>
      <c r="F75" s="56" t="n">
        <f aca="false">F73/F52</f>
        <v>0.203322462291072</v>
      </c>
      <c r="G75" s="56" t="n">
        <f aca="false">G73/G52</f>
        <v>0.164865732320531</v>
      </c>
      <c r="H75" s="56" t="n">
        <f aca="false">H73/H52</f>
        <v>0.212552374301676</v>
      </c>
      <c r="I75" s="56" t="n">
        <f aca="false">I73/I52</f>
        <v>0.263883323984294</v>
      </c>
      <c r="J75" s="56" t="n">
        <f aca="false">J73/J52</f>
        <v>0.330431130078439</v>
      </c>
      <c r="K75" s="56" t="n">
        <f aca="false">K73/K52</f>
        <v>0.305954750072629</v>
      </c>
      <c r="L75" s="56" t="n">
        <f aca="false">L73/L52</f>
        <v>0.286124349604958</v>
      </c>
      <c r="M75" s="56" t="n">
        <f aca="false">M73/M52</f>
        <v>0.270228552404683</v>
      </c>
      <c r="N75" s="56" t="n">
        <f aca="false">N73/N52</f>
        <v>0.257717971274836</v>
      </c>
    </row>
    <row r="76" customFormat="false" ht="13.8" hidden="false" customHeight="false" outlineLevel="0" collapsed="false">
      <c r="A76" s="14" t="s">
        <v>153</v>
      </c>
      <c r="B76" s="71" t="n">
        <v>236</v>
      </c>
      <c r="C76" s="71" t="n">
        <v>234</v>
      </c>
      <c r="D76" s="71" t="n">
        <v>173</v>
      </c>
      <c r="E76" s="71" t="n">
        <v>240</v>
      </c>
      <c r="F76" s="71" t="n">
        <v>233</v>
      </c>
      <c r="G76" s="71" t="n">
        <v>139</v>
      </c>
      <c r="H76" s="71" t="n">
        <v>153</v>
      </c>
      <c r="I76" s="71" t="n">
        <v>197</v>
      </c>
      <c r="J76" s="55" t="n">
        <f aca="false">+I76*(1+I77)</f>
        <v>253.653594771242</v>
      </c>
      <c r="K76" s="55" t="n">
        <f aca="false">+J76*(1+J77)</f>
        <v>326.59972660088</v>
      </c>
      <c r="L76" s="55" t="n">
        <f aca="false">+K76*(1+K77)</f>
        <v>420.523830982833</v>
      </c>
      <c r="M76" s="55" t="n">
        <f aca="false">+L76*(1+L77)</f>
        <v>541.458788912536</v>
      </c>
      <c r="N76" s="55" t="n">
        <f aca="false">+M76*(1+M77)</f>
        <v>697.17242755405</v>
      </c>
    </row>
    <row r="77" customFormat="false" ht="13.8" hidden="false" customHeight="false" outlineLevel="0" collapsed="false">
      <c r="A77" s="70" t="s">
        <v>144</v>
      </c>
      <c r="B77" s="0" t="str">
        <f aca="false">IFERROR(B76/A76-1,"nm")</f>
        <v>nm</v>
      </c>
      <c r="C77" s="56" t="n">
        <f aca="false">C76/B76-1</f>
        <v>-0.00847457627118642</v>
      </c>
      <c r="D77" s="56" t="n">
        <f aca="false">D76/C76-1</f>
        <v>-0.260683760683761</v>
      </c>
      <c r="E77" s="56" t="n">
        <f aca="false">E76/D76-1</f>
        <v>0.38728323699422</v>
      </c>
      <c r="F77" s="56" t="n">
        <f aca="false">F76/E76-1</f>
        <v>-0.0291666666666667</v>
      </c>
      <c r="G77" s="56" t="n">
        <f aca="false">G76/F76-1</f>
        <v>-0.40343347639485</v>
      </c>
      <c r="H77" s="56" t="n">
        <f aca="false">H76/G76-1</f>
        <v>0.100719424460432</v>
      </c>
      <c r="I77" s="56" t="n">
        <f aca="false">I76/H76-1</f>
        <v>0.287581699346405</v>
      </c>
      <c r="J77" s="56" t="n">
        <f aca="false">J76/I76-1</f>
        <v>0.287581699346405</v>
      </c>
      <c r="K77" s="56" t="n">
        <f aca="false">K76/J76-1</f>
        <v>0.287581699346405</v>
      </c>
      <c r="L77" s="56" t="n">
        <f aca="false">L76/K76-1</f>
        <v>0.287581699346405</v>
      </c>
      <c r="M77" s="56" t="n">
        <f aca="false">M76/L76-1</f>
        <v>0.287581699346406</v>
      </c>
      <c r="N77" s="56" t="n">
        <f aca="false">N76/M76-1</f>
        <v>0.287581699346406</v>
      </c>
    </row>
    <row r="78" customFormat="false" ht="13.8" hidden="false" customHeight="false" outlineLevel="0" collapsed="false">
      <c r="A78" s="70" t="s">
        <v>150</v>
      </c>
      <c r="B78" s="56" t="n">
        <f aca="false">B76/B52</f>
        <v>0.0331181588548976</v>
      </c>
      <c r="C78" s="56" t="n">
        <f aca="false">C76/C52</f>
        <v>0.0309196617336152</v>
      </c>
      <c r="D78" s="56" t="n">
        <f aca="false">D76/D52</f>
        <v>0.0217063989962359</v>
      </c>
      <c r="E78" s="56" t="n">
        <f aca="false">E76/E52</f>
        <v>0.0259684051071197</v>
      </c>
      <c r="F78" s="56" t="n">
        <f aca="false">F76/F52</f>
        <v>0.023746432939258</v>
      </c>
      <c r="G78" s="56" t="n">
        <f aca="false">G76/G52</f>
        <v>0.0148710816304697</v>
      </c>
      <c r="H78" s="56" t="n">
        <f aca="false">H76/H52</f>
        <v>0.0133554469273743</v>
      </c>
      <c r="I78" s="56" t="n">
        <f aca="false">I76/I52</f>
        <v>0.0157865213558779</v>
      </c>
      <c r="J78" s="56" t="n">
        <f aca="false">J76/J52</f>
        <v>0.0188207740686755</v>
      </c>
      <c r="K78" s="56" t="n">
        <f aca="false">K76/K52</f>
        <v>0.0224382261651481</v>
      </c>
      <c r="L78" s="56" t="n">
        <f aca="false">L76/L52</f>
        <v>0.0267509716444818</v>
      </c>
      <c r="M78" s="56" t="n">
        <f aca="false">M76/M52</f>
        <v>0.0318926495640458</v>
      </c>
      <c r="N78" s="56" t="n">
        <f aca="false">N76/N52</f>
        <v>0.0380225851132717</v>
      </c>
    </row>
    <row r="79" customFormat="false" ht="13.8" hidden="false" customHeight="false" outlineLevel="0" collapsed="false">
      <c r="A79" s="14" t="s">
        <v>155</v>
      </c>
      <c r="B79" s="71" t="n">
        <f aca="false">+Historicals!B146</f>
        <v>498</v>
      </c>
      <c r="C79" s="71" t="n">
        <f aca="false">+Historicals!C146</f>
        <v>639</v>
      </c>
      <c r="D79" s="71" t="n">
        <f aca="false">+Historicals!D146</f>
        <v>709</v>
      </c>
      <c r="E79" s="71" t="n">
        <f aca="false">+Historicals!E146</f>
        <v>849</v>
      </c>
      <c r="F79" s="71" t="n">
        <f aca="false">+Historicals!F146</f>
        <v>929</v>
      </c>
      <c r="G79" s="71" t="n">
        <f aca="false">+Historicals!G146</f>
        <v>885</v>
      </c>
      <c r="H79" s="71" t="n">
        <f aca="false">+Historicals!H146</f>
        <v>982</v>
      </c>
      <c r="I79" s="71" t="n">
        <f aca="false">+Historicals!I146</f>
        <v>920</v>
      </c>
      <c r="J79" s="55" t="n">
        <f aca="false">+I79*(1+I80)</f>
        <v>861.914460285132</v>
      </c>
      <c r="K79" s="55" t="n">
        <f aca="false">+J79*(1+J80)</f>
        <v>807.496235705012</v>
      </c>
      <c r="L79" s="55" t="n">
        <f aca="false">+K79*(1+K80)</f>
        <v>756.513784978219</v>
      </c>
      <c r="M79" s="55" t="n">
        <f aca="false">+L79*(1+L80)</f>
        <v>708.750185519309</v>
      </c>
      <c r="N79" s="55" t="n">
        <f aca="false">+M79*(1+M80)</f>
        <v>664.002210466155</v>
      </c>
    </row>
    <row r="80" customFormat="false" ht="13.8" hidden="false" customHeight="false" outlineLevel="0" collapsed="false">
      <c r="A80" s="70" t="s">
        <v>144</v>
      </c>
      <c r="B80" s="0" t="str">
        <f aca="false">IFERROR(B79/A79-1,"nm")</f>
        <v>nm</v>
      </c>
      <c r="C80" s="56" t="n">
        <f aca="false">C79/B79-1</f>
        <v>0.283132530120482</v>
      </c>
      <c r="D80" s="56" t="n">
        <f aca="false">D79/C79-1</f>
        <v>0.109546165884194</v>
      </c>
      <c r="E80" s="56" t="n">
        <f aca="false">E79/D79-1</f>
        <v>0.197461212976022</v>
      </c>
      <c r="F80" s="56" t="n">
        <f aca="false">F79/E79-1</f>
        <v>0.0942285041224971</v>
      </c>
      <c r="G80" s="56" t="n">
        <f aca="false">G79/F79-1</f>
        <v>-0.0473627556512379</v>
      </c>
      <c r="H80" s="56" t="n">
        <f aca="false">H79/G79-1</f>
        <v>0.109604519774011</v>
      </c>
      <c r="I80" s="56" t="n">
        <f aca="false">I79/H79-1</f>
        <v>-0.0631364562118126</v>
      </c>
      <c r="J80" s="56" t="n">
        <f aca="false">J79/I79-1</f>
        <v>-0.0631364562118126</v>
      </c>
      <c r="K80" s="56" t="n">
        <f aca="false">K79/J79-1</f>
        <v>-0.0631364562118126</v>
      </c>
      <c r="L80" s="56" t="n">
        <f aca="false">L79/K79-1</f>
        <v>-0.0631364562118126</v>
      </c>
      <c r="M80" s="56" t="n">
        <f aca="false">M79/L79-1</f>
        <v>-0.0631364562118126</v>
      </c>
      <c r="N80" s="56" t="n">
        <f aca="false">N79/M79-1</f>
        <v>-0.0631364562118126</v>
      </c>
    </row>
    <row r="81" customFormat="false" ht="13.8" hidden="false" customHeight="false" outlineLevel="0" collapsed="false">
      <c r="A81" s="70" t="s">
        <v>150</v>
      </c>
      <c r="B81" s="56" t="n">
        <f aca="false">B79/B52</f>
        <v>0.0698849284310974</v>
      </c>
      <c r="C81" s="56" t="n">
        <f aca="false">C79/C52</f>
        <v>0.0844344608879493</v>
      </c>
      <c r="D81" s="56" t="n">
        <f aca="false">D79/D52</f>
        <v>0.0889585947302384</v>
      </c>
      <c r="E81" s="56" t="n">
        <f aca="false">E79/E52</f>
        <v>0.0918632330664358</v>
      </c>
      <c r="F81" s="56" t="n">
        <f aca="false">F79/F52</f>
        <v>0.0946799836934366</v>
      </c>
      <c r="G81" s="56" t="n">
        <f aca="false">G79/G52</f>
        <v>0.0946827859206162</v>
      </c>
      <c r="H81" s="56" t="n">
        <f aca="false">H79/H52</f>
        <v>0.0857192737430168</v>
      </c>
      <c r="I81" s="56" t="n">
        <f aca="false">I79/I52</f>
        <v>0.0737238560782114</v>
      </c>
      <c r="J81" s="56" t="n">
        <f aca="false">J79/J52</f>
        <v>0.0639529565436698</v>
      </c>
      <c r="K81" s="56" t="n">
        <f aca="false">K79/K52</f>
        <v>0.0554770310215134</v>
      </c>
      <c r="L81" s="56" t="n">
        <f aca="false">L79/L52</f>
        <v>0.0481244517422798</v>
      </c>
      <c r="M81" s="56" t="n">
        <f aca="false">M79/M52</f>
        <v>0.0417463374093851</v>
      </c>
      <c r="N81" s="56" t="n">
        <f aca="false">N79/N52</f>
        <v>0.0362135385236425</v>
      </c>
    </row>
    <row r="82" customFormat="false" ht="13.8" hidden="false" customHeight="false" outlineLevel="0" collapsed="false">
      <c r="A82" s="72" t="s">
        <v>124</v>
      </c>
      <c r="B82" s="57"/>
      <c r="C82" s="57"/>
      <c r="D82" s="57"/>
      <c r="E82" s="57"/>
      <c r="F82" s="57"/>
      <c r="G82" s="57"/>
      <c r="H82" s="57"/>
      <c r="I82" s="57"/>
      <c r="J82" s="48"/>
      <c r="K82" s="48"/>
      <c r="L82" s="48"/>
      <c r="M82" s="48"/>
      <c r="N82" s="48"/>
    </row>
    <row r="83" customFormat="false" ht="13.8" hidden="false" customHeight="false" outlineLevel="0" collapsed="false">
      <c r="A83" s="14" t="s">
        <v>157</v>
      </c>
      <c r="B83" s="71" t="n">
        <f aca="false">+Historicals!B125</f>
        <v>1982</v>
      </c>
      <c r="C83" s="71" t="n">
        <f aca="false">+Historicals!C125</f>
        <v>1955</v>
      </c>
      <c r="D83" s="71" t="n">
        <f aca="false">+Historicals!D125</f>
        <v>2042</v>
      </c>
      <c r="E83" s="71" t="n">
        <f aca="false">+Historicals!E125</f>
        <v>1886</v>
      </c>
      <c r="F83" s="71" t="n">
        <f aca="false">+Historicals!F125</f>
        <v>1906</v>
      </c>
      <c r="G83" s="71" t="n">
        <f aca="false">+Historicals!G125</f>
        <v>1846</v>
      </c>
      <c r="H83" s="71" t="n">
        <f aca="false">+Historicals!H125</f>
        <v>2205</v>
      </c>
      <c r="I83" s="71" t="n">
        <f aca="false">+Historicals!I125</f>
        <v>2346</v>
      </c>
      <c r="J83" s="64" t="n">
        <f aca="false">+I83*(1.04)</f>
        <v>2439.84</v>
      </c>
      <c r="K83" s="64" t="n">
        <f aca="false">+J83*(1.04)</f>
        <v>2537.4336</v>
      </c>
      <c r="L83" s="64" t="n">
        <f aca="false">+K83*(1.04)</f>
        <v>2638.930944</v>
      </c>
      <c r="M83" s="64" t="n">
        <f aca="false">+L83*(1.04)</f>
        <v>2744.48818176</v>
      </c>
      <c r="N83" s="64" t="n">
        <f aca="false">+M83*(1.04)</f>
        <v>2854.2677090304</v>
      </c>
    </row>
    <row r="84" customFormat="false" ht="13.8" hidden="false" customHeight="false" outlineLevel="0" collapsed="false">
      <c r="A84" s="65" t="s">
        <v>144</v>
      </c>
      <c r="B84" s="66" t="n">
        <f aca="false">+Historicals!B197</f>
        <v>0.176959619952494</v>
      </c>
      <c r="C84" s="66" t="n">
        <f aca="false">+Historicals!C197</f>
        <v>-0.0136226034308779</v>
      </c>
      <c r="D84" s="66" t="n">
        <f aca="false">+Historicals!D197</f>
        <v>0.0445012787723785</v>
      </c>
      <c r="E84" s="66" t="n">
        <f aca="false">+Historicals!E197</f>
        <v>-0.0763956904995103</v>
      </c>
      <c r="F84" s="66" t="n">
        <f aca="false">+Historicals!F197</f>
        <v>0.0106044538706257</v>
      </c>
      <c r="G84" s="66" t="n">
        <f aca="false">+Historicals!G197</f>
        <v>-0.0314795383001049</v>
      </c>
      <c r="H84" s="66" t="n">
        <f aca="false">+Historicals!H197</f>
        <v>0.194474539544962</v>
      </c>
      <c r="I84" s="66" t="n">
        <f aca="false">+Historicals!I197</f>
        <v>0.0639455782312925</v>
      </c>
      <c r="J84" s="56" t="n">
        <f aca="false">J83/I83-1</f>
        <v>0.04</v>
      </c>
      <c r="K84" s="56" t="n">
        <f aca="false">K83/J83-1</f>
        <v>0.04</v>
      </c>
      <c r="L84" s="56" t="n">
        <f aca="false">L83/K83-1</f>
        <v>0.04</v>
      </c>
      <c r="M84" s="56" t="n">
        <f aca="false">M83/L83-1</f>
        <v>0.04</v>
      </c>
      <c r="N84" s="56" t="n">
        <f aca="false">N83/M83-1</f>
        <v>0.04</v>
      </c>
    </row>
    <row r="85" customFormat="false" ht="13.8" hidden="false" customHeight="false" outlineLevel="0" collapsed="false">
      <c r="A85" s="67" t="s">
        <v>116</v>
      </c>
      <c r="B85" s="73" t="n">
        <f aca="false">+Historicals!B126</f>
        <v>18318</v>
      </c>
      <c r="C85" s="73" t="n">
        <f aca="false">+Historicals!C126</f>
        <v>19871</v>
      </c>
      <c r="D85" s="73" t="n">
        <f aca="false">+Historicals!D126</f>
        <v>21081</v>
      </c>
      <c r="E85" s="73" t="n">
        <f aca="false">+Historicals!E126</f>
        <v>22268</v>
      </c>
      <c r="F85" s="73" t="n">
        <f aca="false">+Historicals!F126</f>
        <v>25880</v>
      </c>
      <c r="G85" s="73" t="n">
        <f aca="false">+Historicals!G126</f>
        <v>24947</v>
      </c>
      <c r="H85" s="73" t="n">
        <f aca="false">+Historicals!H126</f>
        <v>1986</v>
      </c>
      <c r="I85" s="73" t="n">
        <f aca="false">+Historicals!I126</f>
        <v>2094</v>
      </c>
      <c r="J85" s="68" t="n">
        <f aca="false">+I85*(1+I86)</f>
        <v>2207.87311178248</v>
      </c>
      <c r="K85" s="68" t="n">
        <f aca="false">+J85*(1+J86)</f>
        <v>2327.93871906974</v>
      </c>
      <c r="L85" s="68" t="n">
        <f aca="false">+K85*(1+K86)</f>
        <v>2454.5335738832</v>
      </c>
      <c r="M85" s="68" t="n">
        <f aca="false">+L85*(1+L86)</f>
        <v>2588.01274104301</v>
      </c>
      <c r="N85" s="68" t="n">
        <f aca="false">+M85*(1+M86)</f>
        <v>2728.75059403025</v>
      </c>
    </row>
    <row r="86" customFormat="false" ht="13.8" hidden="false" customHeight="false" outlineLevel="0" collapsed="false">
      <c r="A86" s="65" t="s">
        <v>144</v>
      </c>
      <c r="B86" s="0" t="str">
        <f aca="false">IFERROR(B85/A85-1,"nm")</f>
        <v>nm</v>
      </c>
      <c r="C86" s="56" t="n">
        <f aca="false">C85/B85-1</f>
        <v>0.0847799978163555</v>
      </c>
      <c r="D86" s="56" t="n">
        <f aca="false">D85/C85-1</f>
        <v>0.0608927582909768</v>
      </c>
      <c r="E86" s="56" t="n">
        <f aca="false">E85/D85-1</f>
        <v>0.0563066268203596</v>
      </c>
      <c r="F86" s="56" t="n">
        <f aca="false">F85/E85-1</f>
        <v>0.16220585593677</v>
      </c>
      <c r="G86" s="56" t="n">
        <f aca="false">G85/F85-1</f>
        <v>-0.0360510046367851</v>
      </c>
      <c r="H86" s="56" t="n">
        <f aca="false">H85/G85-1</f>
        <v>-0.920391229406341</v>
      </c>
      <c r="I86" s="56" t="n">
        <f aca="false">I85/H85-1</f>
        <v>0.054380664652568</v>
      </c>
      <c r="J86" s="56" t="n">
        <f aca="false">J85/I85-1</f>
        <v>0.054380664652568</v>
      </c>
      <c r="K86" s="56" t="n">
        <f aca="false">K85/J85-1</f>
        <v>0.054380664652568</v>
      </c>
      <c r="L86" s="56" t="n">
        <f aca="false">L85/K85-1</f>
        <v>0.054380664652568</v>
      </c>
      <c r="M86" s="56" t="n">
        <f aca="false">M85/L85-1</f>
        <v>0.054380664652568</v>
      </c>
      <c r="N86" s="56" t="n">
        <f aca="false">N85/M85-1</f>
        <v>0.054380664652568</v>
      </c>
    </row>
    <row r="87" customFormat="false" ht="13.8" hidden="false" customHeight="false" outlineLevel="0" collapsed="false">
      <c r="A87" s="65" t="s">
        <v>158</v>
      </c>
      <c r="B87" s="66" t="n">
        <f aca="false">+Historicals!B198</f>
        <v>0.130182625863771</v>
      </c>
      <c r="C87" s="66" t="n">
        <f aca="false">+Historicals!C198</f>
        <v>0.0847799978163555</v>
      </c>
      <c r="D87" s="66" t="n">
        <f aca="false">+Historicals!D198</f>
        <v>0.0608927582909768</v>
      </c>
      <c r="E87" s="66" t="n">
        <f aca="false">+Historicals!E198</f>
        <v>0.0563066268203596</v>
      </c>
      <c r="F87" s="66" t="n">
        <f aca="false">+Historicals!F198</f>
        <v>0.16220585593677</v>
      </c>
      <c r="G87" s="66" t="n">
        <f aca="false">+Historicals!G198</f>
        <v>-0.0360510046367852</v>
      </c>
      <c r="H87" s="66" t="n">
        <f aca="false">+Historicals!H198</f>
        <v>-0.920391229406341</v>
      </c>
      <c r="I87" s="66" t="n">
        <f aca="false">+Historicals!I198</f>
        <v>0.054380664652568</v>
      </c>
      <c r="J87" s="56" t="n">
        <v>0.04</v>
      </c>
      <c r="K87" s="56" t="n">
        <v>0.05</v>
      </c>
      <c r="L87" s="56" t="n">
        <v>0.06</v>
      </c>
      <c r="M87" s="56" t="n">
        <v>0.07</v>
      </c>
      <c r="N87" s="56" t="n">
        <v>0.08</v>
      </c>
      <c r="O87" s="4" t="s">
        <v>164</v>
      </c>
    </row>
    <row r="88" customFormat="false" ht="13.8" hidden="false" customHeight="false" outlineLevel="0" collapsed="false">
      <c r="A88" s="65" t="s">
        <v>160</v>
      </c>
      <c r="B88" s="0" t="str">
        <f aca="false">IFERROR(B86-B87,"nm")</f>
        <v>nm</v>
      </c>
      <c r="C88" s="56" t="n">
        <f aca="false">C86-C87</f>
        <v>0</v>
      </c>
      <c r="D88" s="56" t="n">
        <f aca="false">D86-D87</f>
        <v>0</v>
      </c>
      <c r="E88" s="56" t="n">
        <f aca="false">E86-E87</f>
        <v>0</v>
      </c>
      <c r="F88" s="56" t="n">
        <f aca="false">F86-F87</f>
        <v>0</v>
      </c>
      <c r="G88" s="56" t="n">
        <f aca="false">G86-G87</f>
        <v>0</v>
      </c>
      <c r="H88" s="56" t="n">
        <f aca="false">H86-H87</f>
        <v>0</v>
      </c>
      <c r="I88" s="56" t="n">
        <f aca="false">I86-I87</f>
        <v>0</v>
      </c>
      <c r="J88" s="56" t="n">
        <f aca="false">J86-J87</f>
        <v>0.014380664652568</v>
      </c>
      <c r="K88" s="56" t="n">
        <f aca="false">K86-K87</f>
        <v>0.00438066465256796</v>
      </c>
      <c r="L88" s="56" t="n">
        <f aca="false">L86-L87</f>
        <v>-0.00561933534743203</v>
      </c>
      <c r="M88" s="56" t="n">
        <f aca="false">M86-M87</f>
        <v>-0.015619335347432</v>
      </c>
      <c r="N88" s="56" t="n">
        <f aca="false">N86-N87</f>
        <v>-0.025619335347432</v>
      </c>
    </row>
    <row r="89" customFormat="false" ht="13.8" hidden="false" customHeight="false" outlineLevel="0" collapsed="false">
      <c r="A89" s="67" t="s">
        <v>117</v>
      </c>
      <c r="B89" s="73" t="n">
        <f aca="false">+Historicals!B127</f>
        <v>8637</v>
      </c>
      <c r="C89" s="73" t="n">
        <f aca="false">+Historicals!C127</f>
        <v>9067</v>
      </c>
      <c r="D89" s="73" t="n">
        <f aca="false">+Historicals!D127</f>
        <v>9654</v>
      </c>
      <c r="E89" s="73" t="n">
        <f aca="false">+Historicals!E127</f>
        <v>10733</v>
      </c>
      <c r="F89" s="73" t="n">
        <f aca="false">+Historicals!F127</f>
        <v>11668</v>
      </c>
      <c r="G89" s="73" t="n">
        <f aca="false">+Historicals!G127</f>
        <v>11042</v>
      </c>
      <c r="H89" s="73" t="n">
        <f aca="false">+Historicals!H127</f>
        <v>104</v>
      </c>
      <c r="I89" s="73" t="n">
        <f aca="false">+Historicals!I127</f>
        <v>103</v>
      </c>
      <c r="J89" s="74" t="n">
        <f aca="false">+I89*(1+I90)</f>
        <v>102.009615384615</v>
      </c>
      <c r="K89" s="74" t="n">
        <f aca="false">+J89*(1+J90)</f>
        <v>101.028753698225</v>
      </c>
      <c r="L89" s="74" t="n">
        <f aca="false">+K89*(1+K90)</f>
        <v>100.057323374203</v>
      </c>
      <c r="M89" s="74" t="n">
        <f aca="false">+L89*(1+L90)</f>
        <v>99.0952337263746</v>
      </c>
      <c r="N89" s="74" t="n">
        <f aca="false">+M89*(1+M90)</f>
        <v>98.1423949405441</v>
      </c>
    </row>
    <row r="90" customFormat="false" ht="13.8" hidden="false" customHeight="false" outlineLevel="0" collapsed="false">
      <c r="A90" s="65" t="s">
        <v>144</v>
      </c>
      <c r="B90" s="0" t="str">
        <f aca="false">IFERROR(B89/A89-1,"nm")</f>
        <v>nm</v>
      </c>
      <c r="C90" s="56" t="n">
        <f aca="false">C89/B89-1</f>
        <v>0.0497858052564548</v>
      </c>
      <c r="D90" s="56" t="n">
        <f aca="false">D89/C89-1</f>
        <v>0.0647402669019521</v>
      </c>
      <c r="E90" s="56" t="n">
        <f aca="false">E89/D89-1</f>
        <v>0.111767143153097</v>
      </c>
      <c r="F90" s="56" t="n">
        <f aca="false">F89/E89-1</f>
        <v>0.0871145066616976</v>
      </c>
      <c r="G90" s="56" t="n">
        <f aca="false">G89/F89-1</f>
        <v>-0.0536510113129928</v>
      </c>
      <c r="H90" s="56" t="n">
        <f aca="false">H89/G89-1</f>
        <v>-0.990581416410071</v>
      </c>
      <c r="I90" s="56" t="n">
        <f aca="false">I89/H89-1</f>
        <v>-0.00961538461538458</v>
      </c>
      <c r="J90" s="56" t="n">
        <f aca="false">J89/I89-1</f>
        <v>-0.00961538461538458</v>
      </c>
      <c r="K90" s="56" t="n">
        <f aca="false">K89/J89-1</f>
        <v>-0.00961538461538458</v>
      </c>
      <c r="L90" s="56" t="n">
        <f aca="false">L89/K89-1</f>
        <v>-0.00961538461538447</v>
      </c>
      <c r="M90" s="56" t="n">
        <f aca="false">M89/L89-1</f>
        <v>-0.00961538461538447</v>
      </c>
      <c r="N90" s="56" t="n">
        <f aca="false">N89/M89-1</f>
        <v>-0.00961538461538447</v>
      </c>
    </row>
    <row r="91" customFormat="false" ht="13.8" hidden="false" customHeight="false" outlineLevel="0" collapsed="false">
      <c r="A91" s="65" t="s">
        <v>158</v>
      </c>
      <c r="B91" s="56" t="n">
        <f aca="false">+Historicals!B199</f>
        <v>0.0651128375878653</v>
      </c>
      <c r="C91" s="56" t="n">
        <f aca="false">+Historicals!C199</f>
        <v>0.0497858052564548</v>
      </c>
      <c r="D91" s="56" t="n">
        <f aca="false">+Historicals!D199</f>
        <v>0.0647402669019521</v>
      </c>
      <c r="E91" s="56" t="n">
        <f aca="false">+Historicals!E199</f>
        <v>0.111767143153097</v>
      </c>
      <c r="F91" s="56" t="n">
        <f aca="false">+Historicals!F199</f>
        <v>0.0871145066616976</v>
      </c>
      <c r="G91" s="56" t="n">
        <f aca="false">+Historicals!G199</f>
        <v>-0.0536510113129928</v>
      </c>
      <c r="H91" s="56" t="n">
        <f aca="false">+Historicals!H199</f>
        <v>-0.990581416410071</v>
      </c>
      <c r="I91" s="56" t="n">
        <f aca="false">+Historicals!I199</f>
        <v>-0.00961538461538462</v>
      </c>
      <c r="J91" s="56" t="n">
        <v>-0.04</v>
      </c>
      <c r="K91" s="56" t="n">
        <v>-0.03</v>
      </c>
      <c r="L91" s="56" t="n">
        <v>-0.02</v>
      </c>
      <c r="M91" s="56" t="n">
        <v>-0.01</v>
      </c>
      <c r="N91" s="56" t="n">
        <v>0</v>
      </c>
      <c r="O91" s="61" t="s">
        <v>165</v>
      </c>
    </row>
    <row r="92" customFormat="false" ht="13.8" hidden="false" customHeight="false" outlineLevel="0" collapsed="false">
      <c r="A92" s="65" t="s">
        <v>160</v>
      </c>
      <c r="B92" s="0" t="str">
        <f aca="false">IFERROR(B90-B91,"nm")</f>
        <v>nm</v>
      </c>
      <c r="C92" s="56" t="n">
        <f aca="false">C90-C91</f>
        <v>0</v>
      </c>
      <c r="D92" s="56" t="n">
        <f aca="false">D90-D91</f>
        <v>0</v>
      </c>
      <c r="E92" s="56" t="n">
        <f aca="false">E90-E91</f>
        <v>0</v>
      </c>
      <c r="F92" s="56" t="n">
        <f aca="false">F90-F91</f>
        <v>0</v>
      </c>
      <c r="G92" s="56" t="n">
        <f aca="false">G90-G91</f>
        <v>0</v>
      </c>
      <c r="H92" s="56" t="n">
        <f aca="false">H90-H91</f>
        <v>0</v>
      </c>
      <c r="I92" s="56" t="n">
        <f aca="false">I90-I91</f>
        <v>3.46944695195361E-017</v>
      </c>
      <c r="J92" s="56" t="n">
        <f aca="false">J90-J91</f>
        <v>0.0303846153846154</v>
      </c>
      <c r="K92" s="56" t="n">
        <f aca="false">K90-K91</f>
        <v>0.0203846153846154</v>
      </c>
      <c r="L92" s="56" t="n">
        <f aca="false">L90-L91</f>
        <v>0.0103846153846155</v>
      </c>
      <c r="M92" s="56" t="n">
        <f aca="false">M90-M91</f>
        <v>0.00038461538461553</v>
      </c>
      <c r="N92" s="56" t="n">
        <f aca="false">N90-N91</f>
        <v>-0.00961538461538447</v>
      </c>
    </row>
    <row r="93" customFormat="false" ht="13.8" hidden="false" customHeight="false" outlineLevel="0" collapsed="false">
      <c r="A93" s="67" t="s">
        <v>118</v>
      </c>
      <c r="B93" s="73" t="n">
        <f aca="false">+Historicals!B128</f>
        <v>1631</v>
      </c>
      <c r="C93" s="73" t="n">
        <f aca="false">+Historicals!C128</f>
        <v>1496</v>
      </c>
      <c r="D93" s="73" t="n">
        <f aca="false">+Historicals!D128</f>
        <v>1425</v>
      </c>
      <c r="E93" s="73" t="n">
        <f aca="false">+Historicals!E128</f>
        <v>1396</v>
      </c>
      <c r="F93" s="73" t="n">
        <f aca="false">+Historicals!F128</f>
        <v>1428</v>
      </c>
      <c r="G93" s="73" t="n">
        <f aca="false">+Historicals!G128</f>
        <v>1305</v>
      </c>
      <c r="H93" s="73" t="n">
        <f aca="false">+Historicals!H128</f>
        <v>29</v>
      </c>
      <c r="I93" s="73" t="n">
        <f aca="false">+Historicals!I128</f>
        <v>26</v>
      </c>
      <c r="J93" s="68" t="n">
        <f aca="false">+I93*(1+I94)</f>
        <v>23.3103448275862</v>
      </c>
      <c r="K93" s="68" t="n">
        <f aca="false">+J93*(1+J94)</f>
        <v>20.8989298454221</v>
      </c>
      <c r="L93" s="68" t="n">
        <f aca="false">+K93*(1+K94)</f>
        <v>18.7369715855509</v>
      </c>
      <c r="M93" s="68" t="n">
        <f aca="false">+L93*(1+L94)</f>
        <v>16.7986641801491</v>
      </c>
      <c r="N93" s="68" t="n">
        <f aca="false">+M93*(1+M94)</f>
        <v>15.0608713339267</v>
      </c>
    </row>
    <row r="94" customFormat="false" ht="13.8" hidden="false" customHeight="false" outlineLevel="0" collapsed="false">
      <c r="A94" s="65" t="s">
        <v>144</v>
      </c>
      <c r="B94" s="0" t="str">
        <f aca="false">IFERROR(B93/A93-1,"nm")</f>
        <v>nm</v>
      </c>
      <c r="C94" s="56" t="n">
        <f aca="false">C93/B93-1</f>
        <v>-0.0827713059472717</v>
      </c>
      <c r="D94" s="56" t="n">
        <f aca="false">D93/C93-1</f>
        <v>-0.0474598930481284</v>
      </c>
      <c r="E94" s="56" t="n">
        <f aca="false">E93/D93-1</f>
        <v>-0.0203508771929825</v>
      </c>
      <c r="F94" s="56" t="n">
        <f aca="false">F93/E93-1</f>
        <v>0.0229226361031518</v>
      </c>
      <c r="G94" s="56" t="n">
        <f aca="false">G93/F93-1</f>
        <v>-0.0861344537815126</v>
      </c>
      <c r="H94" s="56" t="n">
        <f aca="false">H93/G93-1</f>
        <v>-0.977777777777778</v>
      </c>
      <c r="I94" s="56" t="n">
        <f aca="false">I93/H93-1</f>
        <v>-0.103448275862069</v>
      </c>
      <c r="J94" s="56" t="n">
        <f aca="false">J93/I93-1</f>
        <v>-0.103448275862069</v>
      </c>
      <c r="K94" s="56" t="n">
        <f aca="false">K93/J93-1</f>
        <v>-0.103448275862069</v>
      </c>
      <c r="L94" s="56" t="n">
        <f aca="false">L93/K93-1</f>
        <v>-0.103448275862069</v>
      </c>
      <c r="M94" s="56" t="n">
        <f aca="false">M93/L93-1</f>
        <v>-0.103448275862069</v>
      </c>
      <c r="N94" s="56" t="n">
        <f aca="false">N93/M93-1</f>
        <v>-0.103448275862069</v>
      </c>
    </row>
    <row r="95" customFormat="false" ht="13.8" hidden="false" customHeight="false" outlineLevel="0" collapsed="false">
      <c r="A95" s="65" t="s">
        <v>158</v>
      </c>
      <c r="B95" s="56" t="n">
        <f aca="false">+Historicals!B200</f>
        <v>-0.0233532934131737</v>
      </c>
      <c r="C95" s="56" t="n">
        <f aca="false">+Historicals!C200</f>
        <v>-0.0827713059472716</v>
      </c>
      <c r="D95" s="56" t="n">
        <f aca="false">+Historicals!D200</f>
        <v>-0.0474598930481283</v>
      </c>
      <c r="E95" s="56" t="n">
        <f aca="false">+Historicals!E200</f>
        <v>-0.0203508771929825</v>
      </c>
      <c r="F95" s="56" t="n">
        <f aca="false">+Historicals!F200</f>
        <v>0.0229226361031519</v>
      </c>
      <c r="G95" s="56" t="n">
        <f aca="false">+Historicals!G200</f>
        <v>-0.0861344537815126</v>
      </c>
      <c r="H95" s="56" t="n">
        <f aca="false">+Historicals!H200</f>
        <v>-0.977777777777778</v>
      </c>
      <c r="I95" s="56" t="n">
        <f aca="false">+Historicals!I200</f>
        <v>-0.103448275862069</v>
      </c>
      <c r="J95" s="56" t="n">
        <v>0</v>
      </c>
      <c r="K95" s="56" t="n">
        <v>0.01</v>
      </c>
      <c r="L95" s="56" t="n">
        <v>0.02</v>
      </c>
      <c r="M95" s="56" t="n">
        <v>0.03</v>
      </c>
      <c r="N95" s="56" t="n">
        <v>0.04</v>
      </c>
    </row>
    <row r="96" customFormat="false" ht="13.8" hidden="false" customHeight="false" outlineLevel="0" collapsed="false">
      <c r="A96" s="65" t="s">
        <v>160</v>
      </c>
      <c r="B96" s="0" t="str">
        <f aca="false">IFERROR(B94-B95,"nm")</f>
        <v>nm</v>
      </c>
      <c r="C96" s="56" t="n">
        <f aca="false">C94-C95</f>
        <v>0</v>
      </c>
      <c r="D96" s="56" t="n">
        <f aca="false">D94-D95</f>
        <v>0</v>
      </c>
      <c r="E96" s="56" t="n">
        <f aca="false">E94-E95</f>
        <v>0</v>
      </c>
      <c r="F96" s="56" t="n">
        <f aca="false">F94-F95</f>
        <v>0</v>
      </c>
      <c r="G96" s="56" t="n">
        <f aca="false">G94-G95</f>
        <v>0</v>
      </c>
      <c r="H96" s="56" t="n">
        <f aca="false">H94-H95</f>
        <v>0</v>
      </c>
      <c r="I96" s="56" t="n">
        <f aca="false">I94-I95</f>
        <v>0</v>
      </c>
      <c r="J96" s="56" t="n">
        <f aca="false">J94-J95</f>
        <v>-0.103448275862069</v>
      </c>
      <c r="K96" s="56" t="n">
        <f aca="false">K94-K95</f>
        <v>-0.113448275862069</v>
      </c>
      <c r="L96" s="56" t="n">
        <f aca="false">L94-L95</f>
        <v>-0.123448275862069</v>
      </c>
      <c r="M96" s="56" t="n">
        <f aca="false">M94-M95</f>
        <v>-0.133448275862069</v>
      </c>
      <c r="N96" s="56" t="n">
        <f aca="false">N94-N95</f>
        <v>-0.143448275862069</v>
      </c>
    </row>
    <row r="97" customFormat="false" ht="13.8" hidden="false" customHeight="false" outlineLevel="0" collapsed="false">
      <c r="A97" s="14" t="s">
        <v>166</v>
      </c>
      <c r="B97" s="3" t="n">
        <v>0</v>
      </c>
      <c r="C97" s="3" t="n">
        <v>0</v>
      </c>
      <c r="D97" s="3" t="n">
        <v>0</v>
      </c>
      <c r="E97" s="3" t="n">
        <v>0</v>
      </c>
      <c r="F97" s="3" t="n">
        <v>106</v>
      </c>
      <c r="G97" s="3" t="n">
        <v>90</v>
      </c>
      <c r="H97" s="3" t="n">
        <v>86</v>
      </c>
      <c r="I97" s="3" t="n">
        <v>123</v>
      </c>
      <c r="J97" s="54" t="n">
        <f aca="false">I97</f>
        <v>123</v>
      </c>
      <c r="K97" s="54" t="n">
        <f aca="false">J97</f>
        <v>123</v>
      </c>
      <c r="L97" s="54" t="n">
        <f aca="false">K97</f>
        <v>123</v>
      </c>
      <c r="M97" s="54" t="n">
        <f aca="false">L97</f>
        <v>123</v>
      </c>
      <c r="N97" s="54" t="n">
        <f aca="false">M97</f>
        <v>123</v>
      </c>
    </row>
    <row r="98" customFormat="false" ht="13.8" hidden="false" customHeight="false" outlineLevel="0" collapsed="false">
      <c r="A98" s="14" t="s">
        <v>145</v>
      </c>
      <c r="B98" s="54" t="n">
        <f aca="false">B105+B101</f>
        <v>535</v>
      </c>
      <c r="C98" s="54" t="n">
        <f aca="false">C105+C101</f>
        <v>514</v>
      </c>
      <c r="D98" s="54" t="n">
        <f aca="false">D105+D101</f>
        <v>505</v>
      </c>
      <c r="E98" s="54" t="n">
        <f aca="false">E105+E101</f>
        <v>343</v>
      </c>
      <c r="F98" s="54" t="n">
        <f aca="false">F105+F101</f>
        <v>334</v>
      </c>
      <c r="G98" s="54" t="n">
        <f aca="false">G105+G101</f>
        <v>322</v>
      </c>
      <c r="H98" s="54" t="n">
        <f aca="false">H105+H101</f>
        <v>569</v>
      </c>
      <c r="I98" s="54" t="n">
        <f aca="false">I105+I101</f>
        <v>691</v>
      </c>
      <c r="J98" s="55" t="n">
        <f aca="false">+I98*(1+I99)</f>
        <v>839.158172231986</v>
      </c>
      <c r="K98" s="55" t="n">
        <f aca="false">+J98*(1+J99)</f>
        <v>1019.08312304447</v>
      </c>
      <c r="L98" s="55" t="n">
        <f aca="false">+K98*(1+K99)</f>
        <v>1237.58600707158</v>
      </c>
      <c r="M98" s="55" t="n">
        <f aca="false">+L98*(1+L99)</f>
        <v>1502.93836711153</v>
      </c>
      <c r="N98" s="55" t="n">
        <f aca="false">+M98*(1+M99)</f>
        <v>1825.18525777516</v>
      </c>
    </row>
    <row r="99" customFormat="false" ht="13.8" hidden="false" customHeight="false" outlineLevel="0" collapsed="false">
      <c r="A99" s="70" t="s">
        <v>144</v>
      </c>
      <c r="B99" s="0" t="str">
        <f aca="false">IFERROR(B98/A98-1,"nm")</f>
        <v>nm</v>
      </c>
      <c r="C99" s="56" t="n">
        <f aca="false">C98/B98-1</f>
        <v>-0.0392523364485982</v>
      </c>
      <c r="D99" s="56" t="n">
        <f aca="false">D98/C98-1</f>
        <v>-0.0175097276264592</v>
      </c>
      <c r="E99" s="56" t="n">
        <f aca="false">E98/D98-1</f>
        <v>-0.320792079207921</v>
      </c>
      <c r="F99" s="56" t="n">
        <f aca="false">F98/E98-1</f>
        <v>-0.0262390670553936</v>
      </c>
      <c r="G99" s="56" t="n">
        <f aca="false">G98/F98-1</f>
        <v>-0.0359281437125748</v>
      </c>
      <c r="H99" s="56" t="n">
        <f aca="false">H98/G98-1</f>
        <v>0.767080745341615</v>
      </c>
      <c r="I99" s="56" t="n">
        <f aca="false">I98/H98-1</f>
        <v>0.214411247803163</v>
      </c>
      <c r="J99" s="56" t="n">
        <f aca="false">J98/I98-1</f>
        <v>0.214411247803163</v>
      </c>
      <c r="K99" s="56" t="n">
        <f aca="false">K98/J98-1</f>
        <v>0.214411247803163</v>
      </c>
      <c r="L99" s="56" t="n">
        <f aca="false">L98/K98-1</f>
        <v>0.214411247803163</v>
      </c>
      <c r="M99" s="56" t="n">
        <f aca="false">M98/L98-1</f>
        <v>0.214411247803163</v>
      </c>
      <c r="N99" s="56" t="n">
        <f aca="false">N98/M98-1</f>
        <v>0.214411247803163</v>
      </c>
    </row>
    <row r="100" customFormat="false" ht="13.8" hidden="false" customHeight="false" outlineLevel="0" collapsed="false">
      <c r="A100" s="70" t="s">
        <v>147</v>
      </c>
      <c r="B100" s="56" t="n">
        <f aca="false">B98/B83</f>
        <v>0.269929364278507</v>
      </c>
      <c r="C100" s="56" t="n">
        <f aca="false">C98/C83</f>
        <v>0.262915601023018</v>
      </c>
      <c r="D100" s="56" t="n">
        <f aca="false">D98/D83</f>
        <v>0.247306562193928</v>
      </c>
      <c r="E100" s="56" t="n">
        <f aca="false">E98/E83</f>
        <v>0.18186638388123</v>
      </c>
      <c r="F100" s="56" t="n">
        <f aca="false">F98/F83</f>
        <v>0.175236096537251</v>
      </c>
      <c r="G100" s="56" t="n">
        <f aca="false">G98/G83</f>
        <v>0.174431202600217</v>
      </c>
      <c r="H100" s="56" t="n">
        <f aca="false">H98/H83</f>
        <v>0.258049886621315</v>
      </c>
      <c r="I100" s="56" t="n">
        <f aca="false">I98/I83</f>
        <v>0.294543904518329</v>
      </c>
      <c r="J100" s="56" t="n">
        <f aca="false">J98/J83</f>
        <v>0.343939837133577</v>
      </c>
      <c r="K100" s="56" t="n">
        <f aca="false">K98/K83</f>
        <v>0.40161962190635</v>
      </c>
      <c r="L100" s="56" t="n">
        <f aca="false">L98/L83</f>
        <v>0.468972486713005</v>
      </c>
      <c r="M100" s="56" t="n">
        <f aca="false">M98/M83</f>
        <v>0.547620637283166</v>
      </c>
      <c r="N100" s="56" t="n">
        <f aca="false">N98/N83</f>
        <v>0.639458328313282</v>
      </c>
    </row>
    <row r="101" customFormat="false" ht="13.8" hidden="false" customHeight="false" outlineLevel="0" collapsed="false">
      <c r="A101" s="14" t="s">
        <v>148</v>
      </c>
      <c r="B101" s="71" t="n">
        <f aca="false">+Historicals!B173</f>
        <v>18</v>
      </c>
      <c r="C101" s="71" t="n">
        <f aca="false">+Historicals!C173</f>
        <v>27</v>
      </c>
      <c r="D101" s="71" t="n">
        <f aca="false">+Historicals!D173</f>
        <v>28</v>
      </c>
      <c r="E101" s="71" t="n">
        <f aca="false">+Historicals!E173</f>
        <v>33</v>
      </c>
      <c r="F101" s="71" t="n">
        <f aca="false">+Historicals!F173</f>
        <v>31</v>
      </c>
      <c r="G101" s="71" t="n">
        <f aca="false">+Historicals!G173</f>
        <v>25</v>
      </c>
      <c r="H101" s="71" t="n">
        <f aca="false">+Historicals!H173</f>
        <v>26</v>
      </c>
      <c r="I101" s="71" t="n">
        <f aca="false">+Historicals!I173</f>
        <v>22</v>
      </c>
      <c r="J101" s="64" t="n">
        <f aca="false">+I101*(1+I102)</f>
        <v>18.6153846153846</v>
      </c>
      <c r="K101" s="64" t="n">
        <f aca="false">+J101*(1+J102)</f>
        <v>18.6153846153846</v>
      </c>
      <c r="L101" s="64" t="n">
        <f aca="false">+K101*(1+K102)</f>
        <v>18.6153846153846</v>
      </c>
      <c r="M101" s="64" t="n">
        <f aca="false">+L101*(1+L102)</f>
        <v>18.6153846153846</v>
      </c>
      <c r="N101" s="64" t="n">
        <f aca="false">+M101*(1+M102)</f>
        <v>18.6153846153846</v>
      </c>
    </row>
    <row r="102" customFormat="false" ht="13.8" hidden="false" customHeight="false" outlineLevel="0" collapsed="false">
      <c r="A102" s="70" t="s">
        <v>144</v>
      </c>
      <c r="B102" s="61" t="str">
        <f aca="false">IFERROR(B101/A101-1,"nm")</f>
        <v>nm</v>
      </c>
      <c r="C102" s="56" t="n">
        <f aca="false">C101/B101-1</f>
        <v>0.5</v>
      </c>
      <c r="D102" s="56" t="n">
        <f aca="false">D101/C101-1</f>
        <v>0.037037037037037</v>
      </c>
      <c r="E102" s="56" t="n">
        <f aca="false">E101/D101-1</f>
        <v>0.178571428571429</v>
      </c>
      <c r="F102" s="56" t="n">
        <f aca="false">F101/E101-1</f>
        <v>-0.0606060606060606</v>
      </c>
      <c r="G102" s="56" t="n">
        <f aca="false">G101/F101-1</f>
        <v>-0.193548387096774</v>
      </c>
      <c r="H102" s="56" t="n">
        <f aca="false">H101/G101-1</f>
        <v>0.04</v>
      </c>
      <c r="I102" s="56" t="n">
        <f aca="false">I101/H101-1</f>
        <v>-0.153846153846154</v>
      </c>
      <c r="J102" s="56" t="n">
        <v>0</v>
      </c>
      <c r="K102" s="56" t="n">
        <v>0</v>
      </c>
      <c r="L102" s="56" t="n">
        <v>0</v>
      </c>
      <c r="M102" s="56" t="n">
        <v>0</v>
      </c>
      <c r="N102" s="56" t="n">
        <v>0</v>
      </c>
    </row>
    <row r="103" customFormat="false" ht="13.8" hidden="false" customHeight="false" outlineLevel="0" collapsed="false">
      <c r="A103" s="70" t="s">
        <v>150</v>
      </c>
      <c r="B103" s="56" t="n">
        <f aca="false">B101/B83</f>
        <v>0.00908173562058527</v>
      </c>
      <c r="C103" s="56" t="n">
        <f aca="false">C101/C83</f>
        <v>0.0138107416879795</v>
      </c>
      <c r="D103" s="56" t="n">
        <f aca="false">D101/D83</f>
        <v>0.0137120470127326</v>
      </c>
      <c r="E103" s="56" t="n">
        <f aca="false">E101/E83</f>
        <v>0.0174973488865323</v>
      </c>
      <c r="F103" s="56" t="n">
        <f aca="false">F101/F83</f>
        <v>0.0162644281217209</v>
      </c>
      <c r="G103" s="56" t="n">
        <f aca="false">G101/G83</f>
        <v>0.0135427952329361</v>
      </c>
      <c r="H103" s="56" t="n">
        <f aca="false">H101/H83</f>
        <v>0.0117913832199547</v>
      </c>
      <c r="I103" s="56" t="n">
        <f aca="false">I101/I83</f>
        <v>0.00937766410912191</v>
      </c>
      <c r="J103" s="56" t="n">
        <f aca="false">J101/J83</f>
        <v>0.00762975630180037</v>
      </c>
      <c r="K103" s="56" t="n">
        <f aca="false">K101/K83</f>
        <v>0.00733630413634651</v>
      </c>
      <c r="L103" s="56" t="n">
        <f aca="false">L101/L83</f>
        <v>0.00705413859264088</v>
      </c>
      <c r="M103" s="56" t="n">
        <f aca="false">M101/M83</f>
        <v>0.00678282556984699</v>
      </c>
      <c r="N103" s="56" t="n">
        <f aca="false">N101/N83</f>
        <v>0.00652194766331442</v>
      </c>
    </row>
    <row r="104" customFormat="false" ht="13.8" hidden="false" customHeight="false" outlineLevel="0" collapsed="false">
      <c r="A104" s="70" t="s">
        <v>162</v>
      </c>
      <c r="B104" s="56" t="n">
        <f aca="false">B101/B111</f>
        <v>0.147540983606557</v>
      </c>
      <c r="C104" s="56" t="n">
        <f aca="false">C101/C111</f>
        <v>0.216</v>
      </c>
      <c r="D104" s="56" t="n">
        <f aca="false">D101/D111</f>
        <v>0.224</v>
      </c>
      <c r="E104" s="56" t="n">
        <f aca="false">E101/E111</f>
        <v>0.28695652173913</v>
      </c>
      <c r="F104" s="56" t="n">
        <f aca="false">F101/F111</f>
        <v>0.31</v>
      </c>
      <c r="G104" s="56" t="n">
        <f aca="false">G101/G111</f>
        <v>0.3125</v>
      </c>
      <c r="H104" s="56" t="n">
        <f aca="false">H101/H111</f>
        <v>0.412698412698413</v>
      </c>
      <c r="I104" s="56" t="n">
        <f aca="false">I101/I111</f>
        <v>0.448979591836735</v>
      </c>
      <c r="J104" s="56" t="n">
        <f aca="false">J101/J111</f>
        <v>0.488450325185019</v>
      </c>
      <c r="K104" s="56" t="n">
        <f aca="false">K101/K111</f>
        <v>0.488450325185019</v>
      </c>
      <c r="L104" s="56" t="n">
        <f aca="false">L101/L111</f>
        <v>0.488450325185019</v>
      </c>
      <c r="M104" s="56" t="n">
        <f aca="false">M101/M111</f>
        <v>0.488450325185019</v>
      </c>
      <c r="N104" s="56" t="n">
        <f aca="false">N101/N111</f>
        <v>0.488450325185019</v>
      </c>
    </row>
    <row r="105" customFormat="false" ht="13.8" hidden="false" customHeight="false" outlineLevel="0" collapsed="false">
      <c r="A105" s="14" t="s">
        <v>151</v>
      </c>
      <c r="B105" s="71" t="n">
        <f aca="false">+Historicals!B140</f>
        <v>517</v>
      </c>
      <c r="C105" s="71" t="n">
        <f aca="false">+Historicals!C140</f>
        <v>487</v>
      </c>
      <c r="D105" s="71" t="n">
        <f aca="false">+Historicals!D140</f>
        <v>477</v>
      </c>
      <c r="E105" s="71" t="n">
        <f aca="false">+Historicals!E140</f>
        <v>310</v>
      </c>
      <c r="F105" s="71" t="n">
        <f aca="false">+Historicals!F140</f>
        <v>303</v>
      </c>
      <c r="G105" s="71" t="n">
        <f aca="false">+Historicals!G140</f>
        <v>297</v>
      </c>
      <c r="H105" s="71" t="n">
        <f aca="false">+Historicals!H140</f>
        <v>543</v>
      </c>
      <c r="I105" s="71" t="n">
        <f aca="false">+Historicals!I140</f>
        <v>669</v>
      </c>
      <c r="J105" s="64" t="n">
        <f aca="false">+I105*(1+I106)</f>
        <v>824.237569060774</v>
      </c>
      <c r="K105" s="64" t="n">
        <f aca="false">+J105*(1+J106)</f>
        <v>824.237569060774</v>
      </c>
      <c r="L105" s="64" t="n">
        <f aca="false">+K105*(1+K106)</f>
        <v>824.237569060774</v>
      </c>
      <c r="M105" s="64" t="n">
        <f aca="false">+L105*(1+L106)</f>
        <v>824.237569060774</v>
      </c>
      <c r="N105" s="64" t="n">
        <f aca="false">+M105*(1+M106)</f>
        <v>824.237569060774</v>
      </c>
    </row>
    <row r="106" customFormat="false" ht="13.8" hidden="false" customHeight="false" outlineLevel="0" collapsed="false">
      <c r="A106" s="70" t="s">
        <v>144</v>
      </c>
      <c r="B106" s="61" t="str">
        <f aca="false">IFERROR(B105/A105-1,"nm")</f>
        <v>nm</v>
      </c>
      <c r="C106" s="56" t="n">
        <f aca="false">C105/B105-1</f>
        <v>-0.058027079303675</v>
      </c>
      <c r="D106" s="56" t="n">
        <f aca="false">D105/C105-1</f>
        <v>-0.0205338809034907</v>
      </c>
      <c r="E106" s="56" t="n">
        <f aca="false">E105/D105-1</f>
        <v>-0.350104821802935</v>
      </c>
      <c r="F106" s="56" t="n">
        <f aca="false">F105/E105-1</f>
        <v>-0.0225806451612903</v>
      </c>
      <c r="G106" s="56" t="n">
        <f aca="false">G105/F105-1</f>
        <v>-0.0198019801980198</v>
      </c>
      <c r="H106" s="56" t="n">
        <f aca="false">H105/G105-1</f>
        <v>0.828282828282828</v>
      </c>
      <c r="I106" s="56" t="n">
        <f aca="false">I105/H105-1</f>
        <v>0.232044198895028</v>
      </c>
      <c r="J106" s="56" t="n">
        <v>0</v>
      </c>
      <c r="K106" s="56" t="n">
        <v>0</v>
      </c>
      <c r="L106" s="56" t="n">
        <v>0</v>
      </c>
      <c r="M106" s="56" t="n">
        <v>0</v>
      </c>
      <c r="N106" s="56" t="n">
        <v>0</v>
      </c>
    </row>
    <row r="107" customFormat="false" ht="13.8" hidden="false" customHeight="false" outlineLevel="0" collapsed="false">
      <c r="A107" s="70" t="s">
        <v>147</v>
      </c>
      <c r="B107" s="56" t="n">
        <f aca="false">B105/B83</f>
        <v>0.260847628657921</v>
      </c>
      <c r="C107" s="56" t="n">
        <f aca="false">C105/C83</f>
        <v>0.249104859335038</v>
      </c>
      <c r="D107" s="56" t="n">
        <f aca="false">D105/D83</f>
        <v>0.233594515181195</v>
      </c>
      <c r="E107" s="56" t="n">
        <f aca="false">E105/E83</f>
        <v>0.164369034994698</v>
      </c>
      <c r="F107" s="56" t="n">
        <f aca="false">F105/F83</f>
        <v>0.15897166841553</v>
      </c>
      <c r="G107" s="56" t="n">
        <f aca="false">G105/G83</f>
        <v>0.160888407367281</v>
      </c>
      <c r="H107" s="56" t="n">
        <f aca="false">H105/H83</f>
        <v>0.246258503401361</v>
      </c>
      <c r="I107" s="56" t="n">
        <f aca="false">I105/I83</f>
        <v>0.285166240409207</v>
      </c>
      <c r="J107" s="56" t="n">
        <f aca="false">J105/J83</f>
        <v>0.337824434823912</v>
      </c>
      <c r="K107" s="56" t="n">
        <f aca="false">K105/K83</f>
        <v>0.324831187330685</v>
      </c>
      <c r="L107" s="56" t="n">
        <f aca="false">L105/L83</f>
        <v>0.312337680125658</v>
      </c>
      <c r="M107" s="56" t="n">
        <f aca="false">M105/M83</f>
        <v>0.300324692428518</v>
      </c>
      <c r="N107" s="56" t="n">
        <f aca="false">N105/N83</f>
        <v>0.288773742719728</v>
      </c>
    </row>
    <row r="108" customFormat="false" ht="13.8" hidden="false" customHeight="false" outlineLevel="0" collapsed="false">
      <c r="A108" s="14" t="s">
        <v>153</v>
      </c>
      <c r="B108" s="71" t="n">
        <v>69</v>
      </c>
      <c r="C108" s="71" t="n">
        <v>39</v>
      </c>
      <c r="D108" s="71" t="n">
        <v>30</v>
      </c>
      <c r="E108" s="71" t="n">
        <v>22</v>
      </c>
      <c r="F108" s="71" t="n">
        <v>18</v>
      </c>
      <c r="G108" s="71" t="n">
        <v>12</v>
      </c>
      <c r="H108" s="71" t="n">
        <v>7</v>
      </c>
      <c r="I108" s="71" t="n">
        <v>9</v>
      </c>
      <c r="J108" s="64" t="n">
        <f aca="false">+I108*(1+I109)</f>
        <v>11.5714285714286</v>
      </c>
      <c r="K108" s="64" t="n">
        <f aca="false">+J108*(1+J109)</f>
        <v>14.8775510204082</v>
      </c>
      <c r="L108" s="64" t="n">
        <f aca="false">+K108*(1+K109)</f>
        <v>19.1282798833819</v>
      </c>
      <c r="M108" s="64" t="n">
        <f aca="false">+L108*(1+L109)</f>
        <v>24.5935027072053</v>
      </c>
      <c r="N108" s="64" t="n">
        <f aca="false">+M108*(1+M109)</f>
        <v>31.6202177664069</v>
      </c>
    </row>
    <row r="109" customFormat="false" ht="13.8" hidden="false" customHeight="false" outlineLevel="0" collapsed="false">
      <c r="A109" s="70" t="s">
        <v>144</v>
      </c>
      <c r="B109" s="61" t="str">
        <f aca="false">IFERROR(B108/A108-1,"nm")</f>
        <v>nm</v>
      </c>
      <c r="C109" s="56" t="n">
        <f aca="false">C108/B108-1</f>
        <v>-0.434782608695652</v>
      </c>
      <c r="D109" s="56" t="n">
        <f aca="false">D108/C108-1</f>
        <v>-0.230769230769231</v>
      </c>
      <c r="E109" s="56" t="n">
        <f aca="false">E108/D108-1</f>
        <v>-0.266666666666667</v>
      </c>
      <c r="F109" s="56" t="n">
        <f aca="false">F108/E108-1</f>
        <v>-0.181818181818182</v>
      </c>
      <c r="G109" s="56" t="n">
        <f aca="false">G108/F108-1</f>
        <v>-0.333333333333333</v>
      </c>
      <c r="H109" s="56" t="n">
        <f aca="false">H108/G108-1</f>
        <v>-0.416666666666667</v>
      </c>
      <c r="I109" s="56" t="n">
        <f aca="false">I108/H108-1</f>
        <v>0.285714285714286</v>
      </c>
      <c r="J109" s="56" t="n">
        <f aca="false">J108/I108-1</f>
        <v>0.285714285714286</v>
      </c>
      <c r="K109" s="56" t="n">
        <f aca="false">K108/J108-1</f>
        <v>0.285714285714286</v>
      </c>
      <c r="L109" s="56" t="n">
        <f aca="false">L108/K108-1</f>
        <v>0.285714285714286</v>
      </c>
      <c r="M109" s="56" t="n">
        <f aca="false">M108/L108-1</f>
        <v>0.285714285714286</v>
      </c>
      <c r="N109" s="56" t="n">
        <f aca="false">N108/M108-1</f>
        <v>0.285714285714286</v>
      </c>
    </row>
    <row r="110" customFormat="false" ht="13.8" hidden="false" customHeight="false" outlineLevel="0" collapsed="false">
      <c r="A110" s="70" t="s">
        <v>150</v>
      </c>
      <c r="B110" s="56" t="n">
        <f aca="false">B108/B83</f>
        <v>0.0348133198789102</v>
      </c>
      <c r="C110" s="56" t="n">
        <f aca="false">C108/C83</f>
        <v>0.0199488491048593</v>
      </c>
      <c r="D110" s="56" t="n">
        <f aca="false">D108/D83</f>
        <v>0.0146914789422135</v>
      </c>
      <c r="E110" s="56" t="n">
        <f aca="false">E108/E83</f>
        <v>0.0116648992576882</v>
      </c>
      <c r="F110" s="56" t="n">
        <f aca="false">F108/F83</f>
        <v>0.00944386149003148</v>
      </c>
      <c r="G110" s="56" t="n">
        <f aca="false">G108/G83</f>
        <v>0.00650054171180932</v>
      </c>
      <c r="H110" s="56" t="n">
        <f aca="false">H108/H83</f>
        <v>0.00317460317460317</v>
      </c>
      <c r="I110" s="56" t="n">
        <f aca="false">I108/I83</f>
        <v>0.00383631713554987</v>
      </c>
      <c r="J110" s="56" t="n">
        <f aca="false">J108/J83</f>
        <v>0.00474269975548748</v>
      </c>
      <c r="K110" s="56" t="n">
        <f aca="false">K108/K83</f>
        <v>0.00586322771969606</v>
      </c>
      <c r="L110" s="56" t="n">
        <f aca="false">L108/L83</f>
        <v>0.00724849580731656</v>
      </c>
      <c r="M110" s="56" t="n">
        <f aca="false">M108/M83</f>
        <v>0.0089610525090452</v>
      </c>
      <c r="N110" s="56" t="n">
        <f aca="false">N108/N83</f>
        <v>0.0110782242556877</v>
      </c>
    </row>
    <row r="111" customFormat="false" ht="13.8" hidden="false" customHeight="false" outlineLevel="0" collapsed="false">
      <c r="A111" s="14" t="s">
        <v>155</v>
      </c>
      <c r="B111" s="71" t="n">
        <f aca="false">+Historicals!B151</f>
        <v>122</v>
      </c>
      <c r="C111" s="71" t="n">
        <f aca="false">+Historicals!C151</f>
        <v>125</v>
      </c>
      <c r="D111" s="71" t="n">
        <f aca="false">+Historicals!D151</f>
        <v>125</v>
      </c>
      <c r="E111" s="71" t="n">
        <f aca="false">+Historicals!E151</f>
        <v>115</v>
      </c>
      <c r="F111" s="71" t="n">
        <f aca="false">+Historicals!F151</f>
        <v>100</v>
      </c>
      <c r="G111" s="71" t="n">
        <f aca="false">+Historicals!G151</f>
        <v>80</v>
      </c>
      <c r="H111" s="71" t="n">
        <f aca="false">+Historicals!H151</f>
        <v>63</v>
      </c>
      <c r="I111" s="71" t="n">
        <f aca="false">+Historicals!I151</f>
        <v>49</v>
      </c>
      <c r="J111" s="55" t="n">
        <f aca="false">+I111*(1+I112)</f>
        <v>38.1111111111111</v>
      </c>
      <c r="K111" s="55" t="n">
        <f aca="false">+J111*(1+J112)</f>
        <v>38.1111111111111</v>
      </c>
      <c r="L111" s="55" t="n">
        <f aca="false">+K111*(1+K112)</f>
        <v>38.1111111111111</v>
      </c>
      <c r="M111" s="55" t="n">
        <f aca="false">+L111*(1+L112)</f>
        <v>38.1111111111111</v>
      </c>
      <c r="N111" s="55" t="n">
        <f aca="false">+M111*(1+M112)</f>
        <v>38.1111111111111</v>
      </c>
    </row>
    <row r="112" customFormat="false" ht="13.8" hidden="false" customHeight="false" outlineLevel="0" collapsed="false">
      <c r="A112" s="70" t="s">
        <v>144</v>
      </c>
      <c r="B112" s="0" t="str">
        <f aca="false">IFERROR(B111/A111-1,"nm")</f>
        <v>nm</v>
      </c>
      <c r="C112" s="56" t="n">
        <f aca="false">C111/B111-1</f>
        <v>0.0245901639344261</v>
      </c>
      <c r="D112" s="56" t="n">
        <f aca="false">D111/C111-1</f>
        <v>0</v>
      </c>
      <c r="E112" s="56" t="n">
        <f aca="false">E111/D111-1</f>
        <v>-0.08</v>
      </c>
      <c r="F112" s="56" t="n">
        <f aca="false">F111/E111-1</f>
        <v>-0.130434782608696</v>
      </c>
      <c r="G112" s="56" t="n">
        <f aca="false">G111/F111-1</f>
        <v>-0.2</v>
      </c>
      <c r="H112" s="56" t="n">
        <f aca="false">H111/G111-1</f>
        <v>-0.2125</v>
      </c>
      <c r="I112" s="56" t="n">
        <f aca="false">I111/H111-1</f>
        <v>-0.222222222222222</v>
      </c>
      <c r="J112" s="56" t="n">
        <v>0</v>
      </c>
      <c r="K112" s="56" t="n">
        <v>0</v>
      </c>
      <c r="L112" s="56" t="n">
        <v>0</v>
      </c>
      <c r="M112" s="56" t="n">
        <v>0</v>
      </c>
      <c r="N112" s="56" t="n">
        <v>0</v>
      </c>
    </row>
    <row r="113" customFormat="false" ht="13.8" hidden="false" customHeight="false" outlineLevel="0" collapsed="false">
      <c r="A113" s="70" t="s">
        <v>150</v>
      </c>
      <c r="B113" s="56" t="n">
        <f aca="false">B111/B83</f>
        <v>0.0615539858728557</v>
      </c>
      <c r="C113" s="56" t="n">
        <f aca="false">C111/C83</f>
        <v>0.0639386189258312</v>
      </c>
      <c r="D113" s="56" t="n">
        <f aca="false">D111/D83</f>
        <v>0.0612144955925563</v>
      </c>
      <c r="E113" s="56" t="n">
        <f aca="false">E111/E83</f>
        <v>0.0609756097560976</v>
      </c>
      <c r="F113" s="56" t="n">
        <f aca="false">F111/F83</f>
        <v>0.0524658971668416</v>
      </c>
      <c r="G113" s="56" t="n">
        <f aca="false">G111/G83</f>
        <v>0.0433369447453955</v>
      </c>
      <c r="H113" s="56" t="n">
        <f aca="false">H111/H83</f>
        <v>0.0285714285714286</v>
      </c>
      <c r="I113" s="56" t="n">
        <f aca="false">I111/I83</f>
        <v>0.0208866155157715</v>
      </c>
      <c r="J113" s="56" t="n">
        <f aca="false">J111/J83</f>
        <v>0.0156203321164958</v>
      </c>
      <c r="K113" s="56" t="n">
        <f aca="false">K111/K83</f>
        <v>0.0150195501120152</v>
      </c>
      <c r="L113" s="56" t="n">
        <f aca="false">L111/L83</f>
        <v>0.0144418751077069</v>
      </c>
      <c r="M113" s="56" t="n">
        <f aca="false">M111/M83</f>
        <v>0.0138864183727951</v>
      </c>
      <c r="N113" s="56" t="n">
        <f aca="false">N111/N83</f>
        <v>0.0133523253584568</v>
      </c>
    </row>
    <row r="114" customFormat="false" ht="13.8" hidden="false" customHeight="false" outlineLevel="0" collapsed="false">
      <c r="A114" s="72" t="s">
        <v>120</v>
      </c>
      <c r="B114" s="57"/>
      <c r="C114" s="57"/>
      <c r="D114" s="57"/>
      <c r="E114" s="57"/>
      <c r="F114" s="57"/>
      <c r="G114" s="57"/>
      <c r="H114" s="57"/>
      <c r="I114" s="57"/>
      <c r="J114" s="48"/>
      <c r="K114" s="48"/>
      <c r="L114" s="48"/>
      <c r="M114" s="48"/>
      <c r="N114" s="48"/>
    </row>
    <row r="115" customFormat="false" ht="13.8" hidden="false" customHeight="false" outlineLevel="0" collapsed="false">
      <c r="A115" s="14" t="s">
        <v>157</v>
      </c>
      <c r="B115" s="75" t="n">
        <f aca="false">B117+B121+B125</f>
        <v>3067</v>
      </c>
      <c r="C115" s="75" t="n">
        <f aca="false">C117+C121+C125</f>
        <v>3785</v>
      </c>
      <c r="D115" s="75" t="n">
        <f aca="false">D117+D121+D125</f>
        <v>4237</v>
      </c>
      <c r="E115" s="75" t="n">
        <f aca="false">E117+E121+E125</f>
        <v>5134</v>
      </c>
      <c r="F115" s="75" t="n">
        <f aca="false">F117+F121+F125</f>
        <v>6208</v>
      </c>
      <c r="G115" s="75" t="n">
        <f aca="false">G117+G121+G125</f>
        <v>6679</v>
      </c>
      <c r="H115" s="75" t="n">
        <f aca="false">H117+H121+H125</f>
        <v>8290</v>
      </c>
      <c r="I115" s="75" t="n">
        <f aca="false">I117+I121+I125</f>
        <v>7547</v>
      </c>
      <c r="J115" s="55" t="n">
        <f aca="false">+I115*(1+I116)</f>
        <v>6870.59215922799</v>
      </c>
      <c r="K115" s="55" t="n">
        <f aca="false">+J115*(1+J116)</f>
        <v>6254.80808512589</v>
      </c>
      <c r="L115" s="55" t="n">
        <f aca="false">+K115*(1+K116)</f>
        <v>5694.21430861822</v>
      </c>
      <c r="M115" s="55" t="n">
        <f aca="false">+L115*(1+L116)</f>
        <v>5183.86434103037</v>
      </c>
      <c r="N115" s="55" t="n">
        <f aca="false">+M115*(1+M116)</f>
        <v>4719.25502795611</v>
      </c>
    </row>
    <row r="116" customFormat="false" ht="13.8" hidden="false" customHeight="false" outlineLevel="0" collapsed="false">
      <c r="A116" s="65" t="s">
        <v>144</v>
      </c>
      <c r="B116" s="66" t="n">
        <f aca="false">+Historicals!B187</f>
        <v>0.178708685626441</v>
      </c>
      <c r="C116" s="66" t="n">
        <f aca="false">+Historicals!C187</f>
        <v>0.234104988588197</v>
      </c>
      <c r="D116" s="66" t="n">
        <f aca="false">+Historicals!D187</f>
        <v>0.119418758256275</v>
      </c>
      <c r="E116" s="66" t="n">
        <f aca="false">+Historicals!E187</f>
        <v>0.21170639603493</v>
      </c>
      <c r="F116" s="66" t="n">
        <f aca="false">+Historicals!F187</f>
        <v>0.209193611219322</v>
      </c>
      <c r="G116" s="66" t="n">
        <f aca="false">+Historicals!G187</f>
        <v>0.0758698453608247</v>
      </c>
      <c r="H116" s="66" t="n">
        <f aca="false">+Historicals!H187</f>
        <v>0.241203773019913</v>
      </c>
      <c r="I116" s="66" t="n">
        <f aca="false">+Historicals!I187</f>
        <v>-0.0896260554885404</v>
      </c>
      <c r="J116" s="56" t="n">
        <f aca="false">J115/I115-1</f>
        <v>-0.0896260554885404</v>
      </c>
      <c r="K116" s="56" t="n">
        <f aca="false">K115/J115-1</f>
        <v>-0.0896260554885404</v>
      </c>
      <c r="L116" s="56" t="n">
        <f aca="false">L115/K115-1</f>
        <v>-0.0896260554885404</v>
      </c>
      <c r="M116" s="56" t="n">
        <f aca="false">M115/L115-1</f>
        <v>-0.0896260554885404</v>
      </c>
      <c r="N116" s="56" t="n">
        <f aca="false">N115/M115-1</f>
        <v>-0.0896260554885404</v>
      </c>
    </row>
    <row r="117" customFormat="false" ht="13.8" hidden="false" customHeight="false" outlineLevel="0" collapsed="false">
      <c r="A117" s="67" t="s">
        <v>116</v>
      </c>
      <c r="B117" s="76" t="n">
        <f aca="false">+Historicals!B116</f>
        <v>2016</v>
      </c>
      <c r="C117" s="76" t="n">
        <f aca="false">+Historicals!C116</f>
        <v>2599</v>
      </c>
      <c r="D117" s="76" t="n">
        <f aca="false">+Historicals!D116</f>
        <v>2920</v>
      </c>
      <c r="E117" s="76" t="n">
        <f aca="false">+Historicals!E116</f>
        <v>3496</v>
      </c>
      <c r="F117" s="76" t="n">
        <f aca="false">+Historicals!F116</f>
        <v>4262</v>
      </c>
      <c r="G117" s="76" t="n">
        <f aca="false">+Historicals!G116</f>
        <v>4635</v>
      </c>
      <c r="H117" s="26" t="n">
        <f aca="false">+Historicals!H116</f>
        <v>5748</v>
      </c>
      <c r="I117" s="26" t="n">
        <f aca="false">+Historicals!I116</f>
        <v>5416</v>
      </c>
      <c r="J117" s="26" t="n">
        <f aca="false">+I117*(1+I118)</f>
        <v>5103.17606123869</v>
      </c>
      <c r="K117" s="26" t="n">
        <f aca="false">+J117*(1+J118)</f>
        <v>4808.42058936478</v>
      </c>
      <c r="L117" s="26" t="n">
        <f aca="false">+K117*(1+K118)</f>
        <v>4530.68996381344</v>
      </c>
      <c r="M117" s="26" t="n">
        <f aca="false">+L117*(1+L118)</f>
        <v>4269.00084273027</v>
      </c>
      <c r="N117" s="26" t="n">
        <f aca="false">+M117*(1+M118)</f>
        <v>4022.42668131996</v>
      </c>
    </row>
    <row r="118" customFormat="false" ht="13.8" hidden="false" customHeight="false" outlineLevel="0" collapsed="false">
      <c r="A118" s="65" t="s">
        <v>144</v>
      </c>
      <c r="B118" s="61" t="str">
        <f aca="false">IFERROR(B117/A117-1,"nm")</f>
        <v>nm</v>
      </c>
      <c r="C118" s="56" t="n">
        <f aca="false">C117/B117-1</f>
        <v>0.289186507936508</v>
      </c>
      <c r="D118" s="56" t="n">
        <f aca="false">D117/C117-1</f>
        <v>0.123509041939207</v>
      </c>
      <c r="E118" s="56" t="n">
        <f aca="false">E117/D117-1</f>
        <v>0.197260273972603</v>
      </c>
      <c r="F118" s="56" t="n">
        <f aca="false">F117/E117-1</f>
        <v>0.219107551487414</v>
      </c>
      <c r="G118" s="56" t="n">
        <f aca="false">G117/F117-1</f>
        <v>0.0875175973721258</v>
      </c>
      <c r="H118" s="56" t="n">
        <f aca="false">H117/G117-1</f>
        <v>0.240129449838188</v>
      </c>
      <c r="I118" s="56" t="n">
        <f aca="false">I117/H117-1</f>
        <v>-0.0577592205984691</v>
      </c>
      <c r="J118" s="56" t="n">
        <f aca="false">J117/I117-1</f>
        <v>-0.0577592205984691</v>
      </c>
      <c r="K118" s="56" t="n">
        <f aca="false">K117/J117-1</f>
        <v>-0.0577592205984691</v>
      </c>
      <c r="L118" s="56" t="n">
        <f aca="false">L117/K117-1</f>
        <v>-0.0577592205984692</v>
      </c>
      <c r="M118" s="56" t="n">
        <f aca="false">M117/L117-1</f>
        <v>-0.0577592205984693</v>
      </c>
      <c r="N118" s="56" t="n">
        <f aca="false">N117/M117-1</f>
        <v>-0.0577592205984693</v>
      </c>
    </row>
    <row r="119" customFormat="false" ht="13.8" hidden="false" customHeight="false" outlineLevel="0" collapsed="false">
      <c r="A119" s="65" t="s">
        <v>158</v>
      </c>
      <c r="B119" s="66" t="n">
        <f aca="false">+Historicals!B188</f>
        <v>0.26</v>
      </c>
      <c r="C119" s="66" t="n">
        <f aca="false">+Historicals!C188</f>
        <v>0.289186507936508</v>
      </c>
      <c r="D119" s="66" t="n">
        <f aca="false">+Historicals!D188</f>
        <v>0.123509041939207</v>
      </c>
      <c r="E119" s="66" t="n">
        <f aca="false">+Historicals!E188</f>
        <v>0.197260273972603</v>
      </c>
      <c r="F119" s="66" t="n">
        <f aca="false">+Historicals!F188</f>
        <v>0.219107551487414</v>
      </c>
      <c r="G119" s="66" t="n">
        <f aca="false">+Historicals!G188</f>
        <v>0.0875175973721258</v>
      </c>
      <c r="H119" s="66" t="n">
        <f aca="false">+Historicals!H188</f>
        <v>0.240129449838188</v>
      </c>
      <c r="I119" s="66" t="n">
        <f aca="false">+Historicals!I188</f>
        <v>-0.057759220598469</v>
      </c>
      <c r="J119" s="56" t="n">
        <v>0</v>
      </c>
      <c r="K119" s="56" t="n">
        <v>0</v>
      </c>
      <c r="L119" s="56" t="n">
        <v>0</v>
      </c>
      <c r="M119" s="56" t="n">
        <v>0</v>
      </c>
      <c r="N119" s="56" t="n">
        <v>0</v>
      </c>
      <c r="O119" s="61" t="s">
        <v>167</v>
      </c>
    </row>
    <row r="120" customFormat="false" ht="13.8" hidden="false" customHeight="false" outlineLevel="0" collapsed="false">
      <c r="A120" s="65" t="s">
        <v>160</v>
      </c>
      <c r="B120" s="0" t="str">
        <f aca="false">IFERROR(B118-B119,"nm")</f>
        <v>nm</v>
      </c>
      <c r="C120" s="56" t="n">
        <f aca="false">C118-C119</f>
        <v>0</v>
      </c>
      <c r="D120" s="56" t="n">
        <f aca="false">D118-D119</f>
        <v>0</v>
      </c>
      <c r="E120" s="56" t="n">
        <f aca="false">E118-E119</f>
        <v>0</v>
      </c>
      <c r="F120" s="56" t="n">
        <f aca="false">F118-F119</f>
        <v>0</v>
      </c>
      <c r="G120" s="56" t="n">
        <f aca="false">G118-G119</f>
        <v>0</v>
      </c>
      <c r="H120" s="56" t="n">
        <f aca="false">H118-H119</f>
        <v>0</v>
      </c>
      <c r="I120" s="56" t="n">
        <f aca="false">I118-I119</f>
        <v>0</v>
      </c>
      <c r="J120" s="56" t="n">
        <f aca="false">J118-J119</f>
        <v>-0.0577592205984691</v>
      </c>
      <c r="K120" s="56" t="n">
        <f aca="false">K118-K119</f>
        <v>-0.0577592205984691</v>
      </c>
      <c r="L120" s="56" t="n">
        <f aca="false">L118-L119</f>
        <v>-0.0577592205984692</v>
      </c>
      <c r="M120" s="56" t="n">
        <f aca="false">M118-M119</f>
        <v>-0.0577592205984693</v>
      </c>
      <c r="N120" s="56" t="n">
        <f aca="false">N118-N119</f>
        <v>-0.0577592205984693</v>
      </c>
    </row>
    <row r="121" customFormat="false" ht="13.8" hidden="false" customHeight="false" outlineLevel="0" collapsed="false">
      <c r="A121" s="67" t="s">
        <v>117</v>
      </c>
      <c r="B121" s="76" t="n">
        <f aca="false">+Historicals!B117</f>
        <v>925</v>
      </c>
      <c r="C121" s="76" t="n">
        <f aca="false">+Historicals!C117</f>
        <v>1055</v>
      </c>
      <c r="D121" s="76" t="n">
        <f aca="false">+Historicals!D117</f>
        <v>1188</v>
      </c>
      <c r="E121" s="76" t="n">
        <f aca="false">+Historicals!E117</f>
        <v>1508</v>
      </c>
      <c r="F121" s="76" t="n">
        <f aca="false">+Historicals!F117</f>
        <v>1808</v>
      </c>
      <c r="G121" s="76" t="n">
        <f aca="false">+Historicals!G117</f>
        <v>1896</v>
      </c>
      <c r="H121" s="26" t="n">
        <f aca="false">+Historicals!H117</f>
        <v>2347</v>
      </c>
      <c r="I121" s="26" t="n">
        <f aca="false">+Historicals!I117</f>
        <v>1938</v>
      </c>
      <c r="J121" s="26" t="n">
        <f aca="false">(1+J123)*I121</f>
        <v>1899.24</v>
      </c>
      <c r="K121" s="26" t="n">
        <f aca="false">(1+K123)*J121</f>
        <v>1880.2476</v>
      </c>
      <c r="L121" s="26" t="n">
        <f aca="false">(1+L123)*K121</f>
        <v>1880.2476</v>
      </c>
      <c r="M121" s="26" t="n">
        <f aca="false">(1+M123)*L121</f>
        <v>1899.050076</v>
      </c>
      <c r="N121" s="26" t="n">
        <f aca="false">(1+N123)*M121</f>
        <v>1937.03107752</v>
      </c>
    </row>
    <row r="122" customFormat="false" ht="13.8" hidden="false" customHeight="false" outlineLevel="0" collapsed="false">
      <c r="A122" s="65" t="s">
        <v>144</v>
      </c>
      <c r="B122" s="0" t="str">
        <f aca="false">IFERROR(B121/A121-1,"nm")</f>
        <v>nm</v>
      </c>
      <c r="C122" s="56" t="n">
        <f aca="false">C121/B121-1</f>
        <v>0.14054054054054</v>
      </c>
    </row>
    <row r="123" customFormat="false" ht="13.8" hidden="false" customHeight="false" outlineLevel="0" collapsed="false">
      <c r="A123" s="65" t="s">
        <v>158</v>
      </c>
      <c r="B123" s="66" t="n">
        <f aca="false">+Historicals!B189</f>
        <v>0.0559360730593607</v>
      </c>
      <c r="C123" s="66" t="n">
        <f aca="false">+Historicals!C189</f>
        <v>0.140540540540541</v>
      </c>
      <c r="D123" s="66" t="n">
        <f aca="false">+Historicals!D189</f>
        <v>0.1260663507109</v>
      </c>
      <c r="E123" s="66" t="n">
        <f aca="false">+Historicals!E189</f>
        <v>0.269360269360269</v>
      </c>
      <c r="F123" s="66" t="n">
        <f aca="false">+Historicals!F189</f>
        <v>0.19893899204244</v>
      </c>
      <c r="G123" s="66" t="n">
        <f aca="false">+Historicals!G189</f>
        <v>0.0486725663716814</v>
      </c>
      <c r="H123" s="66" t="n">
        <f aca="false">+Historicals!H189</f>
        <v>0.237869198312236</v>
      </c>
      <c r="I123" s="66" t="n">
        <f aca="false">+Historicals!I189</f>
        <v>-0.174265019173413</v>
      </c>
      <c r="J123" s="56" t="n">
        <v>-0.02</v>
      </c>
      <c r="K123" s="56" t="n">
        <v>-0.01</v>
      </c>
      <c r="L123" s="56" t="n">
        <v>0</v>
      </c>
      <c r="M123" s="56" t="n">
        <v>0.01</v>
      </c>
      <c r="N123" s="56" t="n">
        <v>0.02</v>
      </c>
    </row>
    <row r="124" customFormat="false" ht="13.8" hidden="false" customHeight="false" outlineLevel="0" collapsed="false">
      <c r="A124" s="65" t="s">
        <v>160</v>
      </c>
      <c r="B124" s="0" t="str">
        <f aca="false">IFERROR(B122-B123,"nm")</f>
        <v>nm</v>
      </c>
      <c r="C124" s="56" t="n">
        <f aca="false">C122-C123</f>
        <v>0</v>
      </c>
      <c r="D124" s="56" t="n">
        <f aca="false">D122-D123</f>
        <v>-0.1260663507109</v>
      </c>
      <c r="E124" s="56" t="n">
        <f aca="false">E122-E123</f>
        <v>-0.269360269360269</v>
      </c>
      <c r="F124" s="56" t="n">
        <f aca="false">F122-F123</f>
        <v>-0.19893899204244</v>
      </c>
      <c r="G124" s="56" t="n">
        <f aca="false">G122-G123</f>
        <v>-0.0486725663716814</v>
      </c>
      <c r="H124" s="56" t="n">
        <f aca="false">H122-H123</f>
        <v>-0.237869198312236</v>
      </c>
      <c r="I124" s="56" t="n">
        <f aca="false">I122-I123</f>
        <v>0.174265019173413</v>
      </c>
      <c r="J124" s="56" t="n">
        <f aca="false">J122-J123</f>
        <v>0.02</v>
      </c>
      <c r="K124" s="56" t="n">
        <f aca="false">K122-K123</f>
        <v>0.01</v>
      </c>
      <c r="L124" s="56" t="n">
        <f aca="false">L122-L123</f>
        <v>0</v>
      </c>
      <c r="M124" s="56" t="n">
        <f aca="false">M122-M123</f>
        <v>-0.01</v>
      </c>
      <c r="N124" s="56" t="n">
        <f aca="false">N122-N123</f>
        <v>-0.02</v>
      </c>
    </row>
    <row r="125" customFormat="false" ht="13.8" hidden="false" customHeight="false" outlineLevel="0" collapsed="false">
      <c r="A125" s="67" t="s">
        <v>118</v>
      </c>
      <c r="B125" s="0" t="n">
        <f aca="false">+Historicals!B118</f>
        <v>126</v>
      </c>
      <c r="C125" s="0" t="n">
        <f aca="false">+Historicals!C118</f>
        <v>131</v>
      </c>
      <c r="D125" s="0" t="n">
        <f aca="false">+Historicals!D118</f>
        <v>129</v>
      </c>
      <c r="E125" s="0" t="n">
        <f aca="false">+Historicals!E118</f>
        <v>130</v>
      </c>
      <c r="F125" s="0" t="n">
        <f aca="false">+Historicals!F118</f>
        <v>138</v>
      </c>
      <c r="G125" s="0" t="n">
        <f aca="false">+Historicals!G118</f>
        <v>148</v>
      </c>
      <c r="H125" s="0" t="n">
        <f aca="false">+Historicals!H118</f>
        <v>195</v>
      </c>
      <c r="I125" s="0" t="n">
        <f aca="false">+Historicals!I118</f>
        <v>193</v>
      </c>
      <c r="J125" s="74" t="n">
        <f aca="false">(1+J127)*I125</f>
        <v>189.14</v>
      </c>
      <c r="K125" s="74" t="n">
        <f aca="false">(1+K127)*J125</f>
        <v>187.2486</v>
      </c>
      <c r="L125" s="74" t="n">
        <f aca="false">(1+L127)*K125</f>
        <v>187.2486</v>
      </c>
      <c r="M125" s="74" t="n">
        <f aca="false">(1+M127)*L125</f>
        <v>189.121086</v>
      </c>
      <c r="N125" s="74" t="n">
        <f aca="false">(1+N127)*M125</f>
        <v>192.90350772</v>
      </c>
    </row>
    <row r="126" customFormat="false" ht="13.8" hidden="false" customHeight="false" outlineLevel="0" collapsed="false">
      <c r="A126" s="65" t="s">
        <v>144</v>
      </c>
      <c r="B126" s="61" t="str">
        <f aca="false">IFERROR(B125/A125-1,"nm")</f>
        <v>nm</v>
      </c>
      <c r="C126" s="56" t="n">
        <f aca="false">C125/B125-1</f>
        <v>0.0396825396825398</v>
      </c>
    </row>
    <row r="127" customFormat="false" ht="13.8" hidden="false" customHeight="false" outlineLevel="0" collapsed="false">
      <c r="A127" s="65" t="s">
        <v>158</v>
      </c>
      <c r="B127" s="77" t="n">
        <f aca="false">+Historicals!B190</f>
        <v>0</v>
      </c>
      <c r="C127" s="77" t="n">
        <f aca="false">+Historicals!C190</f>
        <v>0.0396825396825397</v>
      </c>
      <c r="D127" s="77" t="n">
        <f aca="false">+Historicals!D190</f>
        <v>-0.0152671755725191</v>
      </c>
      <c r="E127" s="77" t="n">
        <f aca="false">+Historicals!E190</f>
        <v>0.00775193798449612</v>
      </c>
      <c r="F127" s="77" t="n">
        <f aca="false">+Historicals!F190</f>
        <v>0.0615384615384615</v>
      </c>
      <c r="G127" s="77" t="n">
        <f aca="false">+Historicals!G190</f>
        <v>0.072463768115942</v>
      </c>
      <c r="H127" s="77" t="n">
        <f aca="false">+Historicals!H190</f>
        <v>0.317567567567568</v>
      </c>
      <c r="I127" s="77" t="n">
        <f aca="false">+Historicals!I190</f>
        <v>-0.0102564102564103</v>
      </c>
      <c r="J127" s="56" t="n">
        <v>-0.02</v>
      </c>
      <c r="K127" s="56" t="n">
        <v>-0.01</v>
      </c>
      <c r="L127" s="56" t="n">
        <v>0</v>
      </c>
      <c r="M127" s="56" t="n">
        <v>0.01</v>
      </c>
      <c r="N127" s="56" t="n">
        <v>0.02</v>
      </c>
    </row>
    <row r="128" customFormat="false" ht="13.8" hidden="false" customHeight="false" outlineLevel="0" collapsed="false">
      <c r="A128" s="65" t="s">
        <v>160</v>
      </c>
      <c r="B128" s="0" t="str">
        <f aca="false">IFERROR(B126-B127,"nm")</f>
        <v>nm</v>
      </c>
      <c r="C128" s="56" t="n">
        <f aca="false">C126-C127</f>
        <v>0</v>
      </c>
      <c r="D128" s="56" t="n">
        <f aca="false">D126-D127</f>
        <v>0.0152671755725191</v>
      </c>
      <c r="E128" s="56" t="n">
        <f aca="false">E126-E127</f>
        <v>-0.00775193798449612</v>
      </c>
      <c r="F128" s="56" t="n">
        <f aca="false">F126-F127</f>
        <v>-0.0615384615384615</v>
      </c>
      <c r="G128" s="56" t="n">
        <f aca="false">G126-G127</f>
        <v>-0.072463768115942</v>
      </c>
      <c r="H128" s="56" t="n">
        <f aca="false">H126-H127</f>
        <v>-0.317567567567568</v>
      </c>
      <c r="I128" s="56" t="n">
        <f aca="false">I126-I127</f>
        <v>0.0102564102564103</v>
      </c>
      <c r="J128" s="56" t="n">
        <f aca="false">J126-J127</f>
        <v>0.02</v>
      </c>
      <c r="K128" s="56" t="n">
        <f aca="false">K126-K127</f>
        <v>0.01</v>
      </c>
      <c r="L128" s="56" t="n">
        <f aca="false">L126-L127</f>
        <v>0</v>
      </c>
      <c r="M128" s="56" t="n">
        <f aca="false">M126-M127</f>
        <v>-0.01</v>
      </c>
      <c r="N128" s="56" t="n">
        <f aca="false">N126-N127</f>
        <v>-0.02</v>
      </c>
    </row>
    <row r="129" customFormat="false" ht="13.8" hidden="false" customHeight="false" outlineLevel="0" collapsed="false">
      <c r="A129" s="14" t="s">
        <v>145</v>
      </c>
      <c r="B129" s="54" t="n">
        <f aca="false">B136+B132</f>
        <v>1039</v>
      </c>
      <c r="C129" s="54" t="n">
        <f aca="false">C136+C132</f>
        <v>1420</v>
      </c>
      <c r="D129" s="54" t="n">
        <f aca="false">D136+D132</f>
        <v>1561</v>
      </c>
      <c r="E129" s="54" t="n">
        <f aca="false">E136+E132</f>
        <v>1863</v>
      </c>
      <c r="F129" s="54" t="n">
        <f aca="false">F136+F132</f>
        <v>2426</v>
      </c>
      <c r="G129" s="54" t="n">
        <f aca="false">G136+G132</f>
        <v>2534</v>
      </c>
      <c r="H129" s="54" t="n">
        <f aca="false">H136+H132</f>
        <v>3289</v>
      </c>
      <c r="I129" s="54" t="n">
        <f aca="false">I136+I132</f>
        <v>2406</v>
      </c>
      <c r="J129" s="54" t="n">
        <f aca="false">+I129*(1+I130)</f>
        <v>2406</v>
      </c>
      <c r="K129" s="54" t="n">
        <f aca="false">+J129*(1+J130)</f>
        <v>2406</v>
      </c>
      <c r="L129" s="54" t="n">
        <f aca="false">+K129*(1+K130)</f>
        <v>2406</v>
      </c>
      <c r="M129" s="54" t="n">
        <f aca="false">+L129*(1+L130)</f>
        <v>2406</v>
      </c>
      <c r="N129" s="54" t="n">
        <f aca="false">+M129*(1+M130)</f>
        <v>2406</v>
      </c>
    </row>
    <row r="130" customFormat="false" ht="13.8" hidden="false" customHeight="false" outlineLevel="0" collapsed="false">
      <c r="A130" s="70" t="s">
        <v>144</v>
      </c>
      <c r="B130" s="0" t="str">
        <f aca="false">IFERROR(B129/A129-1,"nm")</f>
        <v>nm</v>
      </c>
      <c r="C130" s="56" t="n">
        <f aca="false">C129/B129-1</f>
        <v>0.36669874879692</v>
      </c>
      <c r="J130" s="56" t="n">
        <v>0</v>
      </c>
      <c r="K130" s="56" t="n">
        <v>0</v>
      </c>
      <c r="L130" s="56" t="n">
        <v>0</v>
      </c>
      <c r="M130" s="56" t="n">
        <v>0</v>
      </c>
      <c r="N130" s="56" t="n">
        <v>0</v>
      </c>
    </row>
    <row r="131" customFormat="false" ht="13.8" hidden="false" customHeight="false" outlineLevel="0" collapsed="false">
      <c r="A131" s="70" t="s">
        <v>147</v>
      </c>
      <c r="B131" s="56" t="n">
        <f aca="false">B129/B115</f>
        <v>0.338767525268992</v>
      </c>
      <c r="C131" s="56" t="n">
        <f aca="false">C129/C115</f>
        <v>0.375165125495376</v>
      </c>
      <c r="D131" s="56" t="n">
        <f aca="false">D129/D115</f>
        <v>0.368421052631579</v>
      </c>
      <c r="E131" s="56" t="n">
        <f aca="false">E129/E115</f>
        <v>0.362874951305025</v>
      </c>
      <c r="F131" s="56" t="n">
        <f aca="false">F129/F115</f>
        <v>0.390786082474227</v>
      </c>
      <c r="G131" s="56" t="n">
        <f aca="false">G129/G115</f>
        <v>0.379398113490043</v>
      </c>
      <c r="H131" s="56" t="n">
        <f aca="false">H129/H115</f>
        <v>0.396743063932449</v>
      </c>
      <c r="I131" s="56" t="n">
        <f aca="false">I129/I115</f>
        <v>0.318802173048894</v>
      </c>
      <c r="J131" s="56" t="n">
        <f aca="false">J129/J115</f>
        <v>0.350188156164745</v>
      </c>
      <c r="K131" s="56" t="n">
        <f aca="false">K129/K115</f>
        <v>0.384664080377068</v>
      </c>
      <c r="L131" s="56" t="n">
        <f aca="false">L129/L115</f>
        <v>0.422534149506545</v>
      </c>
      <c r="M131" s="56" t="n">
        <f aca="false">M129/M115</f>
        <v>0.46413251615334</v>
      </c>
      <c r="N131" s="56" t="n">
        <f aca="false">N129/N115</f>
        <v>0.509826230145911</v>
      </c>
    </row>
    <row r="132" customFormat="false" ht="13.8" hidden="false" customHeight="false" outlineLevel="0" collapsed="false">
      <c r="A132" s="14" t="s">
        <v>148</v>
      </c>
      <c r="B132" s="71" t="n">
        <f aca="false">+Historicals!B169</f>
        <v>46</v>
      </c>
      <c r="C132" s="71" t="n">
        <f aca="false">+Historicals!C169</f>
        <v>48</v>
      </c>
      <c r="D132" s="71" t="n">
        <f aca="false">+Historicals!D169</f>
        <v>54</v>
      </c>
      <c r="E132" s="71" t="n">
        <f aca="false">+Historicals!E169</f>
        <v>56</v>
      </c>
      <c r="F132" s="71" t="n">
        <f aca="false">+Historicals!F169</f>
        <v>50</v>
      </c>
      <c r="G132" s="71" t="n">
        <f aca="false">+Historicals!G169</f>
        <v>44</v>
      </c>
      <c r="H132" s="71" t="n">
        <f aca="false">+Historicals!H169</f>
        <v>46</v>
      </c>
      <c r="I132" s="71" t="n">
        <f aca="false">+Historicals!I169</f>
        <v>41</v>
      </c>
      <c r="J132" s="54" t="n">
        <f aca="false">+I132*(1+I133)</f>
        <v>41</v>
      </c>
      <c r="K132" s="54" t="n">
        <f aca="false">+J132*(1+J133)</f>
        <v>41</v>
      </c>
      <c r="L132" s="54" t="n">
        <f aca="false">+K132*(1+K133)</f>
        <v>41</v>
      </c>
      <c r="M132" s="54" t="n">
        <f aca="false">+L132*(1+L133)</f>
        <v>41</v>
      </c>
      <c r="N132" s="54" t="n">
        <f aca="false">+M132*(1+M133)</f>
        <v>41</v>
      </c>
    </row>
    <row r="133" customFormat="false" ht="13.8" hidden="false" customHeight="false" outlineLevel="0" collapsed="false">
      <c r="A133" s="70" t="s">
        <v>144</v>
      </c>
      <c r="B133" s="0" t="str">
        <f aca="false">IFERROR(B132/A132-1,"nm")</f>
        <v>nm</v>
      </c>
      <c r="C133" s="56" t="n">
        <f aca="false">C132/B132-1</f>
        <v>0.0434782608695652</v>
      </c>
      <c r="J133" s="56" t="n">
        <v>0</v>
      </c>
      <c r="K133" s="56" t="n">
        <v>0</v>
      </c>
      <c r="L133" s="56" t="n">
        <v>0</v>
      </c>
      <c r="M133" s="56" t="n">
        <v>0</v>
      </c>
      <c r="N133" s="56" t="n">
        <v>0</v>
      </c>
    </row>
    <row r="134" customFormat="false" ht="13.8" hidden="false" customHeight="false" outlineLevel="0" collapsed="false">
      <c r="A134" s="70" t="s">
        <v>150</v>
      </c>
      <c r="B134" s="56" t="n">
        <f aca="false">B132/B115</f>
        <v>0.0149983697424193</v>
      </c>
      <c r="C134" s="56" t="n">
        <f aca="false">C132/C115</f>
        <v>0.0126816380449141</v>
      </c>
      <c r="D134" s="56" t="n">
        <f aca="false">D132/D115</f>
        <v>0.0127448666509323</v>
      </c>
      <c r="E134" s="56" t="n">
        <f aca="false">E132/E115</f>
        <v>0.0109076743280094</v>
      </c>
      <c r="F134" s="56" t="n">
        <f aca="false">F132/F115</f>
        <v>0.00805412371134021</v>
      </c>
      <c r="G134" s="56" t="n">
        <f aca="false">G132/G115</f>
        <v>0.00658781254678844</v>
      </c>
      <c r="H134" s="56" t="n">
        <f aca="false">H132/H115</f>
        <v>0.00554885404101327</v>
      </c>
      <c r="I134" s="56" t="n">
        <f aca="false">I132/I115</f>
        <v>0.00543262223400027</v>
      </c>
      <c r="J134" s="56" t="n">
        <f aca="false">J132/J115</f>
        <v>0.00596746234528451</v>
      </c>
      <c r="K134" s="56" t="n">
        <f aca="false">K132/K115</f>
        <v>0.00655495731315868</v>
      </c>
      <c r="L134" s="56" t="n">
        <f aca="false">L132/L115</f>
        <v>0.00720029099325368</v>
      </c>
      <c r="M134" s="56" t="n">
        <f aca="false">M132/M115</f>
        <v>0.00790915759031045</v>
      </c>
      <c r="N134" s="56" t="n">
        <f aca="false">N132/N115</f>
        <v>0.00868781190190455</v>
      </c>
    </row>
    <row r="135" customFormat="false" ht="13.8" hidden="false" customHeight="false" outlineLevel="0" collapsed="false">
      <c r="A135" s="70" t="s">
        <v>162</v>
      </c>
      <c r="B135" s="56" t="n">
        <f aca="false">B132/B142</f>
        <v>0.181102362204724</v>
      </c>
      <c r="C135" s="56" t="n">
        <f aca="false">C132/C142</f>
        <v>0.205128205128205</v>
      </c>
      <c r="D135" s="56" t="n">
        <f aca="false">D132/D142</f>
        <v>0.24</v>
      </c>
      <c r="E135" s="56" t="n">
        <f aca="false">E132/E142</f>
        <v>0.21875</v>
      </c>
      <c r="F135" s="56" t="n">
        <f aca="false">F132/F142</f>
        <v>0.210970464135021</v>
      </c>
      <c r="G135" s="56" t="n">
        <f aca="false">G132/G142</f>
        <v>0.205607476635514</v>
      </c>
      <c r="H135" s="56" t="n">
        <f aca="false">H132/H142</f>
        <v>0.159722222222222</v>
      </c>
      <c r="I135" s="56" t="n">
        <f aca="false">I132/I142</f>
        <v>0.135313531353135</v>
      </c>
      <c r="J135" s="56" t="n">
        <f aca="false">J132/J142</f>
        <v>0.135313531353135</v>
      </c>
      <c r="K135" s="56" t="n">
        <f aca="false">K132/K142</f>
        <v>0.135313531353135</v>
      </c>
      <c r="L135" s="56" t="n">
        <f aca="false">L132/L142</f>
        <v>0.135313531353135</v>
      </c>
      <c r="M135" s="56" t="n">
        <f aca="false">M132/M142</f>
        <v>0.135313531353135</v>
      </c>
      <c r="N135" s="56" t="n">
        <f aca="false">N132/N142</f>
        <v>0.135313531353135</v>
      </c>
    </row>
    <row r="136" customFormat="false" ht="13.8" hidden="false" customHeight="false" outlineLevel="0" collapsed="false">
      <c r="A136" s="14" t="s">
        <v>151</v>
      </c>
      <c r="B136" s="71" t="n">
        <f aca="false">+Historicals!B136</f>
        <v>993</v>
      </c>
      <c r="C136" s="71" t="n">
        <f aca="false">+Historicals!C136</f>
        <v>1372</v>
      </c>
      <c r="D136" s="71" t="n">
        <f aca="false">+Historicals!D136</f>
        <v>1507</v>
      </c>
      <c r="E136" s="71" t="n">
        <f aca="false">+Historicals!E136</f>
        <v>1807</v>
      </c>
      <c r="F136" s="71" t="n">
        <f aca="false">+Historicals!F136</f>
        <v>2376</v>
      </c>
      <c r="G136" s="71" t="n">
        <f aca="false">+Historicals!G136</f>
        <v>2490</v>
      </c>
      <c r="H136" s="71" t="n">
        <f aca="false">+Historicals!H136</f>
        <v>3243</v>
      </c>
      <c r="I136" s="71" t="n">
        <f aca="false">+Historicals!I136</f>
        <v>2365</v>
      </c>
      <c r="J136" s="55" t="n">
        <f aca="false">+I136*(1+I137)</f>
        <v>1724.70706136294</v>
      </c>
      <c r="K136" s="55" t="n">
        <f aca="false">+J136*(1+J137)</f>
        <v>1724.70706136294</v>
      </c>
      <c r="L136" s="55" t="n">
        <f aca="false">+K136*(1+K137)</f>
        <v>1724.70706136294</v>
      </c>
      <c r="M136" s="55" t="n">
        <f aca="false">+L136*(1+L137)</f>
        <v>1724.70706136294</v>
      </c>
      <c r="N136" s="55" t="n">
        <f aca="false">+M136*(1+M137)</f>
        <v>1724.70706136294</v>
      </c>
    </row>
    <row r="137" customFormat="false" ht="13.8" hidden="false" customHeight="false" outlineLevel="0" collapsed="false">
      <c r="A137" s="70" t="s">
        <v>144</v>
      </c>
      <c r="B137" s="0" t="str">
        <f aca="false">IFERROR(B136/A136-1,"nm")</f>
        <v>nm</v>
      </c>
      <c r="C137" s="56" t="n">
        <f aca="false">C136/B136-1</f>
        <v>0.381671701913394</v>
      </c>
      <c r="D137" s="56" t="n">
        <f aca="false">D136/C136-1</f>
        <v>0.0983965014577259</v>
      </c>
      <c r="E137" s="56" t="n">
        <f aca="false">E136/D136-1</f>
        <v>0.19907100199071</v>
      </c>
      <c r="F137" s="56" t="n">
        <f aca="false">F136/E136-1</f>
        <v>0.314886552296624</v>
      </c>
      <c r="G137" s="56" t="n">
        <f aca="false">G136/F136-1</f>
        <v>0.047979797979798</v>
      </c>
      <c r="H137" s="56" t="n">
        <f aca="false">H136/G136-1</f>
        <v>0.302409638554217</v>
      </c>
      <c r="I137" s="56" t="n">
        <f aca="false">I136/H136-1</f>
        <v>-0.270736971939562</v>
      </c>
      <c r="J137" s="56" t="n">
        <v>0</v>
      </c>
      <c r="K137" s="56" t="n">
        <v>0</v>
      </c>
      <c r="L137" s="56" t="n">
        <v>0</v>
      </c>
      <c r="M137" s="56" t="n">
        <v>0</v>
      </c>
      <c r="N137" s="56" t="n">
        <v>0</v>
      </c>
    </row>
    <row r="138" customFormat="false" ht="13.8" hidden="false" customHeight="false" outlineLevel="0" collapsed="false">
      <c r="A138" s="70" t="s">
        <v>147</v>
      </c>
      <c r="B138" s="56" t="n">
        <f aca="false">B136/B115</f>
        <v>0.323769155526573</v>
      </c>
      <c r="C138" s="56" t="n">
        <f aca="false">C136/C115</f>
        <v>0.362483487450462</v>
      </c>
      <c r="D138" s="56" t="n">
        <f aca="false">D136/D115</f>
        <v>0.355676185980647</v>
      </c>
      <c r="E138" s="56" t="n">
        <f aca="false">E136/E115</f>
        <v>0.351967276977016</v>
      </c>
      <c r="F138" s="56" t="n">
        <f aca="false">F136/F115</f>
        <v>0.382731958762887</v>
      </c>
      <c r="G138" s="56" t="n">
        <f aca="false">G136/G115</f>
        <v>0.372810300943255</v>
      </c>
      <c r="H138" s="56" t="n">
        <f aca="false">H136/H115</f>
        <v>0.391194209891435</v>
      </c>
      <c r="I138" s="56" t="n">
        <f aca="false">I136/I115</f>
        <v>0.313369550814893</v>
      </c>
      <c r="J138" s="56" t="n">
        <f aca="false">J136/J115</f>
        <v>0.251027425495844</v>
      </c>
      <c r="K138" s="56" t="n">
        <f aca="false">K136/K115</f>
        <v>0.275741004022863</v>
      </c>
      <c r="L138" s="56" t="n">
        <f aca="false">L136/L115</f>
        <v>0.302887627315428</v>
      </c>
      <c r="M138" s="56" t="n">
        <f aca="false">M136/M115</f>
        <v>0.332706827937578</v>
      </c>
      <c r="N138" s="56" t="n">
        <f aca="false">N136/N115</f>
        <v>0.365461720366042</v>
      </c>
    </row>
    <row r="139" customFormat="false" ht="13.8" hidden="false" customHeight="false" outlineLevel="0" collapsed="false">
      <c r="A139" s="14" t="s">
        <v>153</v>
      </c>
      <c r="B139" s="71" t="n">
        <v>69</v>
      </c>
      <c r="C139" s="71" t="n">
        <v>44</v>
      </c>
      <c r="D139" s="71" t="n">
        <v>51</v>
      </c>
      <c r="E139" s="71" t="n">
        <v>76</v>
      </c>
      <c r="F139" s="71" t="n">
        <v>49</v>
      </c>
      <c r="G139" s="71" t="n">
        <v>28</v>
      </c>
      <c r="H139" s="71" t="n">
        <v>94</v>
      </c>
      <c r="I139" s="71" t="n">
        <v>78</v>
      </c>
      <c r="J139" s="55" t="n">
        <f aca="false">+I139*(1+I140)</f>
        <v>64.7234042553192</v>
      </c>
      <c r="K139" s="55" t="n">
        <f aca="false">+J139*(1+J140)</f>
        <v>64.7234042553192</v>
      </c>
      <c r="L139" s="55" t="n">
        <f aca="false">+K139*(1+K140)</f>
        <v>64.7234042553192</v>
      </c>
      <c r="M139" s="55" t="n">
        <f aca="false">+L139*(1+L140)</f>
        <v>64.7234042553192</v>
      </c>
      <c r="N139" s="55" t="n">
        <f aca="false">+M139*(1+M140)</f>
        <v>64.7234042553192</v>
      </c>
    </row>
    <row r="140" customFormat="false" ht="13.8" hidden="false" customHeight="false" outlineLevel="0" collapsed="false">
      <c r="A140" s="70" t="s">
        <v>144</v>
      </c>
      <c r="B140" s="0" t="str">
        <f aca="false">IFERROR(B139/A139-1,"nm")</f>
        <v>nm</v>
      </c>
      <c r="C140" s="56" t="n">
        <f aca="false">C139/B139-1</f>
        <v>-0.36231884057971</v>
      </c>
      <c r="D140" s="56" t="n">
        <f aca="false">D139/C139-1</f>
        <v>0.159090909090909</v>
      </c>
      <c r="E140" s="56" t="n">
        <f aca="false">E139/D139-1</f>
        <v>0.490196078431373</v>
      </c>
      <c r="F140" s="56" t="n">
        <f aca="false">F139/E139-1</f>
        <v>-0.355263157894737</v>
      </c>
      <c r="G140" s="56" t="n">
        <f aca="false">G139/F139-1</f>
        <v>-0.428571428571429</v>
      </c>
      <c r="H140" s="56" t="n">
        <f aca="false">H139/G139-1</f>
        <v>2.35714285714286</v>
      </c>
      <c r="I140" s="56" t="n">
        <f aca="false">I139/H139-1</f>
        <v>-0.170212765957447</v>
      </c>
      <c r="J140" s="56" t="n">
        <v>0</v>
      </c>
      <c r="K140" s="56" t="n">
        <v>0</v>
      </c>
      <c r="L140" s="56" t="n">
        <v>0</v>
      </c>
      <c r="M140" s="56" t="n">
        <v>0</v>
      </c>
      <c r="N140" s="56" t="n">
        <v>0</v>
      </c>
    </row>
    <row r="141" customFormat="false" ht="13.8" hidden="false" customHeight="false" outlineLevel="0" collapsed="false">
      <c r="A141" s="70" t="s">
        <v>150</v>
      </c>
      <c r="B141" s="56" t="n">
        <f aca="false">B139/B115</f>
        <v>0.022497554613629</v>
      </c>
      <c r="C141" s="56" t="n">
        <f aca="false">C139/C115</f>
        <v>0.0116248348745046</v>
      </c>
      <c r="D141" s="56" t="n">
        <f aca="false">D139/D115</f>
        <v>0.0120368185036582</v>
      </c>
      <c r="E141" s="56" t="n">
        <f aca="false">E139/E115</f>
        <v>0.0148032723022984</v>
      </c>
      <c r="F141" s="56" t="n">
        <f aca="false">F139/F115</f>
        <v>0.0078930412371134</v>
      </c>
      <c r="G141" s="56" t="n">
        <f aca="false">G139/G115</f>
        <v>0.00419224434795628</v>
      </c>
      <c r="H141" s="56" t="n">
        <f aca="false">H139/H115</f>
        <v>0.0113389626055489</v>
      </c>
      <c r="I141" s="56" t="n">
        <f aca="false">I139/I115</f>
        <v>0.0103352325427322</v>
      </c>
      <c r="J141" s="56" t="n">
        <f aca="false">J139/J115</f>
        <v>0.0094203531159084</v>
      </c>
      <c r="K141" s="56" t="n">
        <f aca="false">K139/K115</f>
        <v>0.0103477841964861</v>
      </c>
      <c r="L141" s="56" t="n">
        <f aca="false">L139/L115</f>
        <v>0.0113665206027388</v>
      </c>
      <c r="M141" s="56" t="n">
        <f aca="false">M139/M115</f>
        <v>0.012485551317968</v>
      </c>
      <c r="N141" s="56" t="n">
        <f aca="false">N139/N115</f>
        <v>0.0137147502883205</v>
      </c>
    </row>
    <row r="142" customFormat="false" ht="13.8" hidden="false" customHeight="false" outlineLevel="0" collapsed="false">
      <c r="A142" s="14" t="s">
        <v>155</v>
      </c>
      <c r="B142" s="71" t="n">
        <f aca="false">+Historicals!B147</f>
        <v>254</v>
      </c>
      <c r="C142" s="71" t="n">
        <f aca="false">+Historicals!C147</f>
        <v>234</v>
      </c>
      <c r="D142" s="71" t="n">
        <f aca="false">+Historicals!D147</f>
        <v>225</v>
      </c>
      <c r="E142" s="71" t="n">
        <f aca="false">+Historicals!E147</f>
        <v>256</v>
      </c>
      <c r="F142" s="71" t="n">
        <f aca="false">+Historicals!F147</f>
        <v>237</v>
      </c>
      <c r="G142" s="71" t="n">
        <f aca="false">+Historicals!G147</f>
        <v>214</v>
      </c>
      <c r="H142" s="71" t="n">
        <f aca="false">+Historicals!H147</f>
        <v>288</v>
      </c>
      <c r="I142" s="71" t="n">
        <f aca="false">+Historicals!I147</f>
        <v>303</v>
      </c>
      <c r="J142" s="54" t="n">
        <f aca="false">+I142*(1+I143)</f>
        <v>303</v>
      </c>
      <c r="K142" s="54" t="n">
        <f aca="false">+J142*(1+J143)</f>
        <v>303</v>
      </c>
      <c r="L142" s="54" t="n">
        <f aca="false">+K142*(1+K143)</f>
        <v>303</v>
      </c>
      <c r="M142" s="54" t="n">
        <f aca="false">+L142*(1+L143)</f>
        <v>303</v>
      </c>
      <c r="N142" s="54" t="n">
        <f aca="false">+M142*(1+M143)</f>
        <v>303</v>
      </c>
    </row>
    <row r="143" customFormat="false" ht="13.8" hidden="false" customHeight="false" outlineLevel="0" collapsed="false">
      <c r="A143" s="70" t="s">
        <v>144</v>
      </c>
      <c r="B143" s="0" t="str">
        <f aca="false">IFERROR(B142/A142-1,"nm")</f>
        <v>nm</v>
      </c>
      <c r="C143" s="56" t="n">
        <f aca="false">C142/B142-1</f>
        <v>-0.0787401574803149</v>
      </c>
      <c r="J143" s="56" t="n">
        <v>0</v>
      </c>
      <c r="K143" s="56" t="n">
        <v>0</v>
      </c>
      <c r="L143" s="56" t="n">
        <v>0</v>
      </c>
      <c r="M143" s="56" t="n">
        <v>0</v>
      </c>
      <c r="N143" s="56" t="n">
        <v>0</v>
      </c>
    </row>
    <row r="144" customFormat="false" ht="13.8" hidden="false" customHeight="false" outlineLevel="0" collapsed="false">
      <c r="A144" s="70" t="s">
        <v>150</v>
      </c>
      <c r="B144" s="56" t="n">
        <f aca="false">B142/B115</f>
        <v>0.0828170850994457</v>
      </c>
      <c r="C144" s="56" t="n">
        <f aca="false">C142/C115</f>
        <v>0.0618229854689564</v>
      </c>
      <c r="D144" s="56" t="n">
        <f aca="false">D142/D115</f>
        <v>0.0531036110455511</v>
      </c>
      <c r="E144" s="56" t="n">
        <f aca="false">E142/E115</f>
        <v>0.0498636540708999</v>
      </c>
      <c r="F144" s="56" t="n">
        <f aca="false">F142/F115</f>
        <v>0.0381765463917526</v>
      </c>
      <c r="G144" s="56" t="n">
        <f aca="false">G142/G115</f>
        <v>0.0320407246593801</v>
      </c>
      <c r="H144" s="56" t="n">
        <f aca="false">H142/H115</f>
        <v>0.0347406513872135</v>
      </c>
      <c r="I144" s="56" t="n">
        <f aca="false">I142/I115</f>
        <v>0.0401484033390751</v>
      </c>
      <c r="J144" s="56" t="n">
        <f aca="false">J142/J115</f>
        <v>0.0441010022102733</v>
      </c>
      <c r="K144" s="56" t="n">
        <f aca="false">K142/K115</f>
        <v>0.0484427333143191</v>
      </c>
      <c r="L144" s="56" t="n">
        <f aca="false">L142/L115</f>
        <v>0.0532119066086796</v>
      </c>
      <c r="M144" s="56" t="n">
        <f aca="false">M142/M115</f>
        <v>0.0584506036552211</v>
      </c>
      <c r="N144" s="56" t="n">
        <f aca="false">N142/N115</f>
        <v>0.0642050489335873</v>
      </c>
    </row>
    <row r="145" customFormat="false" ht="13.8" hidden="false" customHeight="false" outlineLevel="0" collapsed="false">
      <c r="A145" s="72" t="s">
        <v>121</v>
      </c>
      <c r="B145" s="57"/>
      <c r="C145" s="57"/>
      <c r="D145" s="57"/>
      <c r="E145" s="57"/>
      <c r="F145" s="57"/>
      <c r="G145" s="57"/>
      <c r="H145" s="57"/>
      <c r="I145" s="57"/>
      <c r="J145" s="48"/>
      <c r="K145" s="48"/>
      <c r="L145" s="48"/>
      <c r="M145" s="48"/>
      <c r="N145" s="48"/>
    </row>
    <row r="146" customFormat="false" ht="13.8" hidden="false" customHeight="false" outlineLevel="0" collapsed="false">
      <c r="A146" s="14" t="s">
        <v>157</v>
      </c>
      <c r="B146" s="78" t="n">
        <f aca="false">B148+B152+B156</f>
        <v>4653</v>
      </c>
      <c r="C146" s="78" t="n">
        <f aca="false">C148+C152+C156</f>
        <v>4317</v>
      </c>
      <c r="D146" s="78" t="n">
        <f aca="false">D148+D152+D156</f>
        <v>4737</v>
      </c>
      <c r="E146" s="78" t="n">
        <f aca="false">E148+E152+E156</f>
        <v>5166</v>
      </c>
      <c r="F146" s="78" t="n">
        <f aca="false">F148+F152+F156</f>
        <v>5254</v>
      </c>
      <c r="G146" s="78" t="n">
        <f aca="false">G148+G152+G156</f>
        <v>5028</v>
      </c>
      <c r="H146" s="78" t="n">
        <f aca="false">H148+H152+H156</f>
        <v>5343</v>
      </c>
      <c r="I146" s="78" t="n">
        <f aca="false">I148+I152+I156</f>
        <v>5955</v>
      </c>
      <c r="J146" s="54" t="n">
        <f aca="false">+I146*(1.1)</f>
        <v>6550.5</v>
      </c>
      <c r="K146" s="55" t="n">
        <f aca="false">+J146*(1.1)</f>
        <v>7205.55</v>
      </c>
      <c r="L146" s="55" t="n">
        <f aca="false">+K146*(1.1)</f>
        <v>7926.105</v>
      </c>
      <c r="M146" s="55" t="n">
        <f aca="false">+L146*(1.1)</f>
        <v>8718.7155</v>
      </c>
      <c r="N146" s="55" t="n">
        <f aca="false">+M146*(1.1)</f>
        <v>9590.58705000001</v>
      </c>
    </row>
    <row r="147" customFormat="false" ht="13.8" hidden="false" customHeight="false" outlineLevel="0" collapsed="false">
      <c r="A147" s="65" t="s">
        <v>144</v>
      </c>
      <c r="B147" s="66" t="n">
        <f aca="false">+Historicals!B191</f>
        <v>-0.0141949152542373</v>
      </c>
      <c r="C147" s="66" t="n">
        <f aca="false">+Historicals!C191</f>
        <v>-0.0722114764667956</v>
      </c>
      <c r="D147" s="66" t="n">
        <f aca="false">+Historicals!D191</f>
        <v>0.0972897845726199</v>
      </c>
      <c r="E147" s="66" t="n">
        <f aca="false">+Historicals!E191</f>
        <v>0.0905636478784041</v>
      </c>
      <c r="F147" s="66" t="n">
        <f aca="false">+Historicals!F191</f>
        <v>0.0170344560588463</v>
      </c>
      <c r="G147" s="66" t="n">
        <f aca="false">+Historicals!G191</f>
        <v>-0.0430148458317472</v>
      </c>
      <c r="H147" s="66" t="n">
        <f aca="false">+Historicals!H191</f>
        <v>0.0626491646778043</v>
      </c>
      <c r="I147" s="66" t="n">
        <f aca="false">+Historicals!I191</f>
        <v>0.114542391914655</v>
      </c>
      <c r="J147" s="56" t="n">
        <f aca="false">J146/I146-1</f>
        <v>0.1</v>
      </c>
      <c r="K147" s="56" t="n">
        <f aca="false">K146/J146-1</f>
        <v>0.1</v>
      </c>
      <c r="L147" s="56" t="n">
        <f aca="false">L146/K146-1</f>
        <v>0.1</v>
      </c>
      <c r="M147" s="56" t="n">
        <f aca="false">M146/L146-1</f>
        <v>0.1</v>
      </c>
      <c r="N147" s="56" t="n">
        <f aca="false">N146/M146-1</f>
        <v>0.1</v>
      </c>
    </row>
    <row r="148" customFormat="false" ht="13.8" hidden="false" customHeight="false" outlineLevel="0" collapsed="false">
      <c r="A148" s="67" t="s">
        <v>116</v>
      </c>
      <c r="B148" s="0" t="n">
        <f aca="false">+Historicals!B120</f>
        <v>3093</v>
      </c>
      <c r="C148" s="0" t="n">
        <f aca="false">+Historicals!C120</f>
        <v>2930</v>
      </c>
      <c r="D148" s="0" t="n">
        <f aca="false">+Historicals!D120</f>
        <v>3285</v>
      </c>
      <c r="E148" s="0" t="n">
        <f aca="false">+Historicals!E120</f>
        <v>3575</v>
      </c>
      <c r="F148" s="0" t="n">
        <f aca="false">+Historicals!F120</f>
        <v>3622</v>
      </c>
      <c r="G148" s="0" t="n">
        <f aca="false">+Historicals!G120</f>
        <v>3449</v>
      </c>
      <c r="H148" s="26" t="n">
        <f aca="false">+Historicals!H120</f>
        <v>3659</v>
      </c>
      <c r="I148" s="26" t="n">
        <f aca="false">+Historicals!I120</f>
        <v>4111</v>
      </c>
      <c r="J148" s="74" t="n">
        <f aca="false">+I148*(1+I149)</f>
        <v>4618.8360207707</v>
      </c>
      <c r="K148" s="74" t="n">
        <f aca="false">+J148*(1+J149)</f>
        <v>5189.40554287739</v>
      </c>
      <c r="L148" s="74" t="n">
        <f aca="false">+K148*(1+K149)</f>
        <v>5830.45809969088</v>
      </c>
      <c r="M148" s="74" t="n">
        <f aca="false">+L148*(1+L149)</f>
        <v>6550.70053233922</v>
      </c>
      <c r="N148" s="74" t="n">
        <f aca="false">+M148*(1+M149)</f>
        <v>7359.91524691078</v>
      </c>
    </row>
    <row r="149" customFormat="false" ht="13.8" hidden="false" customHeight="false" outlineLevel="0" collapsed="false">
      <c r="A149" s="65" t="s">
        <v>144</v>
      </c>
      <c r="B149" s="0" t="str">
        <f aca="false">IFERROR(B148/A148-1,"nm")</f>
        <v>nm</v>
      </c>
      <c r="C149" s="56" t="n">
        <f aca="false">C148/B148-1</f>
        <v>-0.0526996443582283</v>
      </c>
      <c r="D149" s="56" t="n">
        <f aca="false">D148/C148-1</f>
        <v>0.121160409556314</v>
      </c>
      <c r="E149" s="56" t="n">
        <f aca="false">E148/D148-1</f>
        <v>0.0882800608828007</v>
      </c>
      <c r="F149" s="56" t="n">
        <f aca="false">F148/E148-1</f>
        <v>0.013146853146853</v>
      </c>
      <c r="G149" s="56" t="n">
        <f aca="false">G148/F148-1</f>
        <v>-0.0477636664826063</v>
      </c>
      <c r="H149" s="56" t="n">
        <f aca="false">H148/G148-1</f>
        <v>0.0608872136851262</v>
      </c>
      <c r="I149" s="56" t="n">
        <f aca="false">I148/H148-1</f>
        <v>0.123531019404209</v>
      </c>
      <c r="J149" s="56" t="n">
        <f aca="false">J148/I148-1</f>
        <v>0.123531019404209</v>
      </c>
      <c r="K149" s="56" t="n">
        <f aca="false">K148/J148-1</f>
        <v>0.123531019404209</v>
      </c>
      <c r="L149" s="56" t="n">
        <f aca="false">L148/K148-1</f>
        <v>0.123531019404209</v>
      </c>
      <c r="M149" s="56" t="n">
        <f aca="false">M148/L148-1</f>
        <v>0.123531019404209</v>
      </c>
      <c r="N149" s="56" t="n">
        <f aca="false">N148/M148-1</f>
        <v>0.123531019404209</v>
      </c>
    </row>
    <row r="150" customFormat="false" ht="13.8" hidden="false" customHeight="false" outlineLevel="0" collapsed="false">
      <c r="A150" s="65" t="s">
        <v>158</v>
      </c>
      <c r="B150" s="66" t="n">
        <f aca="false">+Historicals!B192</f>
        <v>0.0137659783677483</v>
      </c>
      <c r="C150" s="66" t="n">
        <f aca="false">+Historicals!C192</f>
        <v>-0.0526996443582283</v>
      </c>
      <c r="D150" s="66" t="n">
        <f aca="false">+Historicals!D192</f>
        <v>0.121160409556314</v>
      </c>
      <c r="E150" s="66" t="n">
        <f aca="false">+Historicals!E192</f>
        <v>0.0882800608828006</v>
      </c>
      <c r="F150" s="66" t="n">
        <f aca="false">+Historicals!F192</f>
        <v>0.0131468531468531</v>
      </c>
      <c r="G150" s="66" t="n">
        <f aca="false">+Historicals!G192</f>
        <v>-0.0477636664826063</v>
      </c>
      <c r="H150" s="66" t="n">
        <f aca="false">+Historicals!H192</f>
        <v>0.0608872136851261</v>
      </c>
      <c r="I150" s="66" t="n">
        <f aca="false">+Historicals!I192</f>
        <v>0.123531019404209</v>
      </c>
      <c r="J150" s="56" t="n">
        <v>0.07</v>
      </c>
      <c r="K150" s="56" t="n">
        <v>0.08</v>
      </c>
      <c r="L150" s="56" t="n">
        <v>0.09</v>
      </c>
      <c r="M150" s="56" t="n">
        <v>0.1</v>
      </c>
      <c r="N150" s="56" t="n">
        <v>0.11</v>
      </c>
      <c r="O150" s="4" t="s">
        <v>168</v>
      </c>
    </row>
    <row r="151" customFormat="false" ht="13.8" hidden="false" customHeight="false" outlineLevel="0" collapsed="false">
      <c r="A151" s="65" t="s">
        <v>160</v>
      </c>
      <c r="B151" s="0" t="str">
        <f aca="false">IFERROR(B149-B150,"nm")</f>
        <v>nm</v>
      </c>
      <c r="C151" s="56" t="n">
        <f aca="false">C149-C150</f>
        <v>0</v>
      </c>
      <c r="D151" s="56" t="n">
        <f aca="false">D149-D150</f>
        <v>0</v>
      </c>
      <c r="E151" s="56" t="n">
        <f aca="false">E149-E150</f>
        <v>0</v>
      </c>
      <c r="F151" s="56" t="n">
        <f aca="false">F149-F150</f>
        <v>-1.04083408558608E-016</v>
      </c>
      <c r="G151" s="56" t="n">
        <f aca="false">G149-G150</f>
        <v>0</v>
      </c>
      <c r="H151" s="56" t="n">
        <f aca="false">H149-H150</f>
        <v>0</v>
      </c>
      <c r="I151" s="56" t="n">
        <f aca="false">I149-I150</f>
        <v>0</v>
      </c>
      <c r="J151" s="56" t="n">
        <f aca="false">J149-J150</f>
        <v>0.0535310194042087</v>
      </c>
      <c r="K151" s="56" t="n">
        <f aca="false">K149-K150</f>
        <v>0.0435310194042087</v>
      </c>
      <c r="L151" s="56" t="n">
        <f aca="false">L149-L150</f>
        <v>0.0335310194042087</v>
      </c>
      <c r="M151" s="56" t="n">
        <f aca="false">M149-M150</f>
        <v>0.0235310194042087</v>
      </c>
      <c r="N151" s="56" t="n">
        <f aca="false">N149-N150</f>
        <v>0.0135310194042087</v>
      </c>
    </row>
    <row r="152" customFormat="false" ht="13.8" hidden="false" customHeight="false" outlineLevel="0" collapsed="false">
      <c r="A152" s="67" t="s">
        <v>117</v>
      </c>
      <c r="B152" s="0" t="n">
        <f aca="false">+Historicals!B121</f>
        <v>1251</v>
      </c>
      <c r="C152" s="0" t="n">
        <f aca="false">+Historicals!C121</f>
        <v>1117</v>
      </c>
      <c r="D152" s="0" t="n">
        <f aca="false">+Historicals!D121</f>
        <v>1185</v>
      </c>
      <c r="E152" s="0" t="n">
        <f aca="false">+Historicals!E121</f>
        <v>1347</v>
      </c>
      <c r="F152" s="0" t="n">
        <f aca="false">+Historicals!F121</f>
        <v>1395</v>
      </c>
      <c r="G152" s="0" t="n">
        <f aca="false">+Historicals!G121</f>
        <v>1365</v>
      </c>
      <c r="H152" s="26" t="n">
        <f aca="false">+Historicals!H121</f>
        <v>1494</v>
      </c>
      <c r="I152" s="26" t="n">
        <f aca="false">+Historicals!I121</f>
        <v>1610</v>
      </c>
      <c r="J152" s="0" t="n">
        <f aca="false">+I152*(1+I153)</f>
        <v>1610</v>
      </c>
      <c r="K152" s="0" t="n">
        <f aca="false">+J152*(1+J153)</f>
        <v>1610</v>
      </c>
      <c r="L152" s="0" t="n">
        <f aca="false">+K152*(1+K153)</f>
        <v>1610</v>
      </c>
      <c r="M152" s="0" t="n">
        <f aca="false">+L152*(1+L153)</f>
        <v>1610</v>
      </c>
      <c r="N152" s="0" t="n">
        <f aca="false">+M152*(1+M153)</f>
        <v>1610</v>
      </c>
    </row>
    <row r="153" customFormat="false" ht="13.8" hidden="false" customHeight="false" outlineLevel="0" collapsed="false">
      <c r="A153" s="65" t="s">
        <v>144</v>
      </c>
      <c r="B153" s="0" t="str">
        <f aca="false">IFERROR(B152/A152-1,"nm")</f>
        <v>nm</v>
      </c>
      <c r="C153" s="56" t="n">
        <f aca="false">C152/B152-1</f>
        <v>-0.107114308553158</v>
      </c>
    </row>
    <row r="154" customFormat="false" ht="13.8" hidden="false" customHeight="false" outlineLevel="0" collapsed="false">
      <c r="A154" s="65" t="s">
        <v>158</v>
      </c>
      <c r="B154" s="66" t="n">
        <f aca="false">+Historicals!B193</f>
        <v>-0.0643231114435303</v>
      </c>
      <c r="C154" s="66" t="n">
        <f aca="false">+Historicals!C193</f>
        <v>-0.107114308553157</v>
      </c>
      <c r="D154" s="66" t="n">
        <f aca="false">+Historicals!D193</f>
        <v>0.0608773500447628</v>
      </c>
      <c r="E154" s="66" t="n">
        <f aca="false">+Historicals!E193</f>
        <v>0.136708860759494</v>
      </c>
      <c r="F154" s="66" t="n">
        <f aca="false">+Historicals!F193</f>
        <v>0.0356347438752784</v>
      </c>
      <c r="G154" s="66" t="n">
        <f aca="false">+Historicals!G193</f>
        <v>-0.021505376344086</v>
      </c>
      <c r="H154" s="66" t="n">
        <f aca="false">+Historicals!H193</f>
        <v>0.0945054945054945</v>
      </c>
      <c r="I154" s="66" t="n">
        <f aca="false">+Historicals!I193</f>
        <v>0.0776439089692102</v>
      </c>
      <c r="J154" s="56" t="n">
        <v>0.04</v>
      </c>
      <c r="K154" s="56" t="n">
        <v>0.05</v>
      </c>
      <c r="L154" s="56" t="n">
        <v>0.06</v>
      </c>
      <c r="M154" s="56" t="n">
        <v>0.07</v>
      </c>
      <c r="N154" s="56" t="n">
        <v>0.08</v>
      </c>
    </row>
    <row r="155" customFormat="false" ht="13.8" hidden="false" customHeight="false" outlineLevel="0" collapsed="false">
      <c r="A155" s="65" t="s">
        <v>160</v>
      </c>
      <c r="B155" s="0" t="str">
        <f aca="false">IFERROR(B153-B154,"nm")</f>
        <v>nm</v>
      </c>
      <c r="C155" s="56" t="n">
        <f aca="false">C153-C154</f>
        <v>0</v>
      </c>
      <c r="D155" s="56" t="n">
        <f aca="false">D153-D154</f>
        <v>-0.0608773500447628</v>
      </c>
      <c r="E155" s="56" t="n">
        <f aca="false">E153-E154</f>
        <v>-0.136708860759494</v>
      </c>
      <c r="F155" s="56" t="n">
        <f aca="false">F153-F154</f>
        <v>-0.0356347438752784</v>
      </c>
      <c r="G155" s="56" t="n">
        <f aca="false">G153-G154</f>
        <v>0.021505376344086</v>
      </c>
      <c r="H155" s="56" t="n">
        <f aca="false">H153-H154</f>
        <v>-0.0945054945054945</v>
      </c>
      <c r="I155" s="56" t="n">
        <f aca="false">I153-I154</f>
        <v>-0.0776439089692102</v>
      </c>
      <c r="J155" s="56" t="n">
        <f aca="false">J153-J154</f>
        <v>-0.04</v>
      </c>
      <c r="K155" s="56" t="n">
        <f aca="false">K153-K154</f>
        <v>-0.05</v>
      </c>
      <c r="L155" s="56" t="n">
        <f aca="false">L153-L154</f>
        <v>-0.06</v>
      </c>
      <c r="M155" s="56" t="n">
        <f aca="false">M153-M154</f>
        <v>-0.07</v>
      </c>
      <c r="N155" s="56" t="n">
        <f aca="false">N153-N154</f>
        <v>-0.08</v>
      </c>
    </row>
    <row r="156" customFormat="false" ht="13.8" hidden="false" customHeight="false" outlineLevel="0" collapsed="false">
      <c r="A156" s="67" t="s">
        <v>118</v>
      </c>
      <c r="B156" s="0" t="n">
        <f aca="false">+Historicals!B122</f>
        <v>309</v>
      </c>
      <c r="C156" s="0" t="n">
        <f aca="false">+Historicals!C122</f>
        <v>270</v>
      </c>
      <c r="D156" s="0" t="n">
        <f aca="false">+Historicals!D122</f>
        <v>267</v>
      </c>
      <c r="E156" s="0" t="n">
        <f aca="false">+Historicals!E122</f>
        <v>244</v>
      </c>
      <c r="F156" s="0" t="n">
        <f aca="false">+Historicals!F122</f>
        <v>237</v>
      </c>
      <c r="G156" s="0" t="n">
        <f aca="false">+Historicals!G122</f>
        <v>214</v>
      </c>
      <c r="H156" s="0" t="n">
        <f aca="false">+Historicals!H122</f>
        <v>190</v>
      </c>
      <c r="I156" s="0" t="n">
        <f aca="false">+Historicals!I122</f>
        <v>234</v>
      </c>
      <c r="J156" s="0" t="n">
        <f aca="false">+I156*(1+I157)</f>
        <v>234</v>
      </c>
      <c r="K156" s="0" t="n">
        <f aca="false">+J156*(1+J157)</f>
        <v>234</v>
      </c>
      <c r="L156" s="0" t="n">
        <f aca="false">+K156*(1+K157)</f>
        <v>234</v>
      </c>
      <c r="M156" s="0" t="n">
        <f aca="false">+L156*(1+L157)</f>
        <v>234</v>
      </c>
      <c r="N156" s="0" t="n">
        <f aca="false">+M156*(1+M157)</f>
        <v>234</v>
      </c>
    </row>
    <row r="157" customFormat="false" ht="13.8" hidden="false" customHeight="false" outlineLevel="0" collapsed="false">
      <c r="A157" s="65" t="s">
        <v>144</v>
      </c>
      <c r="B157" s="0" t="str">
        <f aca="false">IFERROR(B156/A156-1,"nm")</f>
        <v>nm</v>
      </c>
      <c r="C157" s="56" t="n">
        <f aca="false">C156/B156-1</f>
        <v>-0.12621359223301</v>
      </c>
    </row>
    <row r="158" customFormat="false" ht="13.8" hidden="false" customHeight="false" outlineLevel="0" collapsed="false">
      <c r="A158" s="65" t="s">
        <v>158</v>
      </c>
      <c r="B158" s="66" t="n">
        <f aca="false">+Historicals!B194</f>
        <v>-0.0692771084337349</v>
      </c>
      <c r="C158" s="66" t="n">
        <f aca="false">+Historicals!C194</f>
        <v>-0.12621359223301</v>
      </c>
      <c r="D158" s="66" t="n">
        <f aca="false">+Historicals!D194</f>
        <v>-0.0111111111111111</v>
      </c>
      <c r="E158" s="66" t="n">
        <f aca="false">+Historicals!E194</f>
        <v>-0.0861423220973783</v>
      </c>
      <c r="F158" s="66" t="n">
        <f aca="false">+Historicals!F194</f>
        <v>-0.0286885245901639</v>
      </c>
      <c r="G158" s="66" t="n">
        <f aca="false">+Historicals!G194</f>
        <v>-0.0970464135021097</v>
      </c>
      <c r="H158" s="66" t="n">
        <f aca="false">+Historicals!H194</f>
        <v>-0.11214953271028</v>
      </c>
      <c r="I158" s="66" t="n">
        <f aca="false">+Historicals!I194</f>
        <v>0.231578947368421</v>
      </c>
      <c r="J158" s="56" t="n">
        <v>0</v>
      </c>
      <c r="K158" s="56" t="n">
        <v>0.01</v>
      </c>
      <c r="L158" s="56" t="n">
        <v>0.02</v>
      </c>
      <c r="M158" s="56" t="n">
        <v>0.03</v>
      </c>
      <c r="N158" s="56" t="n">
        <v>0.04</v>
      </c>
    </row>
    <row r="159" customFormat="false" ht="13.8" hidden="false" customHeight="false" outlineLevel="0" collapsed="false">
      <c r="A159" s="65" t="s">
        <v>160</v>
      </c>
      <c r="B159" s="0" t="str">
        <f aca="false">IFERROR(B157-B158,"nm")</f>
        <v>nm</v>
      </c>
      <c r="C159" s="56" t="n">
        <f aca="false">C157-C158</f>
        <v>0</v>
      </c>
      <c r="D159" s="56" t="n">
        <f aca="false">D157-D158</f>
        <v>0.0111111111111111</v>
      </c>
      <c r="E159" s="56" t="n">
        <f aca="false">E157-E158</f>
        <v>0.0861423220973783</v>
      </c>
      <c r="F159" s="56" t="n">
        <f aca="false">F157-F158</f>
        <v>0.0286885245901639</v>
      </c>
      <c r="G159" s="56" t="n">
        <f aca="false">G157-G158</f>
        <v>0.0970464135021097</v>
      </c>
      <c r="H159" s="56" t="n">
        <f aca="false">H157-H158</f>
        <v>0.11214953271028</v>
      </c>
      <c r="I159" s="56" t="n">
        <f aca="false">I157-I158</f>
        <v>-0.231578947368421</v>
      </c>
      <c r="J159" s="56" t="n">
        <f aca="false">J157-J158</f>
        <v>0</v>
      </c>
      <c r="K159" s="56" t="n">
        <f aca="false">K157-K158</f>
        <v>-0.01</v>
      </c>
      <c r="L159" s="56" t="n">
        <f aca="false">L157-L158</f>
        <v>-0.02</v>
      </c>
      <c r="M159" s="56" t="n">
        <f aca="false">M157-M158</f>
        <v>-0.03</v>
      </c>
      <c r="N159" s="56" t="n">
        <f aca="false">N157-N158</f>
        <v>-0.04</v>
      </c>
    </row>
    <row r="160" customFormat="false" ht="13.8" hidden="false" customHeight="false" outlineLevel="0" collapsed="false">
      <c r="A160" s="14" t="s">
        <v>145</v>
      </c>
      <c r="B160" s="54" t="n">
        <f aca="false">B163+B167</f>
        <v>967</v>
      </c>
      <c r="C160" s="54" t="n">
        <f aca="false">C163+C167</f>
        <v>1044</v>
      </c>
      <c r="D160" s="54" t="n">
        <f aca="false">D163+D167</f>
        <v>1034</v>
      </c>
      <c r="E160" s="54" t="n">
        <f aca="false">E163+E167</f>
        <v>1244</v>
      </c>
      <c r="F160" s="54" t="n">
        <f aca="false">F163+F167</f>
        <v>1376</v>
      </c>
      <c r="G160" s="54" t="n">
        <f aca="false">G163+G167</f>
        <v>1230</v>
      </c>
      <c r="H160" s="54" t="n">
        <f aca="false">H163+H167</f>
        <v>1573</v>
      </c>
      <c r="I160" s="54" t="n">
        <f aca="false">I163+I167</f>
        <v>1938</v>
      </c>
      <c r="J160" s="54" t="n">
        <f aca="false">+I160*(1+I161)</f>
        <v>1938</v>
      </c>
      <c r="K160" s="54" t="n">
        <f aca="false">+J160*(1+J161)</f>
        <v>1938</v>
      </c>
      <c r="L160" s="54" t="n">
        <f aca="false">+K160*(1+K161)</f>
        <v>1938</v>
      </c>
      <c r="M160" s="54" t="n">
        <f aca="false">+L160*(1+L161)</f>
        <v>1938</v>
      </c>
      <c r="N160" s="54" t="n">
        <f aca="false">+M160*(1+M161)</f>
        <v>1938</v>
      </c>
    </row>
    <row r="161" customFormat="false" ht="13.8" hidden="false" customHeight="false" outlineLevel="0" collapsed="false">
      <c r="A161" s="70" t="s">
        <v>144</v>
      </c>
      <c r="B161" s="61" t="str">
        <f aca="false">IFERROR(B160/A160-1,"nm")</f>
        <v>nm</v>
      </c>
      <c r="C161" s="56" t="n">
        <f aca="false">C160/B160-1</f>
        <v>0.079627714581179</v>
      </c>
    </row>
    <row r="162" customFormat="false" ht="13.8" hidden="false" customHeight="false" outlineLevel="0" collapsed="false">
      <c r="A162" s="70" t="s">
        <v>147</v>
      </c>
      <c r="B162" s="56" t="n">
        <f aca="false">B160/B146</f>
        <v>0.20782290995057</v>
      </c>
      <c r="C162" s="56" t="n">
        <f aca="false">C160/C146</f>
        <v>0.241834607366227</v>
      </c>
      <c r="D162" s="56" t="n">
        <f aca="false">D160/D146</f>
        <v>0.218281612835128</v>
      </c>
      <c r="E162" s="56" t="n">
        <f aca="false">E160/E146</f>
        <v>0.240805265195509</v>
      </c>
      <c r="F162" s="56" t="n">
        <f aca="false">F160/F146</f>
        <v>0.261895698515417</v>
      </c>
      <c r="G162" s="56" t="n">
        <f aca="false">G160/G146</f>
        <v>0.244630071599045</v>
      </c>
      <c r="H162" s="56" t="n">
        <f aca="false">H160/H146</f>
        <v>0.294403892944039</v>
      </c>
      <c r="I162" s="56" t="n">
        <f aca="false">I160/I146</f>
        <v>0.32544080604534</v>
      </c>
      <c r="J162" s="56" t="n">
        <f aca="false">J160/J146</f>
        <v>0.295855278223036</v>
      </c>
      <c r="K162" s="56" t="n">
        <f aca="false">K160/K146</f>
        <v>0.268959343839124</v>
      </c>
      <c r="L162" s="56" t="n">
        <f aca="false">L160/L146</f>
        <v>0.244508494399204</v>
      </c>
      <c r="M162" s="56" t="n">
        <f aca="false">M160/M146</f>
        <v>0.222280449453821</v>
      </c>
      <c r="N162" s="56" t="n">
        <f aca="false">N160/N146</f>
        <v>0.20207313586711</v>
      </c>
    </row>
    <row r="163" customFormat="false" ht="13.8" hidden="false" customHeight="false" outlineLevel="0" collapsed="false">
      <c r="A163" s="14" t="s">
        <v>148</v>
      </c>
      <c r="B163" s="71" t="n">
        <f aca="false">+Historicals!B170</f>
        <v>49</v>
      </c>
      <c r="C163" s="71" t="n">
        <f aca="false">+Historicals!C170</f>
        <v>42</v>
      </c>
      <c r="D163" s="71" t="n">
        <f aca="false">+Historicals!D170</f>
        <v>54</v>
      </c>
      <c r="E163" s="71" t="n">
        <f aca="false">+Historicals!E170</f>
        <v>55</v>
      </c>
      <c r="F163" s="71" t="n">
        <f aca="false">+Historicals!F170</f>
        <v>53</v>
      </c>
      <c r="G163" s="71" t="n">
        <f aca="false">+Historicals!G170</f>
        <v>46</v>
      </c>
      <c r="H163" s="71" t="n">
        <f aca="false">+Historicals!H170</f>
        <v>43</v>
      </c>
      <c r="I163" s="71" t="n">
        <f aca="false">+Historicals!I170</f>
        <v>42</v>
      </c>
      <c r="J163" s="54" t="n">
        <f aca="false">+I163*(1+I164)</f>
        <v>42</v>
      </c>
      <c r="K163" s="54" t="n">
        <f aca="false">+J163*(1+J164)</f>
        <v>42</v>
      </c>
      <c r="L163" s="54" t="n">
        <f aca="false">+K163*(1+K164)</f>
        <v>42</v>
      </c>
      <c r="M163" s="54" t="n">
        <f aca="false">+L163*(1+L164)</f>
        <v>42</v>
      </c>
      <c r="N163" s="54" t="n">
        <f aca="false">+M163*(1+M164)</f>
        <v>42</v>
      </c>
    </row>
    <row r="164" customFormat="false" ht="13.8" hidden="false" customHeight="false" outlineLevel="0" collapsed="false">
      <c r="A164" s="70" t="s">
        <v>144</v>
      </c>
      <c r="B164" s="0" t="str">
        <f aca="false">IFERROR(B163/A163-1,"nm")</f>
        <v>nm</v>
      </c>
      <c r="C164" s="56" t="n">
        <f aca="false">C163/B163-1</f>
        <v>-0.142857142857143</v>
      </c>
    </row>
    <row r="165" customFormat="false" ht="13.8" hidden="false" customHeight="false" outlineLevel="0" collapsed="false">
      <c r="A165" s="70" t="s">
        <v>150</v>
      </c>
      <c r="B165" s="56" t="n">
        <f aca="false">B163/B146</f>
        <v>0.0105308403180744</v>
      </c>
      <c r="C165" s="56" t="n">
        <f aca="false">C163/C146</f>
        <v>0.00972897845726199</v>
      </c>
      <c r="D165" s="56" t="n">
        <f aca="false">D163/D146</f>
        <v>0.0113996200126662</v>
      </c>
      <c r="E165" s="56" t="n">
        <f aca="false">E163/E146</f>
        <v>0.0106465350367789</v>
      </c>
      <c r="F165" s="56" t="n">
        <f aca="false">F163/F146</f>
        <v>0.0100875523410735</v>
      </c>
      <c r="G165" s="56" t="n">
        <f aca="false">G163/G146</f>
        <v>0.00914876690533015</v>
      </c>
      <c r="H165" s="56" t="n">
        <f aca="false">H163/H146</f>
        <v>0.00804791315740221</v>
      </c>
      <c r="I165" s="56" t="n">
        <f aca="false">I163/I146</f>
        <v>0.00705289672544081</v>
      </c>
      <c r="J165" s="56" t="n">
        <f aca="false">J163/J146</f>
        <v>0.00641172429585528</v>
      </c>
      <c r="K165" s="56" t="n">
        <f aca="false">K163/K146</f>
        <v>0.00582884026895934</v>
      </c>
      <c r="L165" s="56" t="n">
        <f aca="false">L163/L146</f>
        <v>0.00529894569905395</v>
      </c>
      <c r="M165" s="56" t="n">
        <f aca="false">M163/M146</f>
        <v>0.00481722336277632</v>
      </c>
      <c r="N165" s="56" t="n">
        <f aca="false">N163/N146</f>
        <v>0.00437929396616029</v>
      </c>
    </row>
    <row r="166" customFormat="false" ht="13.8" hidden="false" customHeight="false" outlineLevel="0" collapsed="false">
      <c r="A166" s="70" t="s">
        <v>162</v>
      </c>
      <c r="B166" s="56" t="n">
        <f aca="false">B163/B173</f>
        <v>0.159090909090909</v>
      </c>
      <c r="C166" s="56" t="n">
        <f aca="false">C163/C173</f>
        <v>0.126506024096386</v>
      </c>
      <c r="D166" s="56" t="n">
        <f aca="false">D163/D173</f>
        <v>0.158823529411765</v>
      </c>
      <c r="E166" s="56" t="n">
        <f aca="false">E163/E173</f>
        <v>0.162241887905605</v>
      </c>
      <c r="F166" s="56" t="n">
        <f aca="false">F163/F173</f>
        <v>0.162576687116564</v>
      </c>
      <c r="G166" s="56" t="n">
        <f aca="false">G163/G173</f>
        <v>0.155405405405405</v>
      </c>
      <c r="H166" s="56" t="n">
        <f aca="false">H163/H173</f>
        <v>0.141447368421053</v>
      </c>
      <c r="I166" s="56" t="n">
        <f aca="false">I163/I173</f>
        <v>0.153284671532847</v>
      </c>
      <c r="J166" s="56" t="n">
        <f aca="false">J163/J173</f>
        <v>0.153284671532847</v>
      </c>
      <c r="K166" s="56" t="n">
        <f aca="false">K163/K173</f>
        <v>0.153284671532847</v>
      </c>
      <c r="L166" s="56" t="n">
        <f aca="false">L163/L173</f>
        <v>0.153284671532847</v>
      </c>
      <c r="M166" s="56" t="n">
        <f aca="false">M163/M173</f>
        <v>0.153284671532847</v>
      </c>
      <c r="N166" s="56" t="n">
        <f aca="false">N163/N173</f>
        <v>0.153284671532847</v>
      </c>
    </row>
    <row r="167" customFormat="false" ht="13.8" hidden="false" customHeight="false" outlineLevel="0" collapsed="false">
      <c r="A167" s="14" t="s">
        <v>151</v>
      </c>
      <c r="B167" s="71" t="n">
        <f aca="false">+Historicals!B137</f>
        <v>918</v>
      </c>
      <c r="C167" s="71" t="n">
        <f aca="false">+Historicals!C137</f>
        <v>1002</v>
      </c>
      <c r="D167" s="71" t="n">
        <f aca="false">+Historicals!D137</f>
        <v>980</v>
      </c>
      <c r="E167" s="71" t="n">
        <f aca="false">+Historicals!E137</f>
        <v>1189</v>
      </c>
      <c r="F167" s="71" t="n">
        <f aca="false">+Historicals!F137</f>
        <v>1323</v>
      </c>
      <c r="G167" s="71" t="n">
        <f aca="false">+Historicals!G137</f>
        <v>1184</v>
      </c>
      <c r="H167" s="71" t="n">
        <f aca="false">+Historicals!H137</f>
        <v>1530</v>
      </c>
      <c r="I167" s="71" t="n">
        <f aca="false">+Historicals!I137</f>
        <v>1896</v>
      </c>
      <c r="J167" s="54" t="n">
        <f aca="false">+I167*(1+I168)</f>
        <v>1896</v>
      </c>
      <c r="K167" s="54" t="n">
        <f aca="false">+J167*(1+J168)</f>
        <v>1896</v>
      </c>
      <c r="L167" s="54" t="n">
        <f aca="false">+K167*(1+K168)</f>
        <v>1896</v>
      </c>
      <c r="M167" s="54" t="n">
        <f aca="false">+L167*(1+L168)</f>
        <v>1896</v>
      </c>
      <c r="N167" s="54" t="n">
        <f aca="false">+M167*(1+M168)</f>
        <v>1896</v>
      </c>
    </row>
    <row r="168" customFormat="false" ht="13.8" hidden="false" customHeight="false" outlineLevel="0" collapsed="false">
      <c r="A168" s="70" t="s">
        <v>144</v>
      </c>
      <c r="B168" s="0" t="str">
        <f aca="false">IFERROR(B167/A167-1,"nm")</f>
        <v>nm</v>
      </c>
      <c r="C168" s="56" t="n">
        <f aca="false">C167/B167-1</f>
        <v>0.0915032679738561</v>
      </c>
    </row>
    <row r="169" customFormat="false" ht="13.8" hidden="false" customHeight="false" outlineLevel="0" collapsed="false">
      <c r="A169" s="70" t="s">
        <v>147</v>
      </c>
      <c r="B169" s="56" t="n">
        <f aca="false">B167/B146</f>
        <v>0.197292069632495</v>
      </c>
      <c r="C169" s="56" t="n">
        <f aca="false">C167/C146</f>
        <v>0.232105628908965</v>
      </c>
      <c r="D169" s="56" t="n">
        <f aca="false">D167/D146</f>
        <v>0.206881992822461</v>
      </c>
      <c r="E169" s="56" t="n">
        <f aca="false">E167/E146</f>
        <v>0.23015873015873</v>
      </c>
      <c r="F169" s="56" t="n">
        <f aca="false">F167/F146</f>
        <v>0.251808146174343</v>
      </c>
      <c r="G169" s="56" t="n">
        <f aca="false">G167/G146</f>
        <v>0.235481304693715</v>
      </c>
      <c r="H169" s="56" t="n">
        <f aca="false">H167/H146</f>
        <v>0.286355979786637</v>
      </c>
      <c r="I169" s="56" t="n">
        <f aca="false">I167/I146</f>
        <v>0.318387909319899</v>
      </c>
      <c r="J169" s="56" t="n">
        <f aca="false">J167/J146</f>
        <v>0.289443553927181</v>
      </c>
      <c r="K169" s="56" t="n">
        <f aca="false">K167/K146</f>
        <v>0.263130503570165</v>
      </c>
      <c r="L169" s="56" t="n">
        <f aca="false">L167/L146</f>
        <v>0.23920954870015</v>
      </c>
      <c r="M169" s="56" t="n">
        <f aca="false">M167/M146</f>
        <v>0.217463226091045</v>
      </c>
      <c r="N169" s="56" t="n">
        <f aca="false">N167/N146</f>
        <v>0.19769384190095</v>
      </c>
    </row>
    <row r="170" customFormat="false" ht="13.8" hidden="false" customHeight="false" outlineLevel="0" collapsed="false">
      <c r="A170" s="14" t="s">
        <v>153</v>
      </c>
      <c r="B170" s="71" t="n">
        <v>52</v>
      </c>
      <c r="C170" s="71" t="n">
        <v>64</v>
      </c>
      <c r="D170" s="71" t="n">
        <v>59</v>
      </c>
      <c r="E170" s="71" t="n">
        <v>49</v>
      </c>
      <c r="F170" s="71" t="n">
        <v>47</v>
      </c>
      <c r="G170" s="71" t="n">
        <v>41</v>
      </c>
      <c r="H170" s="71" t="n">
        <v>54</v>
      </c>
      <c r="I170" s="71" t="n">
        <v>56</v>
      </c>
      <c r="J170" s="54" t="n">
        <f aca="false">+I170*(1+I171)</f>
        <v>56</v>
      </c>
      <c r="K170" s="54" t="n">
        <f aca="false">+J170*(1+J171)</f>
        <v>56</v>
      </c>
      <c r="L170" s="54" t="n">
        <f aca="false">+K170*(1+K171)</f>
        <v>56</v>
      </c>
      <c r="M170" s="54" t="n">
        <f aca="false">+L170*(1+L171)</f>
        <v>56</v>
      </c>
      <c r="N170" s="54" t="n">
        <f aca="false">+M170*(1+M171)</f>
        <v>56</v>
      </c>
    </row>
    <row r="171" customFormat="false" ht="13.8" hidden="false" customHeight="false" outlineLevel="0" collapsed="false">
      <c r="A171" s="70" t="s">
        <v>144</v>
      </c>
      <c r="B171" s="0" t="str">
        <f aca="false">IFERROR(B170/A170-1,"nm")</f>
        <v>nm</v>
      </c>
      <c r="C171" s="56" t="n">
        <f aca="false">C170/B170-1</f>
        <v>0.230769230769231</v>
      </c>
    </row>
    <row r="172" customFormat="false" ht="13.8" hidden="false" customHeight="false" outlineLevel="0" collapsed="false">
      <c r="A172" s="70" t="s">
        <v>150</v>
      </c>
      <c r="B172" s="56" t="n">
        <f aca="false">B170/B146</f>
        <v>0.0111755856436708</v>
      </c>
      <c r="C172" s="56" t="n">
        <f aca="false">C170/C146</f>
        <v>0.0148251100301135</v>
      </c>
      <c r="D172" s="56" t="n">
        <f aca="false">D170/D146</f>
        <v>0.0124551403842094</v>
      </c>
      <c r="E172" s="56" t="n">
        <f aca="false">E170/E146</f>
        <v>0.00948509485094851</v>
      </c>
      <c r="F172" s="56" t="n">
        <f aca="false">F170/F146</f>
        <v>0.00894556528359345</v>
      </c>
      <c r="G172" s="56" t="n">
        <f aca="false">G170/G146</f>
        <v>0.00815433571996818</v>
      </c>
      <c r="H172" s="56" t="n">
        <f aca="false">H170/H146</f>
        <v>0.0101066816395284</v>
      </c>
      <c r="I172" s="56" t="n">
        <f aca="false">I170/I146</f>
        <v>0.00940386230058774</v>
      </c>
      <c r="J172" s="56" t="n">
        <f aca="false">J170/J146</f>
        <v>0.00854896572780704</v>
      </c>
      <c r="K172" s="56" t="n">
        <f aca="false">K170/K146</f>
        <v>0.00777178702527912</v>
      </c>
      <c r="L172" s="56" t="n">
        <f aca="false">L170/L146</f>
        <v>0.00706526093207193</v>
      </c>
      <c r="M172" s="56" t="n">
        <f aca="false">M170/M146</f>
        <v>0.00642296448370175</v>
      </c>
      <c r="N172" s="56" t="n">
        <f aca="false">N170/N146</f>
        <v>0.00583905862154705</v>
      </c>
    </row>
    <row r="173" customFormat="false" ht="13.8" hidden="false" customHeight="false" outlineLevel="0" collapsed="false">
      <c r="A173" s="14" t="s">
        <v>155</v>
      </c>
      <c r="B173" s="71" t="n">
        <f aca="false">+Historicals!B148</f>
        <v>308</v>
      </c>
      <c r="C173" s="71" t="n">
        <f aca="false">+Historicals!C148</f>
        <v>332</v>
      </c>
      <c r="D173" s="71" t="n">
        <f aca="false">+Historicals!D148</f>
        <v>340</v>
      </c>
      <c r="E173" s="71" t="n">
        <f aca="false">+Historicals!E148</f>
        <v>339</v>
      </c>
      <c r="F173" s="71" t="n">
        <f aca="false">+Historicals!F148</f>
        <v>326</v>
      </c>
      <c r="G173" s="71" t="n">
        <f aca="false">+Historicals!G148</f>
        <v>296</v>
      </c>
      <c r="H173" s="71" t="n">
        <f aca="false">+Historicals!H148</f>
        <v>304</v>
      </c>
      <c r="I173" s="71" t="n">
        <f aca="false">+Historicals!I148</f>
        <v>274</v>
      </c>
      <c r="J173" s="54" t="n">
        <f aca="false">+I173*(1+I174)</f>
        <v>274</v>
      </c>
      <c r="K173" s="54" t="n">
        <f aca="false">+J173*(1+J174)</f>
        <v>274</v>
      </c>
      <c r="L173" s="54" t="n">
        <f aca="false">+K173*(1+K174)</f>
        <v>274</v>
      </c>
      <c r="M173" s="54" t="n">
        <f aca="false">+L173*(1+L174)</f>
        <v>274</v>
      </c>
      <c r="N173" s="54" t="n">
        <f aca="false">+M173*(1+M174)</f>
        <v>274</v>
      </c>
    </row>
    <row r="174" customFormat="false" ht="13.8" hidden="false" customHeight="false" outlineLevel="0" collapsed="false">
      <c r="A174" s="70" t="s">
        <v>144</v>
      </c>
      <c r="B174" s="0" t="str">
        <f aca="false">IFERROR(B173/A173-1,"nm")</f>
        <v>nm</v>
      </c>
      <c r="C174" s="56" t="n">
        <f aca="false">C173/B173-1</f>
        <v>0.077922077922078</v>
      </c>
    </row>
    <row r="175" customFormat="false" ht="13.8" hidden="false" customHeight="false" outlineLevel="0" collapsed="false">
      <c r="A175" s="70" t="s">
        <v>150</v>
      </c>
      <c r="B175" s="56" t="n">
        <f aca="false">B173/B146</f>
        <v>0.066193853427896</v>
      </c>
      <c r="C175" s="56" t="n">
        <f aca="false">C173/C146</f>
        <v>0.0769052582812138</v>
      </c>
      <c r="D175" s="56" t="n">
        <f aca="false">D173/D146</f>
        <v>0.0717753852649356</v>
      </c>
      <c r="E175" s="56" t="n">
        <f aca="false">E173/E146</f>
        <v>0.0656213704994193</v>
      </c>
      <c r="F175" s="56" t="n">
        <f aca="false">F173/F146</f>
        <v>0.0620479634564142</v>
      </c>
      <c r="G175" s="56" t="n">
        <f aca="false">G173/G146</f>
        <v>0.0588703261734288</v>
      </c>
      <c r="H175" s="56" t="n">
        <f aca="false">H173/H146</f>
        <v>0.0568968744151226</v>
      </c>
      <c r="I175" s="56" t="n">
        <f aca="false">I173/I146</f>
        <v>0.0460117548278757</v>
      </c>
      <c r="J175" s="56" t="n">
        <f aca="false">J173/J146</f>
        <v>0.0418288680253416</v>
      </c>
      <c r="K175" s="56" t="n">
        <f aca="false">K173/K146</f>
        <v>0.0380262436594014</v>
      </c>
      <c r="L175" s="56" t="n">
        <f aca="false">L173/L146</f>
        <v>0.0345693124176376</v>
      </c>
      <c r="M175" s="56" t="n">
        <f aca="false">M173/M146</f>
        <v>0.0314266476523979</v>
      </c>
      <c r="N175" s="56" t="n">
        <f aca="false">N173/N146</f>
        <v>0.0285696796839981</v>
      </c>
    </row>
    <row r="176" customFormat="false" ht="13.8" hidden="false" customHeight="false" outlineLevel="0" collapsed="false">
      <c r="A176" s="72" t="s">
        <v>122</v>
      </c>
      <c r="B176" s="57"/>
      <c r="C176" s="57"/>
      <c r="D176" s="57"/>
      <c r="E176" s="57"/>
      <c r="F176" s="57"/>
      <c r="G176" s="57"/>
      <c r="H176" s="57"/>
      <c r="I176" s="57"/>
      <c r="J176" s="48"/>
      <c r="K176" s="48"/>
      <c r="L176" s="48"/>
      <c r="M176" s="48"/>
      <c r="N176" s="48"/>
    </row>
    <row r="177" customFormat="false" ht="13.8" hidden="false" customHeight="false" outlineLevel="0" collapsed="false">
      <c r="A177" s="14" t="s">
        <v>157</v>
      </c>
      <c r="B177" s="71" t="n">
        <f aca="false">+Historicals!B123</f>
        <v>115</v>
      </c>
      <c r="C177" s="71" t="n">
        <f aca="false">+Historicals!C123</f>
        <v>73</v>
      </c>
      <c r="D177" s="71" t="n">
        <f aca="false">+Historicals!D123</f>
        <v>73</v>
      </c>
      <c r="E177" s="71" t="n">
        <f aca="false">+Historicals!E123</f>
        <v>88</v>
      </c>
      <c r="F177" s="71" t="n">
        <f aca="false">+Historicals!F123</f>
        <v>42</v>
      </c>
      <c r="G177" s="71" t="n">
        <f aca="false">+Historicals!G123</f>
        <v>30</v>
      </c>
      <c r="H177" s="71" t="n">
        <f aca="false">+Historicals!H123</f>
        <v>25</v>
      </c>
      <c r="I177" s="71" t="n">
        <f aca="false">+Historicals!I123</f>
        <v>102</v>
      </c>
      <c r="J177" s="64" t="n">
        <f aca="false">I177*(2.1)</f>
        <v>214.2</v>
      </c>
      <c r="K177" s="64" t="n">
        <f aca="false">J177*(1+J178)</f>
        <v>214.2</v>
      </c>
      <c r="L177" s="64" t="n">
        <f aca="false">K177*(1+K178)</f>
        <v>214.2</v>
      </c>
      <c r="M177" s="64" t="n">
        <f aca="false">L177*(1+L178)</f>
        <v>214.2</v>
      </c>
      <c r="N177" s="64" t="n">
        <f aca="false">M177*(1+M178)</f>
        <v>214.2</v>
      </c>
    </row>
    <row r="178" customFormat="false" ht="13.8" hidden="false" customHeight="false" outlineLevel="0" collapsed="false">
      <c r="A178" s="65" t="s">
        <v>144</v>
      </c>
      <c r="B178" s="66" t="n">
        <f aca="false">+Historicals!B195</f>
        <v>-0.08</v>
      </c>
      <c r="C178" s="66" t="n">
        <f aca="false">+Historicals!C195</f>
        <v>-0.365217391304348</v>
      </c>
      <c r="D178" s="66" t="n">
        <f aca="false">+Historicals!D195</f>
        <v>0</v>
      </c>
      <c r="E178" s="66" t="n">
        <f aca="false">+Historicals!E195</f>
        <v>0.205479452054794</v>
      </c>
      <c r="F178" s="66" t="n">
        <f aca="false">+Historicals!F195</f>
        <v>-0.522727272727273</v>
      </c>
      <c r="G178" s="66" t="n">
        <f aca="false">+Historicals!G195</f>
        <v>-0.285714285714286</v>
      </c>
      <c r="H178" s="66" t="n">
        <f aca="false">+Historicals!H195</f>
        <v>-0.166666666666667</v>
      </c>
      <c r="I178" s="66" t="n">
        <f aca="false">+Historicals!I195</f>
        <v>3.08</v>
      </c>
      <c r="J178" s="56" t="n">
        <v>0</v>
      </c>
      <c r="K178" s="56" t="n">
        <v>0</v>
      </c>
      <c r="L178" s="56" t="n">
        <v>0</v>
      </c>
      <c r="M178" s="56" t="n">
        <v>0</v>
      </c>
      <c r="N178" s="56" t="n">
        <v>0</v>
      </c>
    </row>
    <row r="179" customFormat="false" ht="13.8" hidden="false" customHeight="false" outlineLevel="0" collapsed="false">
      <c r="A179" s="14" t="s">
        <v>145</v>
      </c>
      <c r="B179" s="54" t="n">
        <f aca="false">B186+B182</f>
        <v>-2057</v>
      </c>
      <c r="C179" s="54" t="n">
        <f aca="false">C186+C182</f>
        <v>-2366</v>
      </c>
      <c r="D179" s="54" t="n">
        <f aca="false">D186+D182</f>
        <v>-2444</v>
      </c>
      <c r="E179" s="54" t="n">
        <f aca="false">E186+E182</f>
        <v>-2441</v>
      </c>
      <c r="F179" s="54" t="n">
        <f aca="false">F186+F182</f>
        <v>-3067</v>
      </c>
      <c r="G179" s="54" t="n">
        <f aca="false">G186+G182</f>
        <v>-3254</v>
      </c>
      <c r="H179" s="54" t="n">
        <f aca="false">H186+H182</f>
        <v>-3434</v>
      </c>
      <c r="I179" s="54" t="n">
        <f aca="false">I186+I182</f>
        <v>-4042</v>
      </c>
      <c r="J179" s="54" t="n">
        <f aca="false">+I179*(1+I180)</f>
        <v>-4042</v>
      </c>
      <c r="K179" s="54" t="n">
        <f aca="false">+J179*(1+J180)</f>
        <v>-4042</v>
      </c>
      <c r="L179" s="54" t="n">
        <f aca="false">+K179*(1+K180)</f>
        <v>-4042</v>
      </c>
      <c r="M179" s="54" t="n">
        <f aca="false">+L179*(1+L180)</f>
        <v>-4042</v>
      </c>
      <c r="N179" s="54" t="n">
        <f aca="false">+M179*(1+M180)</f>
        <v>-4042</v>
      </c>
    </row>
    <row r="180" customFormat="false" ht="13.8" hidden="false" customHeight="false" outlineLevel="0" collapsed="false">
      <c r="A180" s="70" t="s">
        <v>144</v>
      </c>
      <c r="B180" s="0" t="str">
        <f aca="false">IFERROR(B179/A179-1,"nm")</f>
        <v>nm</v>
      </c>
      <c r="C180" s="56" t="n">
        <f aca="false">C179/B179-1</f>
        <v>0.150218765192027</v>
      </c>
      <c r="J180" s="56" t="n">
        <v>0</v>
      </c>
      <c r="K180" s="56" t="n">
        <v>0</v>
      </c>
      <c r="L180" s="56" t="n">
        <v>0</v>
      </c>
      <c r="M180" s="56" t="n">
        <v>0</v>
      </c>
      <c r="N180" s="56" t="n">
        <v>0</v>
      </c>
    </row>
    <row r="181" customFormat="false" ht="13.8" hidden="false" customHeight="false" outlineLevel="0" collapsed="false">
      <c r="A181" s="70" t="s">
        <v>147</v>
      </c>
      <c r="B181" s="56" t="n">
        <f aca="false">B179/B177</f>
        <v>-17.8869565217391</v>
      </c>
      <c r="C181" s="56" t="n">
        <f aca="false">C179/C177</f>
        <v>-32.4109589041096</v>
      </c>
      <c r="D181" s="56" t="n">
        <f aca="false">D179/D177</f>
        <v>-33.4794520547945</v>
      </c>
      <c r="E181" s="56" t="n">
        <f aca="false">E179/E177</f>
        <v>-27.7386363636364</v>
      </c>
      <c r="F181" s="56" t="n">
        <f aca="false">F179/F177</f>
        <v>-73.0238095238095</v>
      </c>
      <c r="G181" s="56" t="n">
        <f aca="false">G179/G177</f>
        <v>-108.466666666667</v>
      </c>
      <c r="H181" s="56" t="n">
        <f aca="false">H179/H177</f>
        <v>-137.36</v>
      </c>
      <c r="I181" s="56" t="n">
        <f aca="false">I179/I177</f>
        <v>-39.6274509803922</v>
      </c>
      <c r="J181" s="56" t="n">
        <f aca="false">J179/J177</f>
        <v>-18.8702147525677</v>
      </c>
      <c r="K181" s="56" t="n">
        <f aca="false">K179/K177</f>
        <v>-18.8702147525677</v>
      </c>
      <c r="L181" s="56" t="n">
        <f aca="false">L179/L177</f>
        <v>-18.8702147525677</v>
      </c>
      <c r="M181" s="56" t="n">
        <f aca="false">M179/M177</f>
        <v>-18.8702147525677</v>
      </c>
      <c r="N181" s="56" t="n">
        <f aca="false">N179/N177</f>
        <v>-18.8702147525677</v>
      </c>
    </row>
    <row r="182" customFormat="false" ht="13.8" hidden="false" customHeight="false" outlineLevel="0" collapsed="false">
      <c r="A182" s="14" t="s">
        <v>148</v>
      </c>
      <c r="B182" s="71" t="n">
        <f aca="false">+Historicals!B171</f>
        <v>210</v>
      </c>
      <c r="C182" s="71" t="n">
        <f aca="false">+Historicals!C171</f>
        <v>230</v>
      </c>
      <c r="D182" s="71" t="n">
        <f aca="false">+Historicals!D171</f>
        <v>233</v>
      </c>
      <c r="E182" s="71" t="n">
        <f aca="false">+Historicals!E171</f>
        <v>217</v>
      </c>
      <c r="F182" s="71" t="n">
        <f aca="false">+Historicals!F171</f>
        <v>195</v>
      </c>
      <c r="G182" s="71" t="n">
        <f aca="false">+Historicals!G171</f>
        <v>214</v>
      </c>
      <c r="H182" s="71" t="n">
        <f aca="false">+Historicals!H171</f>
        <v>222</v>
      </c>
      <c r="I182" s="71" t="n">
        <f aca="false">+Historicals!I171</f>
        <v>220</v>
      </c>
      <c r="J182" s="54" t="n">
        <f aca="false">+I182*(1+I183)</f>
        <v>220</v>
      </c>
      <c r="K182" s="54" t="n">
        <f aca="false">+J182*(1+J183)</f>
        <v>220</v>
      </c>
      <c r="L182" s="54" t="n">
        <f aca="false">+K182*(1+K183)</f>
        <v>220</v>
      </c>
      <c r="M182" s="54" t="n">
        <f aca="false">+L182*(1+L183)</f>
        <v>220</v>
      </c>
      <c r="N182" s="54" t="n">
        <f aca="false">+M182*(1+M183)</f>
        <v>220</v>
      </c>
    </row>
    <row r="183" customFormat="false" ht="13.8" hidden="false" customHeight="false" outlineLevel="0" collapsed="false">
      <c r="A183" s="70" t="s">
        <v>144</v>
      </c>
      <c r="B183" s="0" t="str">
        <f aca="false">IFERROR(B182/A182-1,"nm")</f>
        <v>nm</v>
      </c>
      <c r="C183" s="56" t="n">
        <f aca="false">C182/B182-1</f>
        <v>0.0952380952380953</v>
      </c>
      <c r="J183" s="56" t="n">
        <v>0</v>
      </c>
      <c r="K183" s="56" t="n">
        <v>0</v>
      </c>
      <c r="L183" s="56" t="n">
        <v>0</v>
      </c>
      <c r="M183" s="56" t="n">
        <v>0</v>
      </c>
      <c r="N183" s="56" t="n">
        <v>0</v>
      </c>
    </row>
    <row r="184" customFormat="false" ht="13.8" hidden="false" customHeight="false" outlineLevel="0" collapsed="false">
      <c r="A184" s="70" t="s">
        <v>150</v>
      </c>
      <c r="B184" s="56" t="n">
        <f aca="false">B182/B177</f>
        <v>1.82608695652174</v>
      </c>
      <c r="C184" s="56" t="n">
        <f aca="false">C182/C177</f>
        <v>3.15068493150685</v>
      </c>
      <c r="D184" s="56" t="n">
        <f aca="false">D182/D177</f>
        <v>3.19178082191781</v>
      </c>
      <c r="E184" s="56" t="n">
        <f aca="false">E182/E177</f>
        <v>2.46590909090909</v>
      </c>
      <c r="F184" s="56" t="n">
        <f aca="false">F182/F177</f>
        <v>4.64285714285714</v>
      </c>
      <c r="G184" s="56" t="n">
        <f aca="false">G182/G177</f>
        <v>7.13333333333333</v>
      </c>
      <c r="H184" s="56" t="n">
        <f aca="false">H182/H177</f>
        <v>8.88</v>
      </c>
      <c r="I184" s="56" t="n">
        <f aca="false">I182/I177</f>
        <v>2.15686274509804</v>
      </c>
      <c r="J184" s="56" t="n">
        <f aca="false">J182/J177</f>
        <v>1.02707749766573</v>
      </c>
      <c r="K184" s="56" t="n">
        <f aca="false">K182/K177</f>
        <v>1.02707749766573</v>
      </c>
      <c r="L184" s="56" t="n">
        <f aca="false">L182/L177</f>
        <v>1.02707749766573</v>
      </c>
      <c r="M184" s="56" t="n">
        <f aca="false">M182/M177</f>
        <v>1.02707749766573</v>
      </c>
      <c r="N184" s="56" t="n">
        <f aca="false">N182/N177</f>
        <v>1.02707749766573</v>
      </c>
    </row>
    <row r="185" customFormat="false" ht="13.8" hidden="false" customHeight="false" outlineLevel="0" collapsed="false">
      <c r="A185" s="70" t="s">
        <v>162</v>
      </c>
      <c r="B185" s="56" t="n">
        <f aca="false">B182/B192</f>
        <v>0.433884297520661</v>
      </c>
      <c r="C185" s="56" t="n">
        <f aca="false">C182/C192</f>
        <v>0.450097847358121</v>
      </c>
      <c r="D185" s="56" t="n">
        <f aca="false">D182/D192</f>
        <v>0.437148217636022</v>
      </c>
      <c r="E185" s="56" t="n">
        <f aca="false">E182/E192</f>
        <v>0.363484087102178</v>
      </c>
      <c r="F185" s="56" t="n">
        <f aca="false">F182/F192</f>
        <v>0.293233082706767</v>
      </c>
      <c r="G185" s="56" t="n">
        <f aca="false">G182/G192</f>
        <v>0.257831325301205</v>
      </c>
      <c r="H185" s="56" t="n">
        <f aca="false">H182/H192</f>
        <v>0.284615384615385</v>
      </c>
      <c r="I185" s="56" t="n">
        <f aca="false">I182/I192</f>
        <v>0.278833967046895</v>
      </c>
      <c r="J185" s="56" t="n">
        <f aca="false">J182/J192</f>
        <v>0.278833967046895</v>
      </c>
      <c r="K185" s="56" t="n">
        <f aca="false">K182/K192</f>
        <v>0.278833967046895</v>
      </c>
      <c r="L185" s="56" t="n">
        <f aca="false">L182/L192</f>
        <v>0.278833967046895</v>
      </c>
      <c r="M185" s="56" t="n">
        <f aca="false">M182/M192</f>
        <v>0.278833967046895</v>
      </c>
      <c r="N185" s="56" t="n">
        <f aca="false">N182/N192</f>
        <v>0.278833967046895</v>
      </c>
    </row>
    <row r="186" customFormat="false" ht="13.8" hidden="false" customHeight="false" outlineLevel="0" collapsed="false">
      <c r="A186" s="14" t="s">
        <v>151</v>
      </c>
      <c r="B186" s="71" t="n">
        <f aca="false">+Historicals!B138</f>
        <v>-2267</v>
      </c>
      <c r="C186" s="71" t="n">
        <f aca="false">+Historicals!C138</f>
        <v>-2596</v>
      </c>
      <c r="D186" s="71" t="n">
        <f aca="false">+Historicals!D138</f>
        <v>-2677</v>
      </c>
      <c r="E186" s="71" t="n">
        <f aca="false">+Historicals!E138</f>
        <v>-2658</v>
      </c>
      <c r="F186" s="71" t="n">
        <f aca="false">+Historicals!F138</f>
        <v>-3262</v>
      </c>
      <c r="G186" s="71" t="n">
        <f aca="false">+Historicals!G138</f>
        <v>-3468</v>
      </c>
      <c r="H186" s="71" t="n">
        <f aca="false">+Historicals!H138</f>
        <v>-3656</v>
      </c>
      <c r="I186" s="71" t="n">
        <f aca="false">+Historicals!I138</f>
        <v>-4262</v>
      </c>
      <c r="J186" s="54" t="n">
        <f aca="false">+I186*(1+I187)</f>
        <v>-4262</v>
      </c>
      <c r="K186" s="54" t="n">
        <f aca="false">+J186*(1+J187)</f>
        <v>-4262</v>
      </c>
      <c r="L186" s="54" t="n">
        <f aca="false">+K186*(1+K187)</f>
        <v>-4262</v>
      </c>
      <c r="M186" s="54" t="n">
        <f aca="false">+L186*(1+L187)</f>
        <v>-4262</v>
      </c>
      <c r="N186" s="54" t="n">
        <f aca="false">+M186*(1+M187)</f>
        <v>-4262</v>
      </c>
    </row>
    <row r="187" customFormat="false" ht="13.8" hidden="false" customHeight="false" outlineLevel="0" collapsed="false">
      <c r="A187" s="70" t="s">
        <v>144</v>
      </c>
      <c r="B187" s="0" t="str">
        <f aca="false">IFERROR(B186/A186-1,"nm")</f>
        <v>nm</v>
      </c>
      <c r="C187" s="56" t="n">
        <f aca="false">C186/B186-1</f>
        <v>0.145125716806352</v>
      </c>
    </row>
    <row r="188" customFormat="false" ht="13.8" hidden="false" customHeight="false" outlineLevel="0" collapsed="false">
      <c r="A188" s="70" t="s">
        <v>147</v>
      </c>
      <c r="B188" s="56" t="n">
        <f aca="false">B186/B177</f>
        <v>-19.7130434782609</v>
      </c>
      <c r="C188" s="56" t="n">
        <f aca="false">C186/C177</f>
        <v>-35.5616438356164</v>
      </c>
      <c r="D188" s="56" t="n">
        <f aca="false">D186/D177</f>
        <v>-36.6712328767123</v>
      </c>
      <c r="E188" s="56" t="n">
        <f aca="false">E186/E177</f>
        <v>-30.2045454545455</v>
      </c>
      <c r="F188" s="56" t="n">
        <f aca="false">F186/F177</f>
        <v>-77.6666666666667</v>
      </c>
      <c r="G188" s="56" t="n">
        <f aca="false">G186/G177</f>
        <v>-115.6</v>
      </c>
      <c r="H188" s="56" t="n">
        <f aca="false">H186/H177</f>
        <v>-146.24</v>
      </c>
      <c r="I188" s="56" t="n">
        <f aca="false">I186/I177</f>
        <v>-41.7843137254902</v>
      </c>
      <c r="J188" s="56" t="n">
        <f aca="false">J186/J177</f>
        <v>-19.8972922502334</v>
      </c>
      <c r="K188" s="56" t="n">
        <f aca="false">K186/K177</f>
        <v>-19.8972922502334</v>
      </c>
      <c r="L188" s="56" t="n">
        <f aca="false">L186/L177</f>
        <v>-19.8972922502334</v>
      </c>
      <c r="M188" s="56" t="n">
        <f aca="false">M186/M177</f>
        <v>-19.8972922502334</v>
      </c>
      <c r="N188" s="56" t="n">
        <f aca="false">N186/N177</f>
        <v>-19.8972922502334</v>
      </c>
    </row>
    <row r="189" customFormat="false" ht="13.8" hidden="false" customHeight="false" outlineLevel="0" collapsed="false">
      <c r="A189" s="14" t="s">
        <v>153</v>
      </c>
      <c r="B189" s="71" t="n">
        <v>225</v>
      </c>
      <c r="C189" s="71" t="n">
        <v>258</v>
      </c>
      <c r="D189" s="71" t="n">
        <v>278</v>
      </c>
      <c r="E189" s="71" t="n">
        <v>286</v>
      </c>
      <c r="F189" s="71" t="n">
        <v>278</v>
      </c>
      <c r="G189" s="71" t="n">
        <v>438</v>
      </c>
      <c r="H189" s="71" t="n">
        <v>278</v>
      </c>
      <c r="I189" s="71" t="n">
        <v>222</v>
      </c>
      <c r="J189" s="54" t="n">
        <f aca="false">+I189*(1+I190)</f>
        <v>222</v>
      </c>
      <c r="K189" s="54" t="n">
        <f aca="false">+J189*(1+J190)</f>
        <v>222</v>
      </c>
      <c r="L189" s="54" t="n">
        <f aca="false">+K189*(1+K190)</f>
        <v>222</v>
      </c>
      <c r="M189" s="54" t="n">
        <f aca="false">+L189*(1+L190)</f>
        <v>222</v>
      </c>
      <c r="N189" s="54" t="n">
        <f aca="false">+M189*(1+M190)</f>
        <v>222</v>
      </c>
    </row>
    <row r="190" customFormat="false" ht="13.8" hidden="false" customHeight="false" outlineLevel="0" collapsed="false">
      <c r="A190" s="70" t="s">
        <v>144</v>
      </c>
      <c r="B190" s="0" t="str">
        <f aca="false">IFERROR(B189/A189-1,"nm")</f>
        <v>nm</v>
      </c>
      <c r="C190" s="56" t="n">
        <f aca="false">C189/B189-1</f>
        <v>0.146666666666667</v>
      </c>
    </row>
    <row r="191" customFormat="false" ht="13.8" hidden="false" customHeight="false" outlineLevel="0" collapsed="false">
      <c r="A191" s="70" t="s">
        <v>150</v>
      </c>
      <c r="B191" s="56" t="n">
        <f aca="false">B189/B177</f>
        <v>1.95652173913043</v>
      </c>
      <c r="C191" s="56" t="n">
        <f aca="false">C189/C177</f>
        <v>3.53424657534247</v>
      </c>
      <c r="D191" s="56" t="n">
        <f aca="false">D189/D177</f>
        <v>3.80821917808219</v>
      </c>
      <c r="E191" s="56" t="n">
        <f aca="false">E189/E177</f>
        <v>3.25</v>
      </c>
      <c r="F191" s="56" t="n">
        <f aca="false">F189/F177</f>
        <v>6.61904761904762</v>
      </c>
      <c r="G191" s="56" t="n">
        <f aca="false">G189/G177</f>
        <v>14.6</v>
      </c>
      <c r="H191" s="56" t="n">
        <f aca="false">H189/H177</f>
        <v>11.12</v>
      </c>
      <c r="I191" s="56" t="n">
        <f aca="false">I189/I177</f>
        <v>2.17647058823529</v>
      </c>
      <c r="J191" s="56" t="n">
        <f aca="false">J189/J177</f>
        <v>1.03641456582633</v>
      </c>
      <c r="K191" s="56" t="n">
        <f aca="false">K189/K177</f>
        <v>1.03641456582633</v>
      </c>
      <c r="L191" s="56" t="n">
        <f aca="false">L189/L177</f>
        <v>1.03641456582633</v>
      </c>
      <c r="M191" s="56" t="n">
        <f aca="false">M189/M177</f>
        <v>1.03641456582633</v>
      </c>
      <c r="N191" s="56" t="n">
        <f aca="false">N189/N177</f>
        <v>1.03641456582633</v>
      </c>
    </row>
    <row r="192" customFormat="false" ht="13.8" hidden="false" customHeight="false" outlineLevel="0" collapsed="false">
      <c r="A192" s="14" t="s">
        <v>155</v>
      </c>
      <c r="B192" s="71" t="n">
        <f aca="false">+Historicals!B149</f>
        <v>484</v>
      </c>
      <c r="C192" s="71" t="n">
        <f aca="false">+Historicals!C149</f>
        <v>511</v>
      </c>
      <c r="D192" s="71" t="n">
        <f aca="false">+Historicals!D149</f>
        <v>533</v>
      </c>
      <c r="E192" s="71" t="n">
        <f aca="false">+Historicals!E149</f>
        <v>597</v>
      </c>
      <c r="F192" s="71" t="n">
        <f aca="false">+Historicals!F149</f>
        <v>665</v>
      </c>
      <c r="G192" s="71" t="n">
        <f aca="false">+Historicals!G149</f>
        <v>830</v>
      </c>
      <c r="H192" s="71" t="n">
        <f aca="false">+Historicals!H149</f>
        <v>780</v>
      </c>
      <c r="I192" s="71" t="n">
        <f aca="false">+Historicals!I149</f>
        <v>789</v>
      </c>
      <c r="J192" s="54" t="n">
        <f aca="false">+I192*(1+I193)</f>
        <v>789</v>
      </c>
      <c r="K192" s="54" t="n">
        <f aca="false">+J192*(1+J193)</f>
        <v>789</v>
      </c>
      <c r="L192" s="54" t="n">
        <f aca="false">+K192*(1+K193)</f>
        <v>789</v>
      </c>
      <c r="M192" s="54" t="n">
        <f aca="false">+L192*(1+L193)</f>
        <v>789</v>
      </c>
      <c r="N192" s="54" t="n">
        <f aca="false">+M192*(1+M193)</f>
        <v>789</v>
      </c>
    </row>
    <row r="193" customFormat="false" ht="13.8" hidden="false" customHeight="false" outlineLevel="0" collapsed="false">
      <c r="A193" s="70" t="s">
        <v>144</v>
      </c>
      <c r="B193" s="0" t="str">
        <f aca="false">IFERROR(B192/A192-1,"nm")</f>
        <v>nm</v>
      </c>
      <c r="C193" s="56" t="n">
        <f aca="false">C192/B192-1</f>
        <v>0.0557851239669422</v>
      </c>
    </row>
    <row r="194" customFormat="false" ht="13.8" hidden="false" customHeight="false" outlineLevel="0" collapsed="false">
      <c r="A194" s="70" t="s">
        <v>150</v>
      </c>
      <c r="B194" s="56" t="n">
        <f aca="false">B192/B177</f>
        <v>4.20869565217391</v>
      </c>
      <c r="C194" s="56" t="n">
        <f aca="false">C192/C177</f>
        <v>7</v>
      </c>
      <c r="D194" s="56" t="n">
        <f aca="false">D192/D177</f>
        <v>7.3013698630137</v>
      </c>
      <c r="E194" s="56" t="n">
        <f aca="false">E192/E177</f>
        <v>6.78409090909091</v>
      </c>
      <c r="F194" s="56" t="n">
        <f aca="false">F192/F177</f>
        <v>15.8333333333333</v>
      </c>
      <c r="G194" s="56" t="n">
        <f aca="false">G192/G177</f>
        <v>27.6666666666667</v>
      </c>
      <c r="H194" s="56" t="n">
        <f aca="false">H192/H177</f>
        <v>31.2</v>
      </c>
      <c r="I194" s="56" t="n">
        <f aca="false">I192/I177</f>
        <v>7.73529411764706</v>
      </c>
      <c r="J194" s="56" t="n">
        <f aca="false">J192/J177</f>
        <v>3.68347338935574</v>
      </c>
      <c r="K194" s="56" t="n">
        <f aca="false">K192/K177</f>
        <v>3.68347338935574</v>
      </c>
      <c r="L194" s="56" t="n">
        <f aca="false">L192/L177</f>
        <v>3.68347338935574</v>
      </c>
      <c r="M194" s="56" t="n">
        <f aca="false">M192/M177</f>
        <v>3.68347338935574</v>
      </c>
      <c r="N194" s="56" t="n">
        <f aca="false">N192/N177</f>
        <v>3.68347338935574</v>
      </c>
    </row>
    <row r="195" customFormat="false" ht="13.8" hidden="false" customHeight="false" outlineLevel="0" collapsed="false">
      <c r="A195" s="72" t="s">
        <v>126</v>
      </c>
      <c r="B195" s="57"/>
      <c r="C195" s="57"/>
      <c r="D195" s="57"/>
      <c r="E195" s="57"/>
      <c r="F195" s="57"/>
      <c r="G195" s="57"/>
      <c r="H195" s="57"/>
      <c r="I195" s="57"/>
      <c r="J195" s="48"/>
      <c r="K195" s="48"/>
      <c r="L195" s="48"/>
      <c r="M195" s="48"/>
      <c r="N195" s="48"/>
    </row>
    <row r="196" customFormat="false" ht="13.8" hidden="false" customHeight="false" outlineLevel="0" collapsed="false">
      <c r="A196" s="14" t="s">
        <v>157</v>
      </c>
      <c r="B196" s="71" t="n">
        <f aca="false">+Historicals!B130</f>
        <v>-82</v>
      </c>
      <c r="C196" s="71" t="n">
        <f aca="false">+Historicals!C130</f>
        <v>-86</v>
      </c>
      <c r="D196" s="71" t="n">
        <f aca="false">+Historicals!D130</f>
        <v>75</v>
      </c>
      <c r="E196" s="71" t="n">
        <f aca="false">+Historicals!E130</f>
        <v>26</v>
      </c>
      <c r="F196" s="71" t="n">
        <f aca="false">+Historicals!F130</f>
        <v>-7</v>
      </c>
      <c r="G196" s="71" t="n">
        <f aca="false">+Historicals!G130</f>
        <v>-11</v>
      </c>
      <c r="H196" s="71" t="n">
        <f aca="false">+Historicals!H130</f>
        <v>40</v>
      </c>
      <c r="I196" s="71" t="n">
        <f aca="false">+Historicals!I130</f>
        <v>-72</v>
      </c>
      <c r="J196" s="54" t="n">
        <f aca="false">I196*(1+I197)</f>
        <v>129.6</v>
      </c>
      <c r="K196" s="54" t="n">
        <f aca="false">J196*(1+J197)</f>
        <v>129.6</v>
      </c>
      <c r="L196" s="54" t="n">
        <f aca="false">K196*(1+K197)</f>
        <v>129.6</v>
      </c>
      <c r="M196" s="54" t="n">
        <f aca="false">L196*(1+L197)</f>
        <v>129.6</v>
      </c>
      <c r="N196" s="54" t="n">
        <f aca="false">M196*(1+M197)</f>
        <v>129.6</v>
      </c>
    </row>
    <row r="197" customFormat="false" ht="13.8" hidden="false" customHeight="false" outlineLevel="0" collapsed="false">
      <c r="A197" s="65" t="s">
        <v>144</v>
      </c>
      <c r="B197" s="66" t="n">
        <f aca="false">+Historicals!B202</f>
        <v>-28.3333333333333</v>
      </c>
      <c r="C197" s="66" t="n">
        <f aca="false">+Historicals!C202</f>
        <v>0.0487804878048781</v>
      </c>
      <c r="D197" s="66" t="n">
        <f aca="false">+Historicals!D202</f>
        <v>-1.87209302325581</v>
      </c>
      <c r="E197" s="66" t="n">
        <f aca="false">+Historicals!E202</f>
        <v>-0.653333333333333</v>
      </c>
      <c r="F197" s="66" t="n">
        <f aca="false">+Historicals!F202</f>
        <v>-1.26923076923077</v>
      </c>
      <c r="G197" s="66" t="n">
        <f aca="false">+Historicals!G202</f>
        <v>0.571428571428571</v>
      </c>
      <c r="H197" s="66" t="n">
        <f aca="false">+Historicals!H202</f>
        <v>-4.63636363636364</v>
      </c>
      <c r="I197" s="66" t="n">
        <f aca="false">+Historicals!I202</f>
        <v>-2.8</v>
      </c>
      <c r="J197" s="56" t="n">
        <v>0</v>
      </c>
      <c r="K197" s="56" t="n">
        <v>0</v>
      </c>
      <c r="L197" s="56" t="n">
        <v>0</v>
      </c>
      <c r="M197" s="56" t="n">
        <v>0</v>
      </c>
      <c r="N197" s="56" t="n">
        <v>0</v>
      </c>
    </row>
    <row r="198" customFormat="false" ht="13.8" hidden="false" customHeight="false" outlineLevel="0" collapsed="false">
      <c r="A198" s="14" t="s">
        <v>145</v>
      </c>
      <c r="B198" s="54" t="n">
        <f aca="false">B204+B201</f>
        <v>-1022</v>
      </c>
      <c r="C198" s="54" t="n">
        <f aca="false">C204+C201</f>
        <v>-1089</v>
      </c>
      <c r="D198" s="54" t="n">
        <f aca="false">D204+D201</f>
        <v>-633</v>
      </c>
      <c r="E198" s="54" t="n">
        <f aca="false">E204+E201</f>
        <v>-1346</v>
      </c>
      <c r="F198" s="54" t="n">
        <f aca="false">F204+F201</f>
        <v>-1694</v>
      </c>
      <c r="G198" s="54" t="n">
        <f aca="false">G204+G201</f>
        <v>-1855</v>
      </c>
      <c r="H198" s="54" t="n">
        <f aca="false">H204+H201</f>
        <v>-2120</v>
      </c>
      <c r="I198" s="54" t="n">
        <f aca="false">I204+I201</f>
        <v>-2085</v>
      </c>
      <c r="J198" s="54" t="n">
        <f aca="false">+I198*(1+I199)</f>
        <v>-2085</v>
      </c>
      <c r="K198" s="54" t="n">
        <f aca="false">+J198*(1+J199)</f>
        <v>-2085</v>
      </c>
      <c r="L198" s="54" t="n">
        <f aca="false">+K198*(1+K199)</f>
        <v>-2085</v>
      </c>
      <c r="M198" s="54" t="n">
        <f aca="false">+L198*(1+L199)</f>
        <v>-2085</v>
      </c>
      <c r="N198" s="54" t="n">
        <f aca="false">+M198*(1+M199)</f>
        <v>-2085</v>
      </c>
    </row>
    <row r="199" customFormat="false" ht="13.8" hidden="false" customHeight="false" outlineLevel="0" collapsed="false">
      <c r="A199" s="70" t="s">
        <v>144</v>
      </c>
      <c r="B199" s="0" t="str">
        <f aca="false">IFERROR(B198/A198-1,"nm")</f>
        <v>nm</v>
      </c>
      <c r="C199" s="56" t="n">
        <f aca="false">C198/B198-1</f>
        <v>0.0655577299412915</v>
      </c>
      <c r="J199" s="56" t="n">
        <v>0</v>
      </c>
      <c r="K199" s="56" t="n">
        <v>0</v>
      </c>
      <c r="L199" s="56" t="n">
        <v>0</v>
      </c>
      <c r="M199" s="56" t="n">
        <v>0</v>
      </c>
      <c r="N199" s="56" t="n">
        <v>0</v>
      </c>
    </row>
    <row r="200" customFormat="false" ht="13.8" hidden="false" customHeight="false" outlineLevel="0" collapsed="false">
      <c r="A200" s="70" t="s">
        <v>147</v>
      </c>
      <c r="B200" s="56" t="n">
        <f aca="false">B198/B196</f>
        <v>12.4634146341463</v>
      </c>
      <c r="C200" s="56" t="n">
        <f aca="false">C198/C196</f>
        <v>12.6627906976744</v>
      </c>
      <c r="D200" s="56" t="n">
        <f aca="false">D198/D196</f>
        <v>-8.44</v>
      </c>
      <c r="E200" s="56" t="n">
        <f aca="false">E198/E196</f>
        <v>-51.7692307692308</v>
      </c>
      <c r="F200" s="56" t="n">
        <f aca="false">F198/F196</f>
        <v>242</v>
      </c>
      <c r="G200" s="56" t="n">
        <f aca="false">G198/G196</f>
        <v>168.636363636364</v>
      </c>
      <c r="H200" s="56" t="n">
        <f aca="false">H198/H196</f>
        <v>-53</v>
      </c>
      <c r="I200" s="56" t="n">
        <f aca="false">I198/I196</f>
        <v>28.9583333333333</v>
      </c>
      <c r="J200" s="56" t="n">
        <f aca="false">J198/J196</f>
        <v>-16.087962962963</v>
      </c>
      <c r="K200" s="56" t="n">
        <f aca="false">K198/K196</f>
        <v>-16.087962962963</v>
      </c>
      <c r="L200" s="56" t="n">
        <f aca="false">L198/L196</f>
        <v>-16.087962962963</v>
      </c>
      <c r="M200" s="56" t="n">
        <f aca="false">M198/M196</f>
        <v>-16.087962962963</v>
      </c>
      <c r="N200" s="56" t="n">
        <f aca="false">N198/N196</f>
        <v>-16.087962962963</v>
      </c>
    </row>
    <row r="201" customFormat="false" ht="13.8" hidden="false" customHeight="false" outlineLevel="0" collapsed="false">
      <c r="A201" s="14" t="s">
        <v>148</v>
      </c>
      <c r="B201" s="71" t="n">
        <f aca="false">+Historicals!B174</f>
        <v>75</v>
      </c>
      <c r="C201" s="71" t="n">
        <f aca="false">+Historicals!C174</f>
        <v>84</v>
      </c>
      <c r="D201" s="71" t="n">
        <f aca="false">+Historicals!D174</f>
        <v>91</v>
      </c>
      <c r="E201" s="71" t="n">
        <f aca="false">+Historicals!E174</f>
        <v>110</v>
      </c>
      <c r="F201" s="71" t="n">
        <f aca="false">+Historicals!F174</f>
        <v>116</v>
      </c>
      <c r="G201" s="71" t="n">
        <f aca="false">+Historicals!G174</f>
        <v>112</v>
      </c>
      <c r="H201" s="71" t="n">
        <f aca="false">+Historicals!H174</f>
        <v>141</v>
      </c>
      <c r="I201" s="71" t="n">
        <f aca="false">+Historicals!I174</f>
        <v>134</v>
      </c>
      <c r="J201" s="54" t="n">
        <f aca="false">+I201*(1+I202)</f>
        <v>134</v>
      </c>
      <c r="K201" s="54" t="n">
        <f aca="false">+J201*(1+J202)</f>
        <v>134</v>
      </c>
      <c r="L201" s="54" t="n">
        <f aca="false">+K201*(1+K202)</f>
        <v>134</v>
      </c>
      <c r="M201" s="54" t="n">
        <f aca="false">+L201*(1+L202)</f>
        <v>134</v>
      </c>
      <c r="N201" s="54" t="n">
        <f aca="false">+M201*(1+M202)</f>
        <v>134</v>
      </c>
    </row>
    <row r="202" customFormat="false" ht="13.8" hidden="false" customHeight="false" outlineLevel="0" collapsed="false">
      <c r="A202" s="70" t="s">
        <v>144</v>
      </c>
      <c r="B202" s="0" t="str">
        <f aca="false">IFERROR(B201/A201-1,"nm")</f>
        <v>nm</v>
      </c>
      <c r="C202" s="56" t="n">
        <f aca="false">C201/B201-1</f>
        <v>0.12</v>
      </c>
      <c r="J202" s="56" t="n">
        <v>0</v>
      </c>
      <c r="K202" s="56" t="n">
        <v>0</v>
      </c>
      <c r="L202" s="56" t="n">
        <v>0</v>
      </c>
      <c r="M202" s="56" t="n">
        <v>0</v>
      </c>
      <c r="N202" s="56" t="n">
        <v>0</v>
      </c>
    </row>
    <row r="203" customFormat="false" ht="13.8" hidden="false" customHeight="false" outlineLevel="0" collapsed="false">
      <c r="A203" s="70" t="s">
        <v>150</v>
      </c>
      <c r="B203" s="56" t="n">
        <f aca="false">B201/B196</f>
        <v>-0.914634146341463</v>
      </c>
      <c r="C203" s="56" t="n">
        <f aca="false">C201/C196</f>
        <v>-0.976744186046512</v>
      </c>
      <c r="D203" s="56" t="n">
        <f aca="false">D201/D196</f>
        <v>1.21333333333333</v>
      </c>
      <c r="E203" s="56" t="n">
        <f aca="false">E201/E196</f>
        <v>4.23076923076923</v>
      </c>
      <c r="F203" s="56" t="n">
        <f aca="false">F201/F196</f>
        <v>-16.5714285714286</v>
      </c>
      <c r="G203" s="56" t="n">
        <f aca="false">G201/G196</f>
        <v>-10.1818181818182</v>
      </c>
      <c r="H203" s="56" t="n">
        <f aca="false">H201/H196</f>
        <v>3.525</v>
      </c>
      <c r="I203" s="56" t="n">
        <f aca="false">I201/I196</f>
        <v>-1.86111111111111</v>
      </c>
      <c r="J203" s="56" t="n">
        <f aca="false">J201/J196</f>
        <v>1.03395061728395</v>
      </c>
      <c r="K203" s="56" t="n">
        <f aca="false">K201/K196</f>
        <v>1.03395061728395</v>
      </c>
      <c r="L203" s="56" t="n">
        <f aca="false">L201/L196</f>
        <v>1.03395061728395</v>
      </c>
      <c r="M203" s="56" t="n">
        <f aca="false">M201/M196</f>
        <v>1.03395061728395</v>
      </c>
      <c r="N203" s="56" t="n">
        <f aca="false">N201/N196</f>
        <v>1.03395061728395</v>
      </c>
    </row>
    <row r="204" customFormat="false" ht="13.8" hidden="false" customHeight="false" outlineLevel="0" collapsed="false">
      <c r="A204" s="14" t="s">
        <v>151</v>
      </c>
      <c r="B204" s="71" t="n">
        <f aca="false">+Historicals!B141</f>
        <v>-1097</v>
      </c>
      <c r="C204" s="71" t="n">
        <f aca="false">+Historicals!C141</f>
        <v>-1173</v>
      </c>
      <c r="D204" s="71" t="n">
        <f aca="false">+Historicals!D141</f>
        <v>-724</v>
      </c>
      <c r="E204" s="71" t="n">
        <f aca="false">+Historicals!E141</f>
        <v>-1456</v>
      </c>
      <c r="F204" s="71" t="n">
        <f aca="false">+Historicals!F141</f>
        <v>-1810</v>
      </c>
      <c r="G204" s="71" t="n">
        <f aca="false">+Historicals!G141</f>
        <v>-1967</v>
      </c>
      <c r="H204" s="71" t="n">
        <f aca="false">+Historicals!H141</f>
        <v>-2261</v>
      </c>
      <c r="I204" s="71" t="n">
        <f aca="false">+Historicals!I141</f>
        <v>-2219</v>
      </c>
      <c r="J204" s="54" t="n">
        <f aca="false">+I204*(1+I205)</f>
        <v>-2219</v>
      </c>
      <c r="K204" s="54" t="n">
        <f aca="false">+J204*(1+J205)</f>
        <v>-2219</v>
      </c>
      <c r="L204" s="54" t="n">
        <f aca="false">+K204*(1+K205)</f>
        <v>-2219</v>
      </c>
      <c r="M204" s="54" t="n">
        <f aca="false">+L204*(1+L205)</f>
        <v>-2219</v>
      </c>
      <c r="N204" s="54" t="n">
        <f aca="false">+M204*(1+M205)</f>
        <v>-2219</v>
      </c>
    </row>
    <row r="205" customFormat="false" ht="13.8" hidden="false" customHeight="false" outlineLevel="0" collapsed="false">
      <c r="A205" s="70" t="s">
        <v>144</v>
      </c>
      <c r="B205" s="0" t="str">
        <f aca="false">IFERROR(B204/A204-1,"nm")</f>
        <v>nm</v>
      </c>
      <c r="C205" s="56" t="n">
        <f aca="false">C204/B204-1</f>
        <v>0.0692798541476756</v>
      </c>
      <c r="J205" s="56" t="n">
        <v>0</v>
      </c>
      <c r="K205" s="56" t="n">
        <v>0</v>
      </c>
      <c r="L205" s="56" t="n">
        <v>0</v>
      </c>
      <c r="M205" s="56" t="n">
        <v>0</v>
      </c>
      <c r="N205" s="56" t="n">
        <v>0</v>
      </c>
    </row>
    <row r="206" customFormat="false" ht="13.8" hidden="false" customHeight="false" outlineLevel="0" collapsed="false">
      <c r="A206" s="70" t="s">
        <v>147</v>
      </c>
      <c r="B206" s="56" t="n">
        <f aca="false">B204/B196</f>
        <v>13.3780487804878</v>
      </c>
      <c r="C206" s="56" t="n">
        <f aca="false">C204/C196</f>
        <v>13.6395348837209</v>
      </c>
      <c r="D206" s="56" t="n">
        <f aca="false">D204/D196</f>
        <v>-9.65333333333333</v>
      </c>
      <c r="E206" s="56" t="n">
        <f aca="false">E204/E196</f>
        <v>-56</v>
      </c>
      <c r="F206" s="56" t="n">
        <f aca="false">F204/F196</f>
        <v>258.571428571429</v>
      </c>
      <c r="G206" s="56" t="n">
        <f aca="false">G204/G196</f>
        <v>178.818181818182</v>
      </c>
      <c r="H206" s="56" t="n">
        <f aca="false">H204/H196</f>
        <v>-56.525</v>
      </c>
      <c r="I206" s="56" t="n">
        <f aca="false">I204/I196</f>
        <v>30.8194444444444</v>
      </c>
      <c r="J206" s="56" t="n">
        <f aca="false">J204/J196</f>
        <v>-17.1219135802469</v>
      </c>
      <c r="K206" s="56" t="n">
        <f aca="false">K204/K196</f>
        <v>-17.1219135802469</v>
      </c>
      <c r="L206" s="56" t="n">
        <f aca="false">L204/L196</f>
        <v>-17.1219135802469</v>
      </c>
      <c r="M206" s="56" t="n">
        <f aca="false">M204/M196</f>
        <v>-17.1219135802469</v>
      </c>
      <c r="N206" s="56" t="n">
        <f aca="false">N204/N196</f>
        <v>-17.1219135802469</v>
      </c>
    </row>
    <row r="207" customFormat="false" ht="13.8" hidden="false" customHeight="false" outlineLevel="0" collapsed="false">
      <c r="A207" s="14" t="s">
        <v>153</v>
      </c>
      <c r="B207" s="79" t="n">
        <v>144</v>
      </c>
      <c r="C207" s="79" t="n">
        <v>312</v>
      </c>
      <c r="D207" s="79" t="n">
        <v>387</v>
      </c>
      <c r="E207" s="79" t="n">
        <v>325</v>
      </c>
      <c r="F207" s="79" t="n">
        <v>333</v>
      </c>
      <c r="G207" s="79" t="n">
        <v>356</v>
      </c>
      <c r="H207" s="79" t="n">
        <v>107</v>
      </c>
      <c r="I207" s="79" t="n">
        <v>103</v>
      </c>
      <c r="J207" s="54" t="n">
        <f aca="false">+I207*(1+I208)</f>
        <v>103</v>
      </c>
      <c r="K207" s="54" t="n">
        <f aca="false">+J207*(1+J208)</f>
        <v>103</v>
      </c>
      <c r="L207" s="54" t="n">
        <f aca="false">+K207*(1+K208)</f>
        <v>103</v>
      </c>
      <c r="M207" s="54" t="n">
        <f aca="false">+L207*(1+L208)</f>
        <v>103</v>
      </c>
      <c r="N207" s="54" t="n">
        <f aca="false">+M207*(1+M208)</f>
        <v>103</v>
      </c>
    </row>
    <row r="208" customFormat="false" ht="13.8" hidden="false" customHeight="false" outlineLevel="0" collapsed="false">
      <c r="A208" s="70" t="s">
        <v>144</v>
      </c>
      <c r="B208" s="0" t="str">
        <f aca="false">IFERROR(B207/A207-1,"nm")</f>
        <v>nm</v>
      </c>
      <c r="C208" s="56" t="n">
        <f aca="false">C207/B207-1</f>
        <v>1.16666666666667</v>
      </c>
      <c r="J208" s="56" t="n">
        <v>0</v>
      </c>
      <c r="K208" s="56" t="n">
        <v>0</v>
      </c>
      <c r="L208" s="56" t="n">
        <v>0</v>
      </c>
      <c r="M208" s="56" t="n">
        <v>0</v>
      </c>
      <c r="N208" s="56" t="n">
        <v>0</v>
      </c>
    </row>
    <row r="209" customFormat="false" ht="13.8" hidden="false" customHeight="false" outlineLevel="0" collapsed="false">
      <c r="A209" s="70" t="s">
        <v>150</v>
      </c>
      <c r="B209" s="56" t="n">
        <f aca="false">B207/B196</f>
        <v>-1.75609756097561</v>
      </c>
      <c r="C209" s="56" t="n">
        <f aca="false">C207/C196</f>
        <v>-3.62790697674419</v>
      </c>
      <c r="D209" s="56" t="n">
        <f aca="false">D207/D196</f>
        <v>5.16</v>
      </c>
      <c r="E209" s="56" t="n">
        <f aca="false">E207/E196</f>
        <v>12.5</v>
      </c>
      <c r="F209" s="56" t="n">
        <f aca="false">F207/F196</f>
        <v>-47.5714285714286</v>
      </c>
      <c r="G209" s="56" t="n">
        <f aca="false">G207/G196</f>
        <v>-32.3636363636364</v>
      </c>
      <c r="H209" s="56" t="n">
        <f aca="false">H207/H196</f>
        <v>2.675</v>
      </c>
      <c r="I209" s="56" t="n">
        <f aca="false">I207/I196</f>
        <v>-1.43055555555556</v>
      </c>
      <c r="J209" s="56" t="n">
        <f aca="false">J207/J196</f>
        <v>0.794753086419753</v>
      </c>
      <c r="K209" s="56" t="n">
        <f aca="false">K207/K196</f>
        <v>0.794753086419753</v>
      </c>
      <c r="L209" s="56" t="n">
        <f aca="false">L207/L196</f>
        <v>0.794753086419753</v>
      </c>
      <c r="M209" s="56" t="n">
        <f aca="false">M207/M196</f>
        <v>0.794753086419753</v>
      </c>
      <c r="N209" s="56" t="n">
        <f aca="false">N207/N196</f>
        <v>0.794753086419753</v>
      </c>
    </row>
    <row r="210" customFormat="false" ht="13.8" hidden="false" customHeight="false" outlineLevel="0" collapsed="false">
      <c r="A210" s="14" t="s">
        <v>155</v>
      </c>
      <c r="B210" s="71" t="n">
        <f aca="false">+Historicals!B152</f>
        <v>713</v>
      </c>
      <c r="C210" s="71" t="n">
        <f aca="false">+Historicals!C152</f>
        <v>937</v>
      </c>
      <c r="D210" s="71" t="n">
        <f aca="false">+Historicals!D152</f>
        <v>1238</v>
      </c>
      <c r="E210" s="71" t="n">
        <f aca="false">+Historicals!E152</f>
        <v>1450</v>
      </c>
      <c r="F210" s="71" t="n">
        <f aca="false">+Historicals!F152</f>
        <v>1673</v>
      </c>
      <c r="G210" s="71" t="n">
        <f aca="false">+Historicals!G152</f>
        <v>1916</v>
      </c>
      <c r="H210" s="71" t="n">
        <f aca="false">+Historicals!H152</f>
        <v>1870</v>
      </c>
      <c r="I210" s="71" t="n">
        <f aca="false">+Historicals!I152</f>
        <v>1817</v>
      </c>
      <c r="J210" s="54" t="n">
        <f aca="false">+I210*(1+I211)</f>
        <v>1817</v>
      </c>
      <c r="K210" s="54" t="n">
        <f aca="false">+J210*(1+J211)</f>
        <v>1817</v>
      </c>
      <c r="L210" s="54" t="n">
        <f aca="false">+K210*(1+K211)</f>
        <v>1817</v>
      </c>
      <c r="M210" s="54" t="n">
        <f aca="false">+L210*(1+L211)</f>
        <v>1817</v>
      </c>
      <c r="N210" s="54" t="n">
        <f aca="false">+M210*(1+M211)</f>
        <v>1817</v>
      </c>
    </row>
    <row r="211" customFormat="false" ht="13.8" hidden="false" customHeight="false" outlineLevel="0" collapsed="false">
      <c r="A211" s="70" t="s">
        <v>144</v>
      </c>
      <c r="B211" s="0" t="str">
        <f aca="false">IFERROR(B210/A210-1,"nm")</f>
        <v>nm</v>
      </c>
      <c r="C211" s="56" t="n">
        <f aca="false">C210/B210-1</f>
        <v>0.314165497896213</v>
      </c>
      <c r="J211" s="56" t="n">
        <v>0</v>
      </c>
      <c r="K211" s="56" t="n">
        <v>0</v>
      </c>
      <c r="L211" s="56" t="n">
        <v>0</v>
      </c>
      <c r="M211" s="56" t="n">
        <v>0</v>
      </c>
      <c r="N211" s="56" t="n">
        <v>0</v>
      </c>
    </row>
    <row r="212" customFormat="false" ht="13.8" hidden="false" customHeight="false" outlineLevel="0" collapsed="false">
      <c r="A212" s="70" t="s">
        <v>150</v>
      </c>
      <c r="B212" s="56" t="n">
        <f aca="false">B210/B196</f>
        <v>-8.69512195121951</v>
      </c>
      <c r="C212" s="56" t="n">
        <f aca="false">C210/C196</f>
        <v>-10.8953488372093</v>
      </c>
      <c r="D212" s="56" t="n">
        <f aca="false">D210/D196</f>
        <v>16.5066666666667</v>
      </c>
      <c r="E212" s="56" t="n">
        <f aca="false">E210/E196</f>
        <v>55.7692307692308</v>
      </c>
      <c r="F212" s="56" t="n">
        <f aca="false">F210/F196</f>
        <v>-239</v>
      </c>
      <c r="G212" s="56" t="n">
        <f aca="false">G210/G196</f>
        <v>-174.181818181818</v>
      </c>
      <c r="H212" s="56" t="n">
        <f aca="false">H210/H196</f>
        <v>46.75</v>
      </c>
      <c r="I212" s="56" t="n">
        <f aca="false">I210/I196</f>
        <v>-25.2361111111111</v>
      </c>
      <c r="J212" s="56" t="n">
        <f aca="false">J210/J196</f>
        <v>14.0200617283951</v>
      </c>
      <c r="K212" s="56" t="n">
        <f aca="false">K210/K196</f>
        <v>14.0200617283951</v>
      </c>
      <c r="L212" s="56" t="n">
        <f aca="false">L210/L196</f>
        <v>14.0200617283951</v>
      </c>
      <c r="M212" s="56" t="n">
        <f aca="false">M210/M196</f>
        <v>14.0200617283951</v>
      </c>
      <c r="N212" s="56" t="n">
        <f aca="false">N210/N196</f>
        <v>14.0200617283951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74"/>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J44" activeCellId="0" sqref="J44"/>
    </sheetView>
  </sheetViews>
  <sheetFormatPr defaultColWidth="8.90234375" defaultRowHeight="14.25" zeroHeight="false" outlineLevelRow="0" outlineLevelCol="0"/>
  <cols>
    <col collapsed="false" customWidth="true" hidden="false" outlineLevel="0" max="1" min="1" style="4" width="48.78"/>
    <col collapsed="false" customWidth="true" hidden="false" outlineLevel="0" max="14" min="2" style="4" width="11.77"/>
    <col collapsed="false" customWidth="true" hidden="false" outlineLevel="0" max="15" min="15" style="4" width="52.56"/>
    <col collapsed="false" customWidth="false" hidden="false" outlineLevel="0" max="1024" min="16" style="4" width="8.89"/>
  </cols>
  <sheetData>
    <row r="1" customFormat="false" ht="60" hidden="false" customHeight="true" outlineLevel="0" collapsed="false">
      <c r="A1" s="6" t="s">
        <v>11</v>
      </c>
      <c r="B1" s="7" t="n">
        <f aca="false">+C1-1</f>
        <v>2015</v>
      </c>
      <c r="C1" s="7" t="n">
        <f aca="false">+D1-1</f>
        <v>2016</v>
      </c>
      <c r="D1" s="7" t="n">
        <f aca="false">+E1-1</f>
        <v>2017</v>
      </c>
      <c r="E1" s="7" t="n">
        <f aca="false">+F1-1</f>
        <v>2018</v>
      </c>
      <c r="F1" s="7" t="n">
        <f aca="false">+G1-1</f>
        <v>2019</v>
      </c>
      <c r="G1" s="7" t="n">
        <f aca="false">+H1-1</f>
        <v>2020</v>
      </c>
      <c r="H1" s="7" t="n">
        <f aca="false">+I1-1</f>
        <v>2021</v>
      </c>
      <c r="I1" s="7" t="n">
        <v>2022</v>
      </c>
      <c r="J1" s="48" t="n">
        <f aca="false">+I1+1</f>
        <v>2023</v>
      </c>
      <c r="K1" s="48" t="n">
        <f aca="false">+J1+1</f>
        <v>2024</v>
      </c>
      <c r="L1" s="48" t="n">
        <f aca="false">+K1+1</f>
        <v>2025</v>
      </c>
      <c r="M1" s="48" t="n">
        <f aca="false">+L1+1</f>
        <v>2026</v>
      </c>
      <c r="N1" s="48" t="n">
        <f aca="false">+M1+1</f>
        <v>2027</v>
      </c>
      <c r="O1" s="80" t="s">
        <v>169</v>
      </c>
    </row>
    <row r="2" customFormat="false" ht="14.25" hidden="false" customHeight="false" outlineLevel="0" collapsed="false">
      <c r="A2" s="49" t="s">
        <v>170</v>
      </c>
      <c r="B2" s="49"/>
      <c r="C2" s="49"/>
      <c r="D2" s="49"/>
      <c r="E2" s="49"/>
      <c r="F2" s="49"/>
      <c r="G2" s="49"/>
      <c r="H2" s="49"/>
      <c r="I2" s="49"/>
      <c r="J2" s="49"/>
      <c r="K2" s="49"/>
      <c r="L2" s="49"/>
      <c r="M2" s="49"/>
      <c r="N2" s="49"/>
    </row>
    <row r="3" customFormat="false" ht="13.8" hidden="false" customHeight="false" outlineLevel="0" collapsed="false">
      <c r="A3" s="3" t="s">
        <v>157</v>
      </c>
      <c r="B3" s="15" t="n">
        <f aca="false">'Segmental forecast'!B3</f>
        <v>30601</v>
      </c>
      <c r="C3" s="15" t="n">
        <f aca="false">'Segmental forecast'!C3</f>
        <v>32376</v>
      </c>
      <c r="D3" s="15" t="n">
        <f aca="false">'Segmental forecast'!D3</f>
        <v>34350</v>
      </c>
      <c r="E3" s="15" t="n">
        <f aca="false">'Segmental forecast'!E3</f>
        <v>36397</v>
      </c>
      <c r="F3" s="15" t="n">
        <f aca="false">'Segmental forecast'!F3</f>
        <v>39117</v>
      </c>
      <c r="G3" s="15" t="n">
        <f aca="false">'Segmental forecast'!G3</f>
        <v>37403</v>
      </c>
      <c r="H3" s="15" t="n">
        <f aca="false">'Segmental forecast'!H3</f>
        <v>44538</v>
      </c>
      <c r="I3" s="15" t="n">
        <f aca="false">'Segmental forecast'!I3</f>
        <v>46710</v>
      </c>
      <c r="J3" s="15" t="n">
        <f aca="false">'Segmental forecast'!J3</f>
        <v>48987.9226727738</v>
      </c>
      <c r="K3" s="15" t="n">
        <f aca="false">'Segmental forecast'!K3</f>
        <v>51376.9335858203</v>
      </c>
      <c r="L3" s="15" t="n">
        <f aca="false">'Segmental forecast'!L3</f>
        <v>53882.4502176494</v>
      </c>
      <c r="M3" s="15" t="n">
        <f aca="false">'Segmental forecast'!M3</f>
        <v>56510.1542428129</v>
      </c>
      <c r="N3" s="15" t="n">
        <f aca="false">'Segmental forecast'!N3</f>
        <v>59266.0044160445</v>
      </c>
    </row>
    <row r="4" customFormat="false" ht="13.8" hidden="false" customHeight="false" outlineLevel="0" collapsed="false">
      <c r="A4" s="52" t="s">
        <v>144</v>
      </c>
      <c r="B4" s="81" t="str">
        <f aca="false">'Segmental forecast'!B4</f>
        <v>nm</v>
      </c>
      <c r="C4" s="81" t="n">
        <f aca="false">'Segmental forecast'!C4</f>
        <v>0.0580046403712298</v>
      </c>
      <c r="D4" s="81" t="n">
        <f aca="false">'Segmental forecast'!D4</f>
        <v>0.0609710896960711</v>
      </c>
      <c r="E4" s="81" t="n">
        <f aca="false">'Segmental forecast'!E4</f>
        <v>0.0595924308588065</v>
      </c>
      <c r="F4" s="81" t="n">
        <f aca="false">'Segmental forecast'!F4</f>
        <v>0.0747314339093881</v>
      </c>
      <c r="G4" s="81" t="n">
        <f aca="false">'Segmental forecast'!G4</f>
        <v>-0.0438172661502672</v>
      </c>
      <c r="H4" s="81" t="n">
        <f aca="false">'Segmental forecast'!H4</f>
        <v>0.190760099457263</v>
      </c>
      <c r="I4" s="81" t="n">
        <f aca="false">'Segmental forecast'!I4</f>
        <v>0.0487673447393238</v>
      </c>
      <c r="J4" s="81" t="n">
        <f aca="false">'Segmental forecast'!J4</f>
        <v>0.0487673447393238</v>
      </c>
      <c r="K4" s="81" t="n">
        <f aca="false">'Segmental forecast'!K4</f>
        <v>0.0487673447393238</v>
      </c>
      <c r="L4" s="81" t="n">
        <f aca="false">'Segmental forecast'!L4</f>
        <v>0.0487673447393238</v>
      </c>
      <c r="M4" s="81" t="n">
        <f aca="false">'Segmental forecast'!M4</f>
        <v>0.0487673447393238</v>
      </c>
      <c r="N4" s="81" t="n">
        <f aca="false">'Segmental forecast'!N4</f>
        <v>0.0487673447393238</v>
      </c>
      <c r="O4" s="4" t="s">
        <v>171</v>
      </c>
    </row>
    <row r="5" customFormat="false" ht="13.8" hidden="false" customHeight="false" outlineLevel="0" collapsed="false">
      <c r="A5" s="3" t="s">
        <v>145</v>
      </c>
      <c r="B5" s="15" t="n">
        <f aca="false">'Segmental forecast'!B5</f>
        <v>4839</v>
      </c>
      <c r="C5" s="15" t="n">
        <f aca="false">'Segmental forecast'!C5</f>
        <v>5291</v>
      </c>
      <c r="D5" s="15" t="n">
        <f aca="false">'Segmental forecast'!D5</f>
        <v>5651</v>
      </c>
      <c r="E5" s="15" t="n">
        <f aca="false">'Segmental forecast'!E5</f>
        <v>5126</v>
      </c>
      <c r="F5" s="15" t="n">
        <f aca="false">'Segmental forecast'!F5</f>
        <v>5555</v>
      </c>
      <c r="G5" s="15" t="n">
        <f aca="false">'Segmental forecast'!G5</f>
        <v>3697</v>
      </c>
      <c r="H5" s="15" t="n">
        <f aca="false">'Segmental forecast'!H5</f>
        <v>7667</v>
      </c>
      <c r="I5" s="15" t="n">
        <f aca="false">'Segmental forecast'!I5</f>
        <v>7573</v>
      </c>
      <c r="J5" s="15" t="n">
        <f aca="false">'Segmental forecast'!J5</f>
        <v>7480.15247163167</v>
      </c>
      <c r="K5" s="15" t="n">
        <f aca="false">'Segmental forecast'!K5</f>
        <v>7388.44328520499</v>
      </c>
      <c r="L5" s="15" t="n">
        <f aca="false">'Segmental forecast'!L5</f>
        <v>7297.85848426469</v>
      </c>
      <c r="M5" s="15" t="n">
        <f aca="false">'Segmental forecast'!M5</f>
        <v>7208.38428346635</v>
      </c>
      <c r="N5" s="15" t="n">
        <f aca="false">'Segmental forecast'!N5</f>
        <v>7120.0070664785</v>
      </c>
      <c r="O5" s="4" t="s">
        <v>171</v>
      </c>
    </row>
    <row r="6" customFormat="false" ht="13.8" hidden="false" customHeight="false" outlineLevel="0" collapsed="false">
      <c r="A6" s="82" t="s">
        <v>148</v>
      </c>
      <c r="B6" s="9" t="n">
        <f aca="false">'Segmental forecast'!B8</f>
        <v>606</v>
      </c>
      <c r="C6" s="9" t="n">
        <f aca="false">'Segmental forecast'!C8</f>
        <v>649</v>
      </c>
      <c r="D6" s="9" t="n">
        <f aca="false">'Segmental forecast'!D8</f>
        <v>706</v>
      </c>
      <c r="E6" s="9" t="n">
        <f aca="false">'Segmental forecast'!E8</f>
        <v>747</v>
      </c>
      <c r="F6" s="9" t="n">
        <f aca="false">'Segmental forecast'!F8</f>
        <v>705</v>
      </c>
      <c r="G6" s="9" t="n">
        <f aca="false">'Segmental forecast'!G8</f>
        <v>721</v>
      </c>
      <c r="H6" s="9" t="n">
        <f aca="false">'Segmental forecast'!H8</f>
        <v>744</v>
      </c>
      <c r="I6" s="9" t="n">
        <f aca="false">'Segmental forecast'!I8</f>
        <v>717</v>
      </c>
      <c r="J6" s="9" t="n">
        <f aca="false">'Segmental forecast'!J8</f>
        <v>690.979838709677</v>
      </c>
      <c r="K6" s="9" t="n">
        <f aca="false">'Segmental forecast'!K8</f>
        <v>665.903957466181</v>
      </c>
      <c r="L6" s="9" t="n">
        <f aca="false">'Segmental forecast'!L8</f>
        <v>641.738088042005</v>
      </c>
      <c r="M6" s="9" t="n">
        <f aca="false">'Segmental forecast'!M8</f>
        <v>618.449205814674</v>
      </c>
      <c r="N6" s="9" t="n">
        <f aca="false">'Segmental forecast'!N8</f>
        <v>596.005484635916</v>
      </c>
      <c r="O6" s="4" t="s">
        <v>171</v>
      </c>
    </row>
    <row r="7" customFormat="false" ht="13.8" hidden="false" customHeight="false" outlineLevel="0" collapsed="false">
      <c r="A7" s="20" t="s">
        <v>151</v>
      </c>
      <c r="B7" s="22" t="n">
        <f aca="false">'Segmental forecast'!B11</f>
        <v>4233</v>
      </c>
      <c r="C7" s="22" t="n">
        <f aca="false">'Segmental forecast'!C11</f>
        <v>4642</v>
      </c>
      <c r="D7" s="22" t="n">
        <f aca="false">'Segmental forecast'!D11</f>
        <v>4945</v>
      </c>
      <c r="E7" s="22" t="n">
        <f aca="false">'Segmental forecast'!E11</f>
        <v>4379</v>
      </c>
      <c r="F7" s="22" t="n">
        <f aca="false">'Segmental forecast'!F11</f>
        <v>4850</v>
      </c>
      <c r="G7" s="22" t="n">
        <f aca="false">'Segmental forecast'!G11</f>
        <v>2976</v>
      </c>
      <c r="H7" s="22" t="n">
        <f aca="false">'Segmental forecast'!H11</f>
        <v>6923</v>
      </c>
      <c r="I7" s="22" t="n">
        <f aca="false">'Segmental forecast'!I11</f>
        <v>6856</v>
      </c>
      <c r="J7" s="22" t="n">
        <f aca="false">'Segmental forecast'!J11</f>
        <v>6789.64841831576</v>
      </c>
      <c r="K7" s="22" t="n">
        <f aca="false">'Segmental forecast'!K11</f>
        <v>6723.93897962918</v>
      </c>
      <c r="L7" s="22" t="n">
        <f aca="false">'Segmental forecast'!L11</f>
        <v>6658.86546935399</v>
      </c>
      <c r="M7" s="22" t="n">
        <f aca="false">'Segmental forecast'!M11</f>
        <v>6594.42173304795</v>
      </c>
      <c r="N7" s="22" t="n">
        <f aca="false">'Segmental forecast'!N11</f>
        <v>6530.60167583082</v>
      </c>
      <c r="O7" s="4" t="s">
        <v>171</v>
      </c>
    </row>
    <row r="8" customFormat="false" ht="13.8" hidden="false" customHeight="false" outlineLevel="0" collapsed="false">
      <c r="A8" s="52" t="s">
        <v>144</v>
      </c>
      <c r="B8" s="81" t="str">
        <f aca="false">'Segmental forecast'!B12</f>
        <v>nm</v>
      </c>
      <c r="C8" s="81" t="n">
        <f aca="false">'Segmental forecast'!C12</f>
        <v>0.0966217812426176</v>
      </c>
      <c r="D8" s="81" t="n">
        <f aca="false">'Segmental forecast'!D12</f>
        <v>0.0652735889702714</v>
      </c>
      <c r="E8" s="81" t="n">
        <f aca="false">'Segmental forecast'!E12</f>
        <v>-0.114459049544995</v>
      </c>
      <c r="F8" s="81" t="n">
        <f aca="false">'Segmental forecast'!F12</f>
        <v>0.107558803379767</v>
      </c>
      <c r="G8" s="81" t="n">
        <f aca="false">'Segmental forecast'!G12</f>
        <v>-0.38639175257732</v>
      </c>
      <c r="H8" s="81" t="n">
        <f aca="false">'Segmental forecast'!H12</f>
        <v>1.32627688172043</v>
      </c>
      <c r="I8" s="81" t="n">
        <f aca="false">'Segmental forecast'!I12</f>
        <v>-0.00967788530983682</v>
      </c>
      <c r="J8" s="81" t="n">
        <f aca="false">'Segmental forecast'!J12</f>
        <v>-0.00967788530983682</v>
      </c>
      <c r="K8" s="81" t="n">
        <f aca="false">'Segmental forecast'!K12</f>
        <v>-0.00967788530983682</v>
      </c>
      <c r="L8" s="81" t="n">
        <f aca="false">'Segmental forecast'!L12</f>
        <v>-0.00967788530983682</v>
      </c>
      <c r="M8" s="81" t="n">
        <f aca="false">'Segmental forecast'!M12</f>
        <v>-0.00967788530983682</v>
      </c>
      <c r="N8" s="81" t="n">
        <f aca="false">'Segmental forecast'!N12</f>
        <v>-0.00967788530983682</v>
      </c>
    </row>
    <row r="9" customFormat="false" ht="13.8" hidden="false" customHeight="false" outlineLevel="0" collapsed="false">
      <c r="A9" s="52" t="s">
        <v>147</v>
      </c>
      <c r="B9" s="81" t="n">
        <f aca="false">'Segmental forecast'!B13</f>
        <v>0.138328812783896</v>
      </c>
      <c r="C9" s="81" t="n">
        <f aca="false">'Segmental forecast'!C13</f>
        <v>0.143377810723993</v>
      </c>
      <c r="D9" s="81" t="n">
        <f aca="false">'Segmental forecast'!D13</f>
        <v>0.143959243085881</v>
      </c>
      <c r="E9" s="81" t="n">
        <f aca="false">'Segmental forecast'!E13</f>
        <v>0.120312113635739</v>
      </c>
      <c r="F9" s="81" t="n">
        <f aca="false">'Segmental forecast'!F13</f>
        <v>0.123987013319017</v>
      </c>
      <c r="G9" s="81" t="n">
        <f aca="false">'Segmental forecast'!G13</f>
        <v>0.079565810229126</v>
      </c>
      <c r="H9" s="81" t="n">
        <f aca="false">'Segmental forecast'!H13</f>
        <v>0.155440298172347</v>
      </c>
      <c r="I9" s="81" t="n">
        <f aca="false">'Segmental forecast'!I13</f>
        <v>0.146777991864697</v>
      </c>
      <c r="J9" s="81" t="n">
        <f aca="false">'Segmental forecast'!J13</f>
        <v>0.138598414626984</v>
      </c>
      <c r="K9" s="81" t="n">
        <f aca="false">'Segmental forecast'!K13</f>
        <v>0.130874665152942</v>
      </c>
      <c r="L9" s="81" t="n">
        <f aca="false">'Segmental forecast'!L13</f>
        <v>0.123581341280075</v>
      </c>
      <c r="M9" s="81" t="n">
        <f aca="false">'Segmental forecast'!M13</f>
        <v>0.116694456446058</v>
      </c>
      <c r="N9" s="81" t="n">
        <f aca="false">'Segmental forecast'!N13</f>
        <v>0.110191360800811</v>
      </c>
    </row>
    <row r="10" customFormat="false" ht="13.8" hidden="false" customHeight="false" outlineLevel="0" collapsed="false">
      <c r="A10" s="5" t="s">
        <v>18</v>
      </c>
      <c r="B10" s="9" t="n">
        <f aca="false">Historicals!B8</f>
        <v>28</v>
      </c>
      <c r="C10" s="9" t="n">
        <f aca="false">Historicals!C8</f>
        <v>19</v>
      </c>
      <c r="D10" s="9" t="n">
        <f aca="false">Historicals!D8</f>
        <v>59</v>
      </c>
      <c r="E10" s="9" t="n">
        <f aca="false">Historicals!E8</f>
        <v>54</v>
      </c>
      <c r="F10" s="9" t="n">
        <f aca="false">Historicals!F8</f>
        <v>49</v>
      </c>
      <c r="G10" s="9" t="n">
        <f aca="false">Historicals!G8</f>
        <v>89</v>
      </c>
      <c r="H10" s="9" t="n">
        <f aca="false">Historicals!H8</f>
        <v>262</v>
      </c>
      <c r="I10" s="9" t="n">
        <f aca="false">Historicals!I8</f>
        <v>205</v>
      </c>
      <c r="J10" s="9" t="n">
        <f aca="false">I50</f>
        <v>290</v>
      </c>
      <c r="K10" s="9" t="n">
        <f aca="false">J50</f>
        <v>471.888</v>
      </c>
      <c r="L10" s="9" t="n">
        <f aca="false">K50</f>
        <v>434.364953595492</v>
      </c>
      <c r="M10" s="9" t="n">
        <f aca="false">L50</f>
        <v>390.995827739559</v>
      </c>
      <c r="N10" s="9" t="n">
        <f aca="false">M50</f>
        <v>342.788926597318</v>
      </c>
      <c r="O10" s="61" t="s">
        <v>172</v>
      </c>
    </row>
    <row r="11" customFormat="false" ht="13.8" hidden="false" customHeight="false" outlineLevel="0" collapsed="false">
      <c r="A11" s="20" t="s">
        <v>173</v>
      </c>
      <c r="B11" s="83" t="n">
        <v>4205</v>
      </c>
      <c r="C11" s="83" t="n">
        <v>4623</v>
      </c>
      <c r="D11" s="83" t="n">
        <v>4886</v>
      </c>
      <c r="E11" s="83" t="n">
        <v>4325</v>
      </c>
      <c r="F11" s="83" t="n">
        <v>4801</v>
      </c>
      <c r="G11" s="83" t="n">
        <v>2887</v>
      </c>
      <c r="H11" s="83" t="n">
        <v>6661</v>
      </c>
      <c r="I11" s="83" t="n">
        <v>6651</v>
      </c>
      <c r="J11" s="22" t="n">
        <f aca="false">0.95*J7</f>
        <v>6450.16599739997</v>
      </c>
      <c r="K11" s="22" t="n">
        <f aca="false">0.95*K7</f>
        <v>6387.74203064773</v>
      </c>
      <c r="L11" s="22" t="n">
        <f aca="false">0.95*L7</f>
        <v>6325.92219588629</v>
      </c>
      <c r="M11" s="22" t="n">
        <f aca="false">0.95*M7</f>
        <v>6264.70064639555</v>
      </c>
      <c r="N11" s="22" t="n">
        <f aca="false">0.95*N7</f>
        <v>6204.07159203928</v>
      </c>
      <c r="O11" s="4" t="s">
        <v>174</v>
      </c>
    </row>
    <row r="12" customFormat="false" ht="13.8" hidden="false" customHeight="false" outlineLevel="0" collapsed="false">
      <c r="A12" s="4" t="s">
        <v>21</v>
      </c>
      <c r="B12" s="9" t="n">
        <f aca="false">Historicals!B11</f>
        <v>932</v>
      </c>
      <c r="C12" s="9" t="n">
        <f aca="false">Historicals!C11</f>
        <v>863</v>
      </c>
      <c r="D12" s="9" t="n">
        <f aca="false">Historicals!D11</f>
        <v>646</v>
      </c>
      <c r="E12" s="9" t="n">
        <f aca="false">Historicals!E11</f>
        <v>2392</v>
      </c>
      <c r="F12" s="9" t="n">
        <f aca="false">Historicals!F11</f>
        <v>772</v>
      </c>
      <c r="G12" s="9" t="n">
        <f aca="false">Historicals!G11</f>
        <v>348</v>
      </c>
      <c r="H12" s="9" t="n">
        <f aca="false">Historicals!H11</f>
        <v>934</v>
      </c>
      <c r="I12" s="9" t="n">
        <f aca="false">Historicals!I11</f>
        <v>605</v>
      </c>
      <c r="J12" s="9" t="n">
        <f aca="false">J11*J13</f>
        <v>838.521579661996</v>
      </c>
      <c r="K12" s="9" t="n">
        <f aca="false">K11*K13</f>
        <v>830.406463984204</v>
      </c>
      <c r="L12" s="9" t="n">
        <f aca="false">L11*L13</f>
        <v>822.369885465218</v>
      </c>
      <c r="M12" s="9" t="n">
        <f aca="false">M11*M13</f>
        <v>814.411084031422</v>
      </c>
      <c r="N12" s="9" t="n">
        <f aca="false">N11*N13</f>
        <v>806.529306965106</v>
      </c>
      <c r="O12" s="4" t="s">
        <v>175</v>
      </c>
    </row>
    <row r="13" customFormat="false" ht="13.8" hidden="false" customHeight="false" outlineLevel="0" collapsed="false">
      <c r="A13" s="84" t="s">
        <v>176</v>
      </c>
      <c r="B13" s="85" t="n">
        <v>0.222</v>
      </c>
      <c r="C13" s="85" t="n">
        <v>0.187</v>
      </c>
      <c r="D13" s="85" t="n">
        <v>0.132</v>
      </c>
      <c r="E13" s="85" t="n">
        <v>0.553</v>
      </c>
      <c r="F13" s="85" t="n">
        <v>0.161</v>
      </c>
      <c r="G13" s="85" t="n">
        <v>0.121</v>
      </c>
      <c r="H13" s="85" t="n">
        <v>0.14</v>
      </c>
      <c r="I13" s="85" t="n">
        <v>0.091</v>
      </c>
      <c r="J13" s="86" t="n">
        <f aca="false">13%</f>
        <v>0.13</v>
      </c>
      <c r="K13" s="86" t="n">
        <f aca="false">J13</f>
        <v>0.13</v>
      </c>
      <c r="L13" s="86" t="n">
        <f aca="false">K13</f>
        <v>0.13</v>
      </c>
      <c r="M13" s="86" t="n">
        <f aca="false">L13</f>
        <v>0.13</v>
      </c>
      <c r="N13" s="86" t="n">
        <f aca="false">M13</f>
        <v>0.13</v>
      </c>
      <c r="O13" s="4" t="s">
        <v>177</v>
      </c>
    </row>
    <row r="14" customFormat="false" ht="13.8" hidden="false" customHeight="false" outlineLevel="0" collapsed="false">
      <c r="A14" s="23" t="s">
        <v>178</v>
      </c>
      <c r="B14" s="25" t="n">
        <f aca="false">Historicals!B12</f>
        <v>3273</v>
      </c>
      <c r="C14" s="25" t="n">
        <f aca="false">Historicals!C12</f>
        <v>3760</v>
      </c>
      <c r="D14" s="25" t="n">
        <f aca="false">Historicals!D12</f>
        <v>4240</v>
      </c>
      <c r="E14" s="25" t="n">
        <f aca="false">Historicals!E12</f>
        <v>1933</v>
      </c>
      <c r="F14" s="25" t="n">
        <f aca="false">Historicals!F12</f>
        <v>4029</v>
      </c>
      <c r="G14" s="25" t="n">
        <f aca="false">Historicals!G12</f>
        <v>2539</v>
      </c>
      <c r="H14" s="25" t="n">
        <f aca="false">Historicals!H12</f>
        <v>5727</v>
      </c>
      <c r="I14" s="25" t="n">
        <f aca="false">Historicals!I12</f>
        <v>6046</v>
      </c>
      <c r="J14" s="25" t="n">
        <f aca="false">0.85*J7</f>
        <v>5771.2011555684</v>
      </c>
      <c r="K14" s="25" t="n">
        <f aca="false">0.85*K7</f>
        <v>5715.34813268481</v>
      </c>
      <c r="L14" s="25" t="n">
        <f aca="false">0.85*L7</f>
        <v>5660.03564895089</v>
      </c>
      <c r="M14" s="25" t="n">
        <f aca="false">0.85*M7</f>
        <v>5605.25847309076</v>
      </c>
      <c r="N14" s="25" t="n">
        <f aca="false">0.85*N7</f>
        <v>5551.01142445619</v>
      </c>
      <c r="O14" s="4" t="s">
        <v>174</v>
      </c>
    </row>
    <row r="15" customFormat="false" ht="13.8" hidden="false" customHeight="false" outlineLevel="0" collapsed="false">
      <c r="A15" s="4" t="s">
        <v>179</v>
      </c>
      <c r="B15" s="9" t="n">
        <f aca="false">Historicals!B18</f>
        <v>1768.8</v>
      </c>
      <c r="C15" s="9" t="n">
        <f aca="false">Historicals!C18</f>
        <v>1742.5</v>
      </c>
      <c r="D15" s="9" t="n">
        <f aca="false">Historicals!D18</f>
        <v>1692</v>
      </c>
      <c r="E15" s="9" t="n">
        <f aca="false">Historicals!E18</f>
        <v>1659.1</v>
      </c>
      <c r="F15" s="9" t="n">
        <f aca="false">Historicals!F18</f>
        <v>1618.4</v>
      </c>
      <c r="G15" s="9" t="n">
        <f aca="false">Historicals!G18</f>
        <v>1591.6</v>
      </c>
      <c r="H15" s="9" t="n">
        <f aca="false">Historicals!H18</f>
        <v>1609.4</v>
      </c>
      <c r="I15" s="9" t="n">
        <f aca="false">Historicals!I18</f>
        <v>1610.8</v>
      </c>
      <c r="J15" s="9" t="n">
        <f aca="false">I15+(-I59/112.69)</f>
        <v>1646.41984204455</v>
      </c>
      <c r="K15" s="9" t="n">
        <f aca="false">J15+(-J59/112.69)</f>
        <v>1682.03968408909</v>
      </c>
      <c r="L15" s="9" t="n">
        <f aca="false">K15+(-K59/112.69)</f>
        <v>1717.65952613364</v>
      </c>
      <c r="M15" s="9" t="n">
        <f aca="false">L15+(-L59/112.69)</f>
        <v>1753.27936817819</v>
      </c>
      <c r="N15" s="9" t="n">
        <f aca="false">M15+(-M59/112.69)</f>
        <v>1788.89921022273</v>
      </c>
      <c r="O15" s="87"/>
    </row>
    <row r="16" customFormat="false" ht="13.8" hidden="false" customHeight="false" outlineLevel="0" collapsed="false">
      <c r="A16" s="4" t="s">
        <v>180</v>
      </c>
      <c r="B16" s="88" t="n">
        <f aca="false">Historicals!B14</f>
        <v>1.9</v>
      </c>
      <c r="C16" s="88" t="n">
        <f aca="false">Historicals!C14</f>
        <v>2.21</v>
      </c>
      <c r="D16" s="88" t="n">
        <f aca="false">Historicals!D14</f>
        <v>2.56</v>
      </c>
      <c r="E16" s="88" t="n">
        <f aca="false">Historicals!E14</f>
        <v>1.19</v>
      </c>
      <c r="F16" s="88" t="n">
        <f aca="false">Historicals!F14</f>
        <v>2.55</v>
      </c>
      <c r="G16" s="88" t="n">
        <f aca="false">Historicals!G14</f>
        <v>1.63</v>
      </c>
      <c r="H16" s="88" t="n">
        <f aca="false">Historicals!H14</f>
        <v>3.64</v>
      </c>
      <c r="I16" s="88" t="n">
        <f aca="false">Historicals!I14</f>
        <v>3.83</v>
      </c>
      <c r="J16" s="88" t="n">
        <f aca="false">(J14-J61)/J15</f>
        <v>4.73263316961262</v>
      </c>
      <c r="K16" s="88" t="n">
        <f aca="false">(K14-K61)/K15</f>
        <v>4.71934057666641</v>
      </c>
      <c r="L16" s="88" t="n">
        <f aca="false">(L14-L61)/L15</f>
        <v>4.71867825121024</v>
      </c>
      <c r="M16" s="88" t="n">
        <f aca="false">(M14-M61)/M15</f>
        <v>4.73102594123936</v>
      </c>
      <c r="N16" s="88" t="n">
        <f aca="false">(N14-N61)/N15</f>
        <v>4.75684613522563</v>
      </c>
    </row>
    <row r="17" customFormat="false" ht="13.8" hidden="false" customHeight="false" outlineLevel="0" collapsed="false">
      <c r="A17" s="4" t="s">
        <v>181</v>
      </c>
      <c r="B17" s="88" t="n">
        <f aca="false">Historicals!B15</f>
        <v>1.85</v>
      </c>
      <c r="C17" s="88" t="n">
        <f aca="false">Historicals!C15</f>
        <v>2.16</v>
      </c>
      <c r="D17" s="88" t="n">
        <f aca="false">Historicals!D15</f>
        <v>2.51</v>
      </c>
      <c r="E17" s="88" t="n">
        <f aca="false">Historicals!E15</f>
        <v>1.17</v>
      </c>
      <c r="F17" s="88" t="n">
        <f aca="false">Historicals!F15</f>
        <v>2.49</v>
      </c>
      <c r="G17" s="88" t="n">
        <f aca="false">Historicals!G15</f>
        <v>1.6</v>
      </c>
      <c r="H17" s="88" t="n">
        <f aca="false">Historicals!H15</f>
        <v>3.56</v>
      </c>
      <c r="I17" s="88" t="n">
        <f aca="false">Historicals!I15</f>
        <v>3.75</v>
      </c>
      <c r="J17" s="88" t="n">
        <f aca="false">-J61/J15</f>
        <v>1.22732971772903</v>
      </c>
      <c r="K17" s="88" t="n">
        <f aca="false">-K61/K15</f>
        <v>1.32147298367918</v>
      </c>
      <c r="L17" s="88" t="n">
        <f aca="false">-L61/L15</f>
        <v>1.42347593501471</v>
      </c>
      <c r="M17" s="88" t="n">
        <f aca="false">-M61/M15</f>
        <v>1.534012062661</v>
      </c>
      <c r="N17" s="88" t="n">
        <f aca="false">-N61/N15</f>
        <v>1.65381417415442</v>
      </c>
      <c r="O17" s="4" t="s">
        <v>182</v>
      </c>
    </row>
    <row r="18" customFormat="false" ht="13.8" hidden="false" customHeight="false" outlineLevel="0" collapsed="false">
      <c r="A18" s="84" t="s">
        <v>144</v>
      </c>
      <c r="B18" s="81" t="str">
        <f aca="false">IFERROR(B17/A17-1,"nm")</f>
        <v>nm</v>
      </c>
      <c r="C18" s="81" t="n">
        <f aca="false">C17/B17-1</f>
        <v>0.167567567567568</v>
      </c>
      <c r="D18" s="81" t="n">
        <f aca="false">D17/C17-1</f>
        <v>0.162037037037037</v>
      </c>
      <c r="E18" s="81" t="n">
        <f aca="false">E17/D17-1</f>
        <v>-0.533864541832669</v>
      </c>
      <c r="F18" s="81" t="n">
        <f aca="false">F17/E17-1</f>
        <v>1.12820512820513</v>
      </c>
      <c r="G18" s="81" t="n">
        <f aca="false">G17/F17-1</f>
        <v>-0.357429718875502</v>
      </c>
      <c r="H18" s="81" t="n">
        <f aca="false">H17/G17-1</f>
        <v>1.225</v>
      </c>
      <c r="I18" s="81" t="n">
        <f aca="false">I17/H17-1</f>
        <v>0.053370786516854</v>
      </c>
      <c r="J18" s="81" t="n">
        <f aca="false">J17/I17-1</f>
        <v>-0.67271207527226</v>
      </c>
      <c r="K18" s="81" t="n">
        <f aca="false">K17/J17-1</f>
        <v>0.0767057658510475</v>
      </c>
      <c r="L18" s="81" t="n">
        <f aca="false">L17/K17-1</f>
        <v>0.0771888283720594</v>
      </c>
      <c r="M18" s="81" t="n">
        <f aca="false">M17/L17-1</f>
        <v>0.0776522629763705</v>
      </c>
      <c r="N18" s="81" t="n">
        <f aca="false">N17/M17-1</f>
        <v>0.0780972421335449</v>
      </c>
      <c r="O18" s="4" t="s">
        <v>183</v>
      </c>
    </row>
    <row r="19" customFormat="false" ht="13.8" hidden="false" customHeight="false" outlineLevel="0" collapsed="false">
      <c r="A19" s="84" t="s">
        <v>184</v>
      </c>
      <c r="B19" s="81" t="n">
        <f aca="false">-B61/B14</f>
        <v>0.274671555148182</v>
      </c>
      <c r="C19" s="81" t="n">
        <f aca="false">-C61/C14</f>
        <v>0.271808510638298</v>
      </c>
      <c r="D19" s="81" t="n">
        <f aca="false">-D61/D14</f>
        <v>0.267216981132075</v>
      </c>
      <c r="E19" s="81" t="n">
        <f aca="false">-E61/E14</f>
        <v>0.643041903776513</v>
      </c>
      <c r="F19" s="81" t="n">
        <f aca="false">-F61/F14</f>
        <v>0.33060312732688</v>
      </c>
      <c r="G19" s="81" t="n">
        <f aca="false">-G61/G14</f>
        <v>0.571878692398582</v>
      </c>
      <c r="H19" s="81" t="n">
        <f aca="false">-H61/H14</f>
        <v>0.286013619696176</v>
      </c>
      <c r="I19" s="81" t="n">
        <f aca="false">-I61/I14</f>
        <v>0.303837247767119</v>
      </c>
      <c r="J19" s="81" t="n">
        <f aca="false">-J61/J14</f>
        <v>0.35013508375987</v>
      </c>
      <c r="K19" s="81" t="n">
        <f aca="false">-K61/K14</f>
        <v>0.38891244214652</v>
      </c>
      <c r="L19" s="81" t="n">
        <f aca="false">-L61/L14</f>
        <v>0.431984381662543</v>
      </c>
      <c r="M19" s="81" t="n">
        <f aca="false">-M61/M14</f>
        <v>0.479826525915222</v>
      </c>
      <c r="N19" s="81" t="n">
        <f aca="false">-N61/N14</f>
        <v>0.532967173687601</v>
      </c>
      <c r="O19" s="4" t="s">
        <v>185</v>
      </c>
    </row>
    <row r="20" customFormat="false" ht="14.25" hidden="false" customHeight="false" outlineLevel="0" collapsed="false">
      <c r="A20" s="89" t="s">
        <v>186</v>
      </c>
      <c r="B20" s="49"/>
      <c r="C20" s="49"/>
      <c r="D20" s="49"/>
      <c r="E20" s="49"/>
      <c r="F20" s="49"/>
      <c r="G20" s="49"/>
      <c r="H20" s="49"/>
      <c r="I20" s="49"/>
      <c r="J20" s="49"/>
      <c r="K20" s="49"/>
      <c r="L20" s="49"/>
      <c r="M20" s="49"/>
      <c r="N20" s="49"/>
    </row>
    <row r="21" customFormat="false" ht="13.8" hidden="false" customHeight="false" outlineLevel="0" collapsed="false">
      <c r="A21" s="4" t="s">
        <v>187</v>
      </c>
      <c r="B21" s="9" t="n">
        <f aca="false">Historicals!B25</f>
        <v>3852</v>
      </c>
      <c r="C21" s="9" t="n">
        <f aca="false">Historicals!C25</f>
        <v>3138</v>
      </c>
      <c r="D21" s="9" t="n">
        <f aca="false">Historicals!D25</f>
        <v>3808</v>
      </c>
      <c r="E21" s="9" t="n">
        <f aca="false">Historicals!E25</f>
        <v>4249</v>
      </c>
      <c r="F21" s="9" t="n">
        <f aca="false">Historicals!F25</f>
        <v>4466</v>
      </c>
      <c r="G21" s="9" t="n">
        <f aca="false">Historicals!G25</f>
        <v>8348</v>
      </c>
      <c r="H21" s="9" t="n">
        <f aca="false">Historicals!H25</f>
        <v>9889</v>
      </c>
      <c r="I21" s="9" t="n">
        <f aca="false">Historicals!I25</f>
        <v>8574</v>
      </c>
      <c r="J21" s="9" t="n">
        <f aca="false">J68</f>
        <v>9020.30684456966</v>
      </c>
      <c r="K21" s="9" t="n">
        <f aca="false">K68</f>
        <v>9696.30478501224</v>
      </c>
      <c r="L21" s="9" t="n">
        <f aca="false">L68</f>
        <v>10559.3703722967</v>
      </c>
      <c r="M21" s="9" t="n">
        <f aca="false">M68</f>
        <v>11624.5481014938</v>
      </c>
      <c r="N21" s="9" t="n">
        <f aca="false">N68</f>
        <v>12931.3509208775</v>
      </c>
      <c r="O21" s="4" t="s">
        <v>188</v>
      </c>
    </row>
    <row r="22" customFormat="false" ht="13.8" hidden="false" customHeight="false" outlineLevel="0" collapsed="false">
      <c r="A22" s="4" t="s">
        <v>189</v>
      </c>
      <c r="B22" s="9" t="n">
        <f aca="false">Historicals!B26</f>
        <v>2072</v>
      </c>
      <c r="C22" s="9" t="n">
        <f aca="false">Historicals!C26</f>
        <v>2319</v>
      </c>
      <c r="D22" s="9" t="n">
        <f aca="false">Historicals!D26</f>
        <v>2371</v>
      </c>
      <c r="E22" s="9" t="n">
        <f aca="false">Historicals!E26</f>
        <v>996</v>
      </c>
      <c r="F22" s="9" t="n">
        <f aca="false">Historicals!F26</f>
        <v>197</v>
      </c>
      <c r="G22" s="9" t="n">
        <f aca="false">Historicals!G26</f>
        <v>439</v>
      </c>
      <c r="H22" s="9" t="n">
        <f aca="false">Historicals!H26</f>
        <v>3587</v>
      </c>
      <c r="I22" s="9" t="n">
        <f aca="false">Historicals!I26</f>
        <v>4423</v>
      </c>
      <c r="J22" s="9" t="n">
        <f aca="false">I22</f>
        <v>4423</v>
      </c>
      <c r="K22" s="9" t="n">
        <f aca="false">J22</f>
        <v>4423</v>
      </c>
      <c r="L22" s="9" t="n">
        <f aca="false">K22</f>
        <v>4423</v>
      </c>
      <c r="M22" s="9" t="n">
        <f aca="false">L22</f>
        <v>4423</v>
      </c>
      <c r="N22" s="9" t="n">
        <f aca="false">M22</f>
        <v>4423</v>
      </c>
    </row>
    <row r="23" customFormat="false" ht="13.8" hidden="false" customHeight="false" outlineLevel="0" collapsed="false">
      <c r="A23" s="4" t="s">
        <v>190</v>
      </c>
      <c r="B23" s="9" t="n">
        <f aca="false">Historicals!B27+Historicals!B28-Historicals!B41</f>
        <v>5564</v>
      </c>
      <c r="C23" s="9" t="n">
        <f aca="false">Historicals!C27+Historicals!C28-Historicals!C41</f>
        <v>5888</v>
      </c>
      <c r="D23" s="9" t="n">
        <f aca="false">Historicals!D27+Historicals!D28-Historicals!D41</f>
        <v>6684</v>
      </c>
      <c r="E23" s="9" t="n">
        <f aca="false">Historicals!E27+Historicals!E28-Historicals!E41</f>
        <v>6480</v>
      </c>
      <c r="F23" s="9" t="n">
        <f aca="false">Historicals!F27+Historicals!F28-Historicals!F41</f>
        <v>7282</v>
      </c>
      <c r="G23" s="9" t="n">
        <f aca="false">Historicals!G27+Historicals!G28-Historicals!G41</f>
        <v>7868</v>
      </c>
      <c r="H23" s="9" t="n">
        <f aca="false">Historicals!H27+Historicals!H28-Historicals!H41</f>
        <v>8481</v>
      </c>
      <c r="I23" s="9" t="n">
        <f aca="false">Historicals!I27+Historicals!I28-Historicals!I41</f>
        <v>9729</v>
      </c>
      <c r="J23" s="9" t="n">
        <f aca="false">J3*0.19</f>
        <v>9307.70530782702</v>
      </c>
      <c r="K23" s="9" t="n">
        <f aca="false">K3*0.19</f>
        <v>9761.61738130586</v>
      </c>
      <c r="L23" s="9" t="n">
        <f aca="false">L3*0.19</f>
        <v>10237.6655413534</v>
      </c>
      <c r="M23" s="9" t="n">
        <f aca="false">M3*0.19</f>
        <v>10736.9293061345</v>
      </c>
      <c r="N23" s="9" t="n">
        <f aca="false">N3*0.19</f>
        <v>11260.5408390485</v>
      </c>
      <c r="O23" s="4" t="s">
        <v>191</v>
      </c>
    </row>
    <row r="24" customFormat="false" ht="13.8" hidden="false" customHeight="false" outlineLevel="0" collapsed="false">
      <c r="A24" s="84" t="s">
        <v>192</v>
      </c>
      <c r="B24" s="81" t="n">
        <f aca="false">B23/B3</f>
        <v>0.18182412339466</v>
      </c>
      <c r="C24" s="81" t="n">
        <f aca="false">C23/C3</f>
        <v>0.181863108475414</v>
      </c>
      <c r="D24" s="81" t="n">
        <f aca="false">D23/D3</f>
        <v>0.194585152838428</v>
      </c>
      <c r="E24" s="81" t="n">
        <f aca="false">E23/E3</f>
        <v>0.178036651372366</v>
      </c>
      <c r="F24" s="81" t="n">
        <f aca="false">F23/F3</f>
        <v>0.186159470307028</v>
      </c>
      <c r="G24" s="81" t="n">
        <f aca="false">G23/G3</f>
        <v>0.210357457957918</v>
      </c>
      <c r="H24" s="81" t="n">
        <f aca="false">H23/H3</f>
        <v>0.190421662400647</v>
      </c>
      <c r="I24" s="81" t="n">
        <f aca="false">I23/I3</f>
        <v>0.208285163776493</v>
      </c>
      <c r="J24" s="81" t="n">
        <f aca="false">J23/J3</f>
        <v>0.19</v>
      </c>
      <c r="K24" s="81" t="n">
        <f aca="false">K23/K3</f>
        <v>0.19</v>
      </c>
      <c r="L24" s="81" t="n">
        <f aca="false">L23/L3</f>
        <v>0.19</v>
      </c>
      <c r="M24" s="81" t="n">
        <f aca="false">M23/M3</f>
        <v>0.19</v>
      </c>
      <c r="N24" s="81" t="n">
        <f aca="false">N23/N3</f>
        <v>0.19</v>
      </c>
    </row>
    <row r="25" customFormat="false" ht="13.8" hidden="false" customHeight="false" outlineLevel="0" collapsed="false">
      <c r="A25" s="4" t="s">
        <v>193</v>
      </c>
      <c r="B25" s="9" t="n">
        <f aca="false">Historicals!B29</f>
        <v>1968</v>
      </c>
      <c r="C25" s="9" t="n">
        <f aca="false">Historicals!C29</f>
        <v>1489</v>
      </c>
      <c r="D25" s="9" t="n">
        <f aca="false">Historicals!D29</f>
        <v>1150</v>
      </c>
      <c r="E25" s="9" t="n">
        <f aca="false">Historicals!E29</f>
        <v>1130</v>
      </c>
      <c r="F25" s="9" t="n">
        <f aca="false">Historicals!F29</f>
        <v>1968</v>
      </c>
      <c r="G25" s="9" t="n">
        <f aca="false">Historicals!G29</f>
        <v>1653</v>
      </c>
      <c r="H25" s="9" t="n">
        <f aca="false">Historicals!H29</f>
        <v>1498</v>
      </c>
      <c r="I25" s="9" t="n">
        <f aca="false">Historicals!I29</f>
        <v>2129</v>
      </c>
      <c r="J25" s="9" t="n">
        <f aca="false">I25*0.9</f>
        <v>1916.1</v>
      </c>
      <c r="K25" s="9" t="n">
        <f aca="false">J25*0.9</f>
        <v>1724.49</v>
      </c>
      <c r="L25" s="9" t="n">
        <f aca="false">K25*0.9</f>
        <v>1552.041</v>
      </c>
      <c r="M25" s="9" t="n">
        <f aca="false">L25*0.9</f>
        <v>1396.8369</v>
      </c>
      <c r="N25" s="9" t="n">
        <f aca="false">M25*0.9</f>
        <v>1257.15321</v>
      </c>
    </row>
    <row r="26" customFormat="false" ht="13.8" hidden="false" customHeight="false" outlineLevel="0" collapsed="false">
      <c r="A26" s="4" t="s">
        <v>194</v>
      </c>
      <c r="B26" s="9" t="n">
        <f aca="false">Historicals!B31</f>
        <v>3011</v>
      </c>
      <c r="C26" s="9" t="n">
        <f aca="false">Historicals!C31</f>
        <v>3520</v>
      </c>
      <c r="D26" s="9" t="n">
        <f aca="false">Historicals!D31</f>
        <v>3989</v>
      </c>
      <c r="E26" s="9" t="n">
        <f aca="false">Historicals!E31</f>
        <v>4454</v>
      </c>
      <c r="F26" s="9" t="n">
        <f aca="false">Historicals!F31</f>
        <v>4744</v>
      </c>
      <c r="G26" s="9" t="n">
        <f aca="false">Historicals!G31</f>
        <v>4866</v>
      </c>
      <c r="H26" s="9" t="n">
        <f aca="false">Historicals!H31</f>
        <v>4904</v>
      </c>
      <c r="I26" s="9" t="n">
        <f aca="false">Historicals!I31</f>
        <v>4791</v>
      </c>
      <c r="J26" s="9" t="n">
        <f aca="false">I26*1.1</f>
        <v>5270.1</v>
      </c>
      <c r="K26" s="9" t="n">
        <f aca="false">J26*1.1</f>
        <v>5797.11</v>
      </c>
      <c r="L26" s="9" t="n">
        <f aca="false">K26*1.1</f>
        <v>6376.821</v>
      </c>
      <c r="M26" s="9" t="n">
        <f aca="false">L26*1.1</f>
        <v>7014.5031</v>
      </c>
      <c r="N26" s="9" t="n">
        <f aca="false">M26*1.1</f>
        <v>7715.95341</v>
      </c>
    </row>
    <row r="27" customFormat="false" ht="91.2" hidden="false" customHeight="false" outlineLevel="0" collapsed="false">
      <c r="A27" s="4" t="s">
        <v>195</v>
      </c>
      <c r="B27" s="9" t="n">
        <f aca="false">Historicals!B33</f>
        <v>281</v>
      </c>
      <c r="C27" s="9" t="n">
        <f aca="false">Historicals!C33</f>
        <v>281</v>
      </c>
      <c r="D27" s="9" t="n">
        <f aca="false">Historicals!D33</f>
        <v>283</v>
      </c>
      <c r="E27" s="9" t="n">
        <f aca="false">Historicals!E33</f>
        <v>285</v>
      </c>
      <c r="F27" s="9" t="n">
        <f aca="false">Historicals!F33</f>
        <v>283</v>
      </c>
      <c r="G27" s="9" t="n">
        <f aca="false">Historicals!G33</f>
        <v>274</v>
      </c>
      <c r="H27" s="9" t="n">
        <f aca="false">Historicals!H33</f>
        <v>269</v>
      </c>
      <c r="I27" s="9" t="n">
        <f aca="false">Historicals!I33</f>
        <v>286</v>
      </c>
      <c r="J27" s="9" t="n">
        <f aca="false">I27</f>
        <v>286</v>
      </c>
      <c r="K27" s="9" t="n">
        <f aca="false">J27</f>
        <v>286</v>
      </c>
      <c r="L27" s="9" t="n">
        <f aca="false">K27</f>
        <v>286</v>
      </c>
      <c r="M27" s="9" t="n">
        <f aca="false">L27</f>
        <v>286</v>
      </c>
      <c r="N27" s="9" t="n">
        <f aca="false">M27</f>
        <v>286</v>
      </c>
      <c r="O27" s="90" t="s">
        <v>196</v>
      </c>
    </row>
    <row r="28" customFormat="false" ht="13.8" hidden="false" customHeight="false" outlineLevel="0" collapsed="false">
      <c r="A28" s="4" t="s">
        <v>43</v>
      </c>
      <c r="B28" s="9" t="n">
        <f aca="false">Historicals!B34</f>
        <v>131</v>
      </c>
      <c r="C28" s="9" t="n">
        <f aca="false">Historicals!C34</f>
        <v>131</v>
      </c>
      <c r="D28" s="9" t="n">
        <f aca="false">Historicals!D34</f>
        <v>139</v>
      </c>
      <c r="E28" s="9" t="n">
        <f aca="false">Historicals!E34</f>
        <v>154</v>
      </c>
      <c r="F28" s="9" t="n">
        <f aca="false">Historicals!F34</f>
        <v>154</v>
      </c>
      <c r="G28" s="9" t="n">
        <f aca="false">Historicals!G34</f>
        <v>223</v>
      </c>
      <c r="H28" s="9" t="n">
        <f aca="false">Historicals!H34</f>
        <v>242</v>
      </c>
      <c r="I28" s="9" t="n">
        <f aca="false">Historicals!I34</f>
        <v>284</v>
      </c>
      <c r="J28" s="9" t="n">
        <f aca="false">I28</f>
        <v>284</v>
      </c>
      <c r="K28" s="9" t="n">
        <f aca="false">J28</f>
        <v>284</v>
      </c>
      <c r="L28" s="9" t="n">
        <f aca="false">K28</f>
        <v>284</v>
      </c>
      <c r="M28" s="9" t="n">
        <f aca="false">L28</f>
        <v>284</v>
      </c>
      <c r="N28" s="9" t="n">
        <f aca="false">M28</f>
        <v>284</v>
      </c>
    </row>
    <row r="29" customFormat="false" ht="13.8" hidden="false" customHeight="false" outlineLevel="0" collapsed="false">
      <c r="A29" s="91" t="s">
        <v>41</v>
      </c>
      <c r="B29" s="9" t="n">
        <f aca="false">Historicals!B32</f>
        <v>3</v>
      </c>
      <c r="C29" s="9" t="n">
        <f aca="false">Historicals!C32</f>
        <v>0</v>
      </c>
      <c r="D29" s="9" t="n">
        <f aca="false">Historicals!D32</f>
        <v>0</v>
      </c>
      <c r="E29" s="9" t="n">
        <f aca="false">Historicals!E32</f>
        <v>0</v>
      </c>
      <c r="F29" s="9" t="n">
        <f aca="false">Historicals!F32</f>
        <v>0</v>
      </c>
      <c r="G29" s="9" t="n">
        <f aca="false">Historicals!G32</f>
        <v>3097</v>
      </c>
      <c r="H29" s="9" t="n">
        <f aca="false">Historicals!H32</f>
        <v>3113</v>
      </c>
      <c r="I29" s="9" t="n">
        <f aca="false">Historicals!I32</f>
        <v>2926</v>
      </c>
      <c r="J29" s="9" t="n">
        <f aca="false">I29</f>
        <v>2926</v>
      </c>
      <c r="K29" s="9" t="n">
        <f aca="false">J29</f>
        <v>2926</v>
      </c>
      <c r="L29" s="9" t="n">
        <f aca="false">K29</f>
        <v>2926</v>
      </c>
      <c r="M29" s="9" t="n">
        <f aca="false">L29</f>
        <v>2926</v>
      </c>
      <c r="N29" s="9" t="n">
        <f aca="false">M29</f>
        <v>2926</v>
      </c>
    </row>
    <row r="30" customFormat="false" ht="13.8" hidden="false" customHeight="false" outlineLevel="0" collapsed="false">
      <c r="A30" s="4" t="s">
        <v>197</v>
      </c>
      <c r="B30" s="9" t="n">
        <f aca="false">Historicals!B35</f>
        <v>2587</v>
      </c>
      <c r="C30" s="9" t="n">
        <f aca="false">Historicals!C35</f>
        <v>2439</v>
      </c>
      <c r="D30" s="9" t="n">
        <f aca="false">Historicals!D35</f>
        <v>2787</v>
      </c>
      <c r="E30" s="9" t="n">
        <f aca="false">Historicals!E35</f>
        <v>2509</v>
      </c>
      <c r="F30" s="9" t="n">
        <f aca="false">Historicals!F35</f>
        <v>2011</v>
      </c>
      <c r="G30" s="9" t="n">
        <f aca="false">Historicals!G35</f>
        <v>2326</v>
      </c>
      <c r="H30" s="9" t="n">
        <f aca="false">Historicals!H35</f>
        <v>2921</v>
      </c>
      <c r="I30" s="9" t="n">
        <f aca="false">Historicals!I35</f>
        <v>3821</v>
      </c>
      <c r="J30" s="9" t="n">
        <f aca="false">I30</f>
        <v>3821</v>
      </c>
      <c r="K30" s="9" t="n">
        <f aca="false">J30</f>
        <v>3821</v>
      </c>
      <c r="L30" s="9" t="n">
        <f aca="false">K30</f>
        <v>3821</v>
      </c>
      <c r="M30" s="9" t="n">
        <f aca="false">L30</f>
        <v>3821</v>
      </c>
      <c r="N30" s="9" t="n">
        <f aca="false">M30</f>
        <v>3821</v>
      </c>
    </row>
    <row r="31" customFormat="false" ht="13.8" hidden="false" customHeight="false" outlineLevel="0" collapsed="false">
      <c r="A31" s="23" t="s">
        <v>198</v>
      </c>
      <c r="B31" s="25" t="n">
        <f aca="false">SUM(B21:B23)+SUM(B25:B30)</f>
        <v>19469</v>
      </c>
      <c r="C31" s="25" t="n">
        <f aca="false">SUM(C21:C23)+SUM(C25:C30)</f>
        <v>19205</v>
      </c>
      <c r="D31" s="25" t="n">
        <f aca="false">SUM(D21:D23)+SUM(D25:D30)</f>
        <v>21211</v>
      </c>
      <c r="E31" s="25" t="n">
        <f aca="false">SUM(E21:E23)+SUM(E25:E30)</f>
        <v>20257</v>
      </c>
      <c r="F31" s="25" t="n">
        <f aca="false">SUM(F21:F23)+SUM(F25:F30)</f>
        <v>21105</v>
      </c>
      <c r="G31" s="25" t="n">
        <f aca="false">SUM(G21:G23)+SUM(G25:G30)</f>
        <v>29094</v>
      </c>
      <c r="H31" s="25" t="n">
        <f aca="false">SUM(H21:H23)+SUM(H25:H30)</f>
        <v>34904</v>
      </c>
      <c r="I31" s="25" t="n">
        <f aca="false">SUM(I21:I23)+SUM(I25:I30)</f>
        <v>36963</v>
      </c>
      <c r="J31" s="25" t="n">
        <f aca="false">I31+J52-J6</f>
        <v>37103.5258502916</v>
      </c>
      <c r="K31" s="25" t="n">
        <f aca="false">J31+K52-K6</f>
        <v>37290.1517458975</v>
      </c>
      <c r="L31" s="25" t="n">
        <f aca="false">K31+L52-L6</f>
        <v>37522.499259425</v>
      </c>
      <c r="M31" s="25" t="n">
        <f aca="false">L31+M52-M6</f>
        <v>37800.2364289237</v>
      </c>
      <c r="N31" s="25" t="n">
        <f aca="false">M31+N52-N6</f>
        <v>38123.076899255</v>
      </c>
    </row>
    <row r="32" customFormat="false" ht="15" hidden="false" customHeight="false" outlineLevel="0" collapsed="false">
      <c r="A32" s="4" t="s">
        <v>199</v>
      </c>
      <c r="B32" s="9"/>
      <c r="C32" s="9"/>
      <c r="D32" s="9"/>
      <c r="E32" s="9"/>
      <c r="F32" s="9"/>
      <c r="G32" s="9"/>
      <c r="H32" s="9"/>
      <c r="I32" s="9"/>
      <c r="J32" s="9"/>
      <c r="K32" s="9"/>
      <c r="L32" s="9"/>
      <c r="M32" s="9"/>
      <c r="N32" s="9"/>
    </row>
    <row r="33" customFormat="false" ht="68.8" hidden="false" customHeight="false" outlineLevel="0" collapsed="false">
      <c r="A33" s="5" t="s">
        <v>48</v>
      </c>
      <c r="B33" s="9" t="n">
        <f aca="false">Historicals!B39</f>
        <v>107</v>
      </c>
      <c r="C33" s="9" t="n">
        <f aca="false">Historicals!C39</f>
        <v>44</v>
      </c>
      <c r="D33" s="9" t="n">
        <f aca="false">Historicals!D39</f>
        <v>6</v>
      </c>
      <c r="E33" s="9" t="n">
        <f aca="false">Historicals!E39</f>
        <v>6</v>
      </c>
      <c r="F33" s="9" t="n">
        <f aca="false">Historicals!F39</f>
        <v>6</v>
      </c>
      <c r="G33" s="9" t="n">
        <f aca="false">Historicals!G39</f>
        <v>3</v>
      </c>
      <c r="H33" s="9" t="n">
        <f aca="false">Historicals!H39</f>
        <v>0</v>
      </c>
      <c r="I33" s="9" t="n">
        <f aca="false">Historicals!I39</f>
        <v>500</v>
      </c>
      <c r="J33" s="9" t="n">
        <f aca="false">0.7*I33</f>
        <v>350</v>
      </c>
      <c r="K33" s="9" t="n">
        <f aca="false">0.7*J33</f>
        <v>245</v>
      </c>
      <c r="L33" s="9" t="n">
        <f aca="false">0.7*K33</f>
        <v>171.5</v>
      </c>
      <c r="M33" s="9" t="n">
        <f aca="false">0.7*L33</f>
        <v>120.05</v>
      </c>
      <c r="N33" s="9" t="n">
        <f aca="false">0.7*M33</f>
        <v>84.035</v>
      </c>
      <c r="O33" s="90" t="s">
        <v>200</v>
      </c>
    </row>
    <row r="34" customFormat="false" ht="13.8" hidden="false" customHeight="false" outlineLevel="0" collapsed="false">
      <c r="A34" s="5" t="s">
        <v>49</v>
      </c>
      <c r="B34" s="9" t="n">
        <f aca="false">Historicals!B40</f>
        <v>74</v>
      </c>
      <c r="C34" s="9" t="n">
        <f aca="false">Historicals!C40</f>
        <v>1</v>
      </c>
      <c r="D34" s="9" t="n">
        <f aca="false">Historicals!D40</f>
        <v>325</v>
      </c>
      <c r="E34" s="9" t="n">
        <f aca="false">Historicals!E40</f>
        <v>336</v>
      </c>
      <c r="F34" s="9" t="n">
        <f aca="false">Historicals!F40</f>
        <v>9</v>
      </c>
      <c r="G34" s="9" t="n">
        <f aca="false">Historicals!G40</f>
        <v>248</v>
      </c>
      <c r="H34" s="9" t="n">
        <f aca="false">Historicals!H40</f>
        <v>2</v>
      </c>
      <c r="I34" s="9" t="n">
        <f aca="false">Historicals!I40</f>
        <v>10</v>
      </c>
      <c r="J34" s="9" t="n">
        <f aca="false">I34</f>
        <v>10</v>
      </c>
      <c r="K34" s="9" t="n">
        <f aca="false">J34</f>
        <v>10</v>
      </c>
      <c r="L34" s="9" t="n">
        <f aca="false">K34</f>
        <v>10</v>
      </c>
      <c r="M34" s="9" t="n">
        <f aca="false">L34</f>
        <v>10</v>
      </c>
      <c r="N34" s="9" t="n">
        <f aca="false">M34</f>
        <v>10</v>
      </c>
      <c r="O34" s="4" t="s">
        <v>201</v>
      </c>
    </row>
    <row r="35" customFormat="false" ht="13.8" hidden="false" customHeight="false" outlineLevel="0" collapsed="false">
      <c r="A35" s="4" t="s">
        <v>202</v>
      </c>
      <c r="B35" s="9" t="n">
        <f aca="false">SUM(Historicals!B42:B44)</f>
        <v>4020</v>
      </c>
      <c r="C35" s="9" t="n">
        <f aca="false">SUM(Historicals!C42:C44)</f>
        <v>3122</v>
      </c>
      <c r="D35" s="9" t="n">
        <f aca="false">SUM(Historicals!D42:D44)</f>
        <v>3095</v>
      </c>
      <c r="E35" s="9" t="n">
        <f aca="false">SUM(Historicals!E42:E44)</f>
        <v>3419</v>
      </c>
      <c r="F35" s="9" t="n">
        <f aca="false">SUM(Historicals!F42:F44)</f>
        <v>5239</v>
      </c>
      <c r="G35" s="9" t="n">
        <f aca="false">SUM(Historicals!G42:G44)</f>
        <v>5785</v>
      </c>
      <c r="H35" s="9" t="n">
        <f aca="false">SUM(Historicals!H42:H44)</f>
        <v>6836</v>
      </c>
      <c r="I35" s="9" t="n">
        <f aca="false">SUM(Historicals!I42:I44)</f>
        <v>6862</v>
      </c>
      <c r="J35" s="9" t="n">
        <f aca="false">I35</f>
        <v>6862</v>
      </c>
      <c r="K35" s="9" t="n">
        <f aca="false">J35</f>
        <v>6862</v>
      </c>
      <c r="L35" s="9" t="n">
        <f aca="false">K35</f>
        <v>6862</v>
      </c>
      <c r="M35" s="9" t="n">
        <f aca="false">L35</f>
        <v>6862</v>
      </c>
      <c r="N35" s="9" t="n">
        <f aca="false">M35</f>
        <v>6862</v>
      </c>
    </row>
    <row r="36" customFormat="false" ht="68.65" hidden="false" customHeight="false" outlineLevel="0" collapsed="false">
      <c r="A36" s="4" t="s">
        <v>55</v>
      </c>
      <c r="B36" s="9" t="n">
        <f aca="false">Historicals!B46</f>
        <v>1079</v>
      </c>
      <c r="C36" s="9" t="n">
        <f aca="false">Historicals!C46</f>
        <v>2010</v>
      </c>
      <c r="D36" s="9" t="n">
        <f aca="false">Historicals!D46</f>
        <v>3471</v>
      </c>
      <c r="E36" s="9" t="n">
        <f aca="false">Historicals!E46</f>
        <v>3468</v>
      </c>
      <c r="F36" s="9" t="n">
        <f aca="false">Historicals!F46</f>
        <v>3464</v>
      </c>
      <c r="G36" s="9" t="n">
        <f aca="false">Historicals!G46</f>
        <v>9406</v>
      </c>
      <c r="H36" s="9" t="n">
        <f aca="false">Historicals!H46</f>
        <v>9413</v>
      </c>
      <c r="I36" s="9" t="n">
        <f aca="false">Historicals!I46</f>
        <v>8920</v>
      </c>
      <c r="J36" s="9" t="n">
        <f aca="false">0.95*I36</f>
        <v>8474</v>
      </c>
      <c r="K36" s="9" t="n">
        <f aca="false">0.95*J36</f>
        <v>8050.3</v>
      </c>
      <c r="L36" s="9" t="n">
        <f aca="false">0.95*K36</f>
        <v>7647.785</v>
      </c>
      <c r="M36" s="9" t="n">
        <f aca="false">0.95*L36</f>
        <v>7265.39575</v>
      </c>
      <c r="N36" s="9" t="n">
        <f aca="false">0.95*M36</f>
        <v>6902.1259625</v>
      </c>
      <c r="O36" s="90" t="str">
        <f aca="false">O33</f>
        <v>2022 form 10-K pg121, To date, we have not experienced difficulty accessing the credit markets; however, future volatility in the capital markets may
increase costs associated with issuing commercial paper or other debt instruments or affect our ability to access those markets</v>
      </c>
    </row>
    <row r="37" customFormat="false" ht="13.8" hidden="false" customHeight="false" outlineLevel="0" collapsed="false">
      <c r="A37" s="91" t="s">
        <v>56</v>
      </c>
      <c r="B37" s="9" t="n">
        <f aca="false">Historicals!B47</f>
        <v>3</v>
      </c>
      <c r="C37" s="9" t="n">
        <f aca="false">Historicals!C47</f>
        <v>0</v>
      </c>
      <c r="D37" s="9" t="n">
        <f aca="false">Historicals!D47</f>
        <v>0</v>
      </c>
      <c r="E37" s="9" t="n">
        <f aca="false">Historicals!E47</f>
        <v>0</v>
      </c>
      <c r="F37" s="9" t="n">
        <f aca="false">Historicals!F47</f>
        <v>0</v>
      </c>
      <c r="G37" s="9" t="n">
        <f aca="false">Historicals!G47</f>
        <v>2913</v>
      </c>
      <c r="H37" s="9" t="n">
        <f aca="false">Historicals!H47</f>
        <v>2931</v>
      </c>
      <c r="I37" s="9" t="n">
        <f aca="false">Historicals!I47</f>
        <v>2777</v>
      </c>
      <c r="J37" s="9" t="n">
        <f aca="false">I37</f>
        <v>2777</v>
      </c>
      <c r="K37" s="9" t="n">
        <f aca="false">J37</f>
        <v>2777</v>
      </c>
      <c r="L37" s="9" t="n">
        <f aca="false">K37</f>
        <v>2777</v>
      </c>
      <c r="M37" s="9" t="n">
        <f aca="false">L37</f>
        <v>2777</v>
      </c>
      <c r="N37" s="9" t="n">
        <f aca="false">M37</f>
        <v>2777</v>
      </c>
    </row>
    <row r="38" customFormat="false" ht="13.8" hidden="false" customHeight="false" outlineLevel="0" collapsed="false">
      <c r="A38" s="4" t="s">
        <v>203</v>
      </c>
      <c r="B38" s="9" t="n">
        <f aca="false">Historicals!B48</f>
        <v>1479</v>
      </c>
      <c r="C38" s="9" t="n">
        <f aca="false">Historicals!C48</f>
        <v>1770</v>
      </c>
      <c r="D38" s="9" t="n">
        <f aca="false">Historicals!D48</f>
        <v>1907</v>
      </c>
      <c r="E38" s="9" t="n">
        <f aca="false">Historicals!E48</f>
        <v>3216</v>
      </c>
      <c r="F38" s="9" t="n">
        <f aca="false">Historicals!F48</f>
        <v>3347</v>
      </c>
      <c r="G38" s="9" t="n">
        <f aca="false">Historicals!G48</f>
        <v>2684</v>
      </c>
      <c r="H38" s="9" t="n">
        <f aca="false">Historicals!H48</f>
        <v>2955</v>
      </c>
      <c r="I38" s="9" t="n">
        <f aca="false">Historicals!I48</f>
        <v>2613</v>
      </c>
      <c r="J38" s="9" t="n">
        <f aca="false">I38</f>
        <v>2613</v>
      </c>
      <c r="K38" s="9" t="n">
        <f aca="false">J38</f>
        <v>2613</v>
      </c>
      <c r="L38" s="9" t="n">
        <f aca="false">K38</f>
        <v>2613</v>
      </c>
      <c r="M38" s="9" t="n">
        <f aca="false">L38</f>
        <v>2613</v>
      </c>
      <c r="N38" s="9" t="n">
        <f aca="false">M38</f>
        <v>2613</v>
      </c>
    </row>
    <row r="39" customFormat="false" ht="14.25" hidden="false" customHeight="false" outlineLevel="0" collapsed="false">
      <c r="A39" s="4" t="s">
        <v>204</v>
      </c>
      <c r="B39" s="9"/>
      <c r="C39" s="9"/>
      <c r="D39" s="9"/>
      <c r="E39" s="9"/>
      <c r="F39" s="9"/>
      <c r="G39" s="9"/>
      <c r="H39" s="9"/>
      <c r="I39" s="9"/>
      <c r="J39" s="9"/>
      <c r="K39" s="9"/>
      <c r="L39" s="9"/>
      <c r="M39" s="9"/>
      <c r="N39" s="9"/>
    </row>
    <row r="40" customFormat="false" ht="13.8" hidden="false" customHeight="false" outlineLevel="0" collapsed="false">
      <c r="A40" s="5" t="s">
        <v>205</v>
      </c>
      <c r="B40" s="9" t="n">
        <f aca="false">Historicals!B54</f>
        <v>3</v>
      </c>
      <c r="C40" s="9" t="n">
        <f aca="false">Historicals!C54</f>
        <v>3</v>
      </c>
      <c r="D40" s="9" t="n">
        <f aca="false">Historicals!D54</f>
        <v>3</v>
      </c>
      <c r="E40" s="9" t="n">
        <f aca="false">Historicals!E54</f>
        <v>3</v>
      </c>
      <c r="F40" s="9" t="n">
        <f aca="false">Historicals!F54</f>
        <v>3</v>
      </c>
      <c r="G40" s="9" t="n">
        <f aca="false">Historicals!G54</f>
        <v>3</v>
      </c>
      <c r="H40" s="9" t="n">
        <f aca="false">Historicals!H54</f>
        <v>3</v>
      </c>
      <c r="I40" s="9" t="n">
        <f aca="false">Historicals!I54</f>
        <v>3</v>
      </c>
      <c r="J40" s="9" t="n">
        <f aca="false">I40</f>
        <v>3</v>
      </c>
      <c r="K40" s="9" t="n">
        <f aca="false">J40</f>
        <v>3</v>
      </c>
      <c r="L40" s="9" t="n">
        <f aca="false">K40</f>
        <v>3</v>
      </c>
      <c r="M40" s="9" t="n">
        <f aca="false">L40</f>
        <v>3</v>
      </c>
      <c r="N40" s="9" t="n">
        <f aca="false">M40</f>
        <v>3</v>
      </c>
    </row>
    <row r="41" customFormat="false" ht="13.8" hidden="false" customHeight="false" outlineLevel="0" collapsed="false">
      <c r="A41" s="5" t="s">
        <v>206</v>
      </c>
      <c r="B41" s="9" t="n">
        <f aca="false">Historicals!B57</f>
        <v>4685</v>
      </c>
      <c r="C41" s="9" t="n">
        <f aca="false">Historicals!C57</f>
        <v>4151</v>
      </c>
      <c r="D41" s="9" t="n">
        <f aca="false">Historicals!D57</f>
        <v>6907</v>
      </c>
      <c r="E41" s="9" t="n">
        <f aca="false">Historicals!E57</f>
        <v>3517</v>
      </c>
      <c r="F41" s="9" t="n">
        <f aca="false">Historicals!F57</f>
        <v>1643</v>
      </c>
      <c r="G41" s="9" t="n">
        <f aca="false">Historicals!G57</f>
        <v>-191</v>
      </c>
      <c r="H41" s="9" t="n">
        <f aca="false">Historicals!H57</f>
        <v>3179</v>
      </c>
      <c r="I41" s="9" t="n">
        <f aca="false">Historicals!I57</f>
        <v>3476</v>
      </c>
      <c r="J41" s="9" t="n">
        <f aca="false">J14-J61-4000</f>
        <v>3791.9011555684</v>
      </c>
      <c r="K41" s="9" t="n">
        <f aca="false">K14-K61-4000</f>
        <v>3938.11813268481</v>
      </c>
      <c r="L41" s="9" t="n">
        <f aca="false">L14-L61-4000</f>
        <v>4105.08264895089</v>
      </c>
      <c r="M41" s="9" t="n">
        <f aca="false">M14-M61-4000</f>
        <v>4294.81017309076</v>
      </c>
      <c r="N41" s="9" t="n">
        <f aca="false">N14-N61-4000</f>
        <v>4509.5182944562</v>
      </c>
      <c r="O41" s="4" t="s">
        <v>207</v>
      </c>
    </row>
    <row r="42" customFormat="false" ht="13.8" hidden="false" customHeight="false" outlineLevel="0" collapsed="false">
      <c r="A42" s="5" t="s">
        <v>208</v>
      </c>
      <c r="B42" s="9" t="n">
        <f aca="false">Historicals!B55+Historicals!B56</f>
        <v>8019</v>
      </c>
      <c r="C42" s="9" t="n">
        <f aca="false">Historicals!C55+Historicals!C56</f>
        <v>8104</v>
      </c>
      <c r="D42" s="9" t="n">
        <f aca="false">Historicals!D55+Historicals!D56</f>
        <v>5497</v>
      </c>
      <c r="E42" s="9" t="n">
        <f aca="false">Historicals!E55+Historicals!E56</f>
        <v>6292</v>
      </c>
      <c r="F42" s="9" t="n">
        <f aca="false">Historicals!F55+Historicals!F56</f>
        <v>7394</v>
      </c>
      <c r="G42" s="9" t="n">
        <f aca="false">Historicals!G55+Historicals!G56</f>
        <v>8243</v>
      </c>
      <c r="H42" s="9" t="n">
        <f aca="false">Historicals!H55+Historicals!H56</f>
        <v>9585</v>
      </c>
      <c r="I42" s="9" t="n">
        <f aca="false">Historicals!I55+Historicals!I56</f>
        <v>11802</v>
      </c>
      <c r="J42" s="9" t="n">
        <f aca="false">I42*1.04</f>
        <v>12274.08</v>
      </c>
      <c r="K42" s="9" t="n">
        <f aca="false">J42*1.04</f>
        <v>12765.0432</v>
      </c>
      <c r="L42" s="9" t="n">
        <f aca="false">K42*1.04</f>
        <v>13275.644928</v>
      </c>
      <c r="M42" s="9" t="n">
        <f aca="false">L42*1.04</f>
        <v>13806.67072512</v>
      </c>
      <c r="N42" s="9" t="n">
        <f aca="false">M42*1.04</f>
        <v>14358.9375541248</v>
      </c>
    </row>
    <row r="43" customFormat="false" ht="13.8" hidden="false" customHeight="false" outlineLevel="0" collapsed="false">
      <c r="A43" s="23" t="s">
        <v>209</v>
      </c>
      <c r="B43" s="25" t="n">
        <f aca="false">SUM(B32:B42)</f>
        <v>19469</v>
      </c>
      <c r="C43" s="25" t="n">
        <f aca="false">SUM(C32:C42)</f>
        <v>19205</v>
      </c>
      <c r="D43" s="25" t="n">
        <f aca="false">SUM(D32:D42)</f>
        <v>21211</v>
      </c>
      <c r="E43" s="25" t="n">
        <f aca="false">SUM(E32:E42)</f>
        <v>20257</v>
      </c>
      <c r="F43" s="25" t="n">
        <f aca="false">SUM(F32:F42)</f>
        <v>21105</v>
      </c>
      <c r="G43" s="25" t="n">
        <f aca="false">SUM(G32:G42)</f>
        <v>29094</v>
      </c>
      <c r="H43" s="25" t="n">
        <f aca="false">SUM(H32:H42)</f>
        <v>34904</v>
      </c>
      <c r="I43" s="25" t="n">
        <f aca="false">SUM(I32:I42)</f>
        <v>36963</v>
      </c>
      <c r="J43" s="25" t="n">
        <f aca="false">SUM(J32:J42)</f>
        <v>37154.9811555684</v>
      </c>
      <c r="K43" s="25" t="n">
        <f aca="false">SUM(K32:K42)</f>
        <v>37263.4613326848</v>
      </c>
      <c r="L43" s="25" t="n">
        <f aca="false">SUM(L32:L42)</f>
        <v>37465.0125769509</v>
      </c>
      <c r="M43" s="25" t="n">
        <f aca="false">SUM(M32:M42)</f>
        <v>37751.9266482108</v>
      </c>
      <c r="N43" s="25" t="n">
        <f aca="false">SUM(N32:N42)</f>
        <v>38119.616811081</v>
      </c>
    </row>
    <row r="44" s="3" customFormat="true" ht="15" hidden="false" customHeight="false" outlineLevel="0" collapsed="false">
      <c r="A44" s="92" t="s">
        <v>210</v>
      </c>
      <c r="B44" s="92" t="n">
        <f aca="false">B31-B43</f>
        <v>0</v>
      </c>
      <c r="C44" s="92" t="n">
        <f aca="false">C31-C43</f>
        <v>0</v>
      </c>
      <c r="D44" s="92" t="n">
        <f aca="false">D31-D43</f>
        <v>0</v>
      </c>
      <c r="E44" s="92" t="n">
        <f aca="false">E31-E43</f>
        <v>0</v>
      </c>
      <c r="F44" s="92" t="n">
        <f aca="false">F31-F43</f>
        <v>0</v>
      </c>
      <c r="G44" s="92" t="n">
        <f aca="false">G31-G43</f>
        <v>0</v>
      </c>
      <c r="H44" s="92" t="n">
        <f aca="false">H31-H43</f>
        <v>0</v>
      </c>
      <c r="I44" s="92" t="n">
        <f aca="false">I31-I43</f>
        <v>0</v>
      </c>
      <c r="J44" s="92" t="n">
        <f aca="false">J31-J43</f>
        <v>-51.4553052768097</v>
      </c>
      <c r="K44" s="92" t="n">
        <f aca="false">K31-K43</f>
        <v>26.6904132126947</v>
      </c>
      <c r="L44" s="92" t="n">
        <f aca="false">L31-L43</f>
        <v>57.4866824740966</v>
      </c>
      <c r="M44" s="92" t="n">
        <f aca="false">M31-M43</f>
        <v>48.3097807129016</v>
      </c>
      <c r="N44" s="92" t="n">
        <f aca="false">N31-N43</f>
        <v>3.46008817403344</v>
      </c>
    </row>
    <row r="45" customFormat="false" ht="14.25" hidden="false" customHeight="false" outlineLevel="0" collapsed="false">
      <c r="A45" s="89" t="s">
        <v>211</v>
      </c>
      <c r="B45" s="49"/>
      <c r="C45" s="49"/>
      <c r="D45" s="49"/>
      <c r="E45" s="49"/>
      <c r="F45" s="49"/>
      <c r="G45" s="49"/>
      <c r="H45" s="49"/>
      <c r="I45" s="49"/>
      <c r="J45" s="49"/>
      <c r="K45" s="49"/>
      <c r="L45" s="49"/>
      <c r="M45" s="49"/>
      <c r="N45" s="49"/>
    </row>
    <row r="46" customFormat="false" ht="13.8" hidden="false" customHeight="false" outlineLevel="0" collapsed="false">
      <c r="A46" s="3" t="s">
        <v>151</v>
      </c>
      <c r="B46" s="51" t="n">
        <f aca="false">'Segmental forecast'!B11</f>
        <v>4233</v>
      </c>
      <c r="C46" s="51" t="n">
        <f aca="false">'Segmental forecast'!C11</f>
        <v>4642</v>
      </c>
      <c r="D46" s="51" t="n">
        <f aca="false">'Segmental forecast'!D11</f>
        <v>4945</v>
      </c>
      <c r="E46" s="51" t="n">
        <f aca="false">'Segmental forecast'!E11</f>
        <v>4379</v>
      </c>
      <c r="F46" s="51" t="n">
        <f aca="false">'Segmental forecast'!F11</f>
        <v>4850</v>
      </c>
      <c r="G46" s="51" t="n">
        <f aca="false">'Segmental forecast'!G11</f>
        <v>2976</v>
      </c>
      <c r="H46" s="51" t="n">
        <f aca="false">'Segmental forecast'!H11</f>
        <v>6923</v>
      </c>
      <c r="I46" s="51" t="n">
        <f aca="false">'Segmental forecast'!I11</f>
        <v>6856</v>
      </c>
      <c r="J46" s="51" t="n">
        <f aca="false">'Segmental forecast'!J11</f>
        <v>6789.64841831576</v>
      </c>
      <c r="K46" s="51" t="n">
        <f aca="false">'Segmental forecast'!K11</f>
        <v>6723.93897962918</v>
      </c>
      <c r="L46" s="51" t="n">
        <f aca="false">'Segmental forecast'!L11</f>
        <v>6658.86546935399</v>
      </c>
      <c r="M46" s="51" t="n">
        <f aca="false">'Segmental forecast'!M11</f>
        <v>6594.42173304795</v>
      </c>
      <c r="N46" s="51" t="n">
        <f aca="false">'Segmental forecast'!N11</f>
        <v>6530.60167583082</v>
      </c>
      <c r="O46" s="4" t="s">
        <v>171</v>
      </c>
    </row>
    <row r="47" customFormat="false" ht="13.8" hidden="false" customHeight="false" outlineLevel="0" collapsed="false">
      <c r="A47" s="4" t="s">
        <v>148</v>
      </c>
      <c r="B47" s="93" t="n">
        <f aca="false">'Segmental forecast'!B8</f>
        <v>606</v>
      </c>
      <c r="C47" s="93" t="n">
        <f aca="false">'Segmental forecast'!C8</f>
        <v>649</v>
      </c>
      <c r="D47" s="93" t="n">
        <f aca="false">'Segmental forecast'!D8</f>
        <v>706</v>
      </c>
      <c r="E47" s="93" t="n">
        <f aca="false">'Segmental forecast'!E8</f>
        <v>747</v>
      </c>
      <c r="F47" s="93" t="n">
        <f aca="false">'Segmental forecast'!F8</f>
        <v>705</v>
      </c>
      <c r="G47" s="93" t="n">
        <f aca="false">'Segmental forecast'!G8</f>
        <v>721</v>
      </c>
      <c r="H47" s="93" t="n">
        <f aca="false">'Segmental forecast'!H8</f>
        <v>744</v>
      </c>
      <c r="I47" s="93" t="n">
        <f aca="false">'Segmental forecast'!I8</f>
        <v>717</v>
      </c>
      <c r="J47" s="93" t="n">
        <f aca="false">'Segmental forecast'!J8</f>
        <v>690.979838709677</v>
      </c>
      <c r="K47" s="93" t="n">
        <f aca="false">'Segmental forecast'!K8</f>
        <v>665.903957466181</v>
      </c>
      <c r="L47" s="93" t="n">
        <f aca="false">'Segmental forecast'!L8</f>
        <v>641.738088042005</v>
      </c>
      <c r="M47" s="93" t="n">
        <f aca="false">'Segmental forecast'!M8</f>
        <v>618.449205814674</v>
      </c>
      <c r="N47" s="93" t="n">
        <f aca="false">'Segmental forecast'!N8</f>
        <v>596.005484635916</v>
      </c>
      <c r="O47" s="4" t="s">
        <v>171</v>
      </c>
    </row>
    <row r="48" customFormat="false" ht="13.8" hidden="false" customHeight="false" outlineLevel="0" collapsed="false">
      <c r="A48" s="4" t="s">
        <v>212</v>
      </c>
      <c r="B48" s="9" t="n">
        <f aca="false">Historicals!B67</f>
        <v>-113</v>
      </c>
      <c r="C48" s="9" t="n">
        <f aca="false">Historicals!C67</f>
        <v>-80</v>
      </c>
      <c r="D48" s="9" t="n">
        <f aca="false">Historicals!D67</f>
        <v>-273</v>
      </c>
      <c r="E48" s="9" t="n">
        <f aca="false">Historicals!E67</f>
        <v>647</v>
      </c>
      <c r="F48" s="9" t="n">
        <f aca="false">Historicals!F67</f>
        <v>34</v>
      </c>
      <c r="G48" s="9" t="n">
        <f aca="false">Historicals!G67</f>
        <v>-380</v>
      </c>
      <c r="H48" s="9" t="n">
        <f aca="false">Historicals!H67</f>
        <v>-385</v>
      </c>
      <c r="I48" s="9" t="n">
        <f aca="false">Historicals!I67</f>
        <v>-650</v>
      </c>
      <c r="J48" s="9" t="n">
        <f aca="false">I48*0.4</f>
        <v>-260</v>
      </c>
      <c r="K48" s="9" t="n">
        <f aca="false">J48*0.4</f>
        <v>-104</v>
      </c>
      <c r="L48" s="9" t="n">
        <f aca="false">K48*0.4</f>
        <v>-41.6</v>
      </c>
      <c r="M48" s="9" t="n">
        <f aca="false">L48*0.4</f>
        <v>-16.64</v>
      </c>
      <c r="N48" s="9" t="n">
        <f aca="false">M48*0.4</f>
        <v>-6.656</v>
      </c>
      <c r="O48" s="4" t="s">
        <v>213</v>
      </c>
    </row>
    <row r="49" customFormat="false" ht="13.8" hidden="false" customHeight="false" outlineLevel="0" collapsed="false">
      <c r="A49" s="3" t="s">
        <v>214</v>
      </c>
      <c r="B49" s="51" t="n">
        <f aca="false">B46*(1-0.222)</f>
        <v>3293.274</v>
      </c>
      <c r="C49" s="51" t="n">
        <f aca="false">C46*(1-0.187)</f>
        <v>3773.946</v>
      </c>
      <c r="D49" s="51" t="n">
        <f aca="false">D46*(1-0.132)</f>
        <v>4292.26</v>
      </c>
      <c r="E49" s="51" t="n">
        <f aca="false">E46*(1-0.553)</f>
        <v>1957.413</v>
      </c>
      <c r="F49" s="51" t="n">
        <f aca="false">F46*(1-0.161)</f>
        <v>4069.15</v>
      </c>
      <c r="G49" s="51" t="n">
        <f aca="false">G46*(1-0.121)</f>
        <v>2615.904</v>
      </c>
      <c r="H49" s="51" t="n">
        <f aca="false">H46*(1-0.14)</f>
        <v>5953.78</v>
      </c>
      <c r="I49" s="51" t="n">
        <f aca="false">I46*(1-0.091)</f>
        <v>6232.104</v>
      </c>
      <c r="J49" s="15" t="n">
        <f aca="false">J46*(1-I13)</f>
        <v>6171.79041224903</v>
      </c>
      <c r="K49" s="15" t="n">
        <f aca="false">K46*(1-J13)</f>
        <v>5849.82691227739</v>
      </c>
      <c r="L49" s="15" t="n">
        <f aca="false">L46*(1-K13)</f>
        <v>5793.21295833797</v>
      </c>
      <c r="M49" s="15" t="n">
        <f aca="false">M46*(1-L13)</f>
        <v>5737.14690775172</v>
      </c>
      <c r="N49" s="15" t="n">
        <f aca="false">N46*(1-M13)</f>
        <v>5681.62345797281</v>
      </c>
    </row>
    <row r="50" customFormat="false" ht="13.8" hidden="false" customHeight="false" outlineLevel="0" collapsed="false">
      <c r="A50" s="4" t="s">
        <v>215</v>
      </c>
      <c r="B50" s="9" t="n">
        <f aca="false">Historicals!B100</f>
        <v>53</v>
      </c>
      <c r="C50" s="9" t="n">
        <f aca="false">Historicals!C100</f>
        <v>70</v>
      </c>
      <c r="D50" s="9" t="n">
        <f aca="false">Historicals!D100</f>
        <v>98</v>
      </c>
      <c r="E50" s="9" t="n">
        <f aca="false">Historicals!E100</f>
        <v>125</v>
      </c>
      <c r="F50" s="9" t="n">
        <f aca="false">Historicals!F100</f>
        <v>153</v>
      </c>
      <c r="G50" s="9" t="n">
        <f aca="false">Historicals!G100</f>
        <v>140</v>
      </c>
      <c r="H50" s="9" t="n">
        <f aca="false">Historicals!H100</f>
        <v>293</v>
      </c>
      <c r="I50" s="9" t="n">
        <f aca="false">Historicals!I100</f>
        <v>290</v>
      </c>
      <c r="J50" s="9" t="n">
        <f aca="false">0.036*I70</f>
        <v>471.888</v>
      </c>
      <c r="K50" s="9" t="n">
        <f aca="false">0.036*J70</f>
        <v>434.364953595492</v>
      </c>
      <c r="L50" s="9" t="n">
        <f aca="false">0.036*K70</f>
        <v>390.995827739559</v>
      </c>
      <c r="M50" s="9" t="n">
        <f aca="false">0.036*L70</f>
        <v>342.788926597318</v>
      </c>
      <c r="N50" s="9" t="n">
        <f aca="false">0.036*M70</f>
        <v>288.824315346225</v>
      </c>
    </row>
    <row r="51" customFormat="false" ht="13.8" hidden="false" customHeight="false" outlineLevel="0" collapsed="false">
      <c r="A51" s="4" t="s">
        <v>216</v>
      </c>
      <c r="B51" s="9" t="n">
        <f aca="false">SUM(Historicals!B72:B75)</f>
        <v>256</v>
      </c>
      <c r="C51" s="9" t="n">
        <f aca="false">SUM(Historicals!C72:C75)</f>
        <v>-1580</v>
      </c>
      <c r="D51" s="9" t="n">
        <f aca="false">SUM(Historicals!D72:D75)</f>
        <v>-935</v>
      </c>
      <c r="E51" s="9" t="n">
        <f aca="false">SUM(Historicals!E72:E75)</f>
        <v>1482</v>
      </c>
      <c r="F51" s="9" t="n">
        <f aca="false">SUM(Historicals!F72:F75)</f>
        <v>562</v>
      </c>
      <c r="G51" s="9" t="n">
        <f aca="false">SUM(Historicals!G72:G75)</f>
        <v>-1245</v>
      </c>
      <c r="H51" s="9" t="n">
        <f aca="false">SUM(Historicals!H72:H75)</f>
        <v>45</v>
      </c>
      <c r="I51" s="9" t="n">
        <f aca="false">SUM(Historicals!I72:I75)</f>
        <v>-1660</v>
      </c>
      <c r="J51" s="9" t="n">
        <f aca="false">J25-J35</f>
        <v>-4945.9</v>
      </c>
      <c r="K51" s="9" t="n">
        <f aca="false">K25-K35</f>
        <v>-5137.51</v>
      </c>
      <c r="L51" s="9" t="n">
        <f aca="false">L25-L35</f>
        <v>-5309.959</v>
      </c>
      <c r="M51" s="9" t="n">
        <f aca="false">M25-M35</f>
        <v>-5465.1631</v>
      </c>
      <c r="N51" s="9" t="n">
        <f aca="false">N25-N35</f>
        <v>-5604.84679</v>
      </c>
    </row>
    <row r="52" customFormat="false" ht="13.8" hidden="false" customHeight="false" outlineLevel="0" collapsed="false">
      <c r="A52" s="4" t="s">
        <v>153</v>
      </c>
      <c r="B52" s="9" t="n">
        <f aca="false">Historicals!B81-Historicals!B102</f>
        <v>-1166</v>
      </c>
      <c r="C52" s="9" t="n">
        <f aca="false">Historicals!C81-Historicals!C102</f>
        <v>-1385</v>
      </c>
      <c r="D52" s="9" t="n">
        <f aca="false">Historicals!D81-Historicals!D102</f>
        <v>-1358</v>
      </c>
      <c r="E52" s="9" t="n">
        <f aca="false">Historicals!E81-Historicals!E102</f>
        <v>-1319</v>
      </c>
      <c r="F52" s="9" t="n">
        <f aca="false">Historicals!F81-Historicals!F102</f>
        <v>-1279</v>
      </c>
      <c r="G52" s="9" t="n">
        <f aca="false">Historicals!G81-Historicals!G102</f>
        <v>-1207</v>
      </c>
      <c r="H52" s="9" t="n">
        <f aca="false">Historicals!H81-Historicals!H102</f>
        <v>-874</v>
      </c>
      <c r="I52" s="9" t="n">
        <f aca="false">Historicals!I81-Historicals!I102</f>
        <v>-918</v>
      </c>
      <c r="J52" s="9" t="n">
        <f aca="false">+'Segmental forecast'!J14</f>
        <v>831.505689001264</v>
      </c>
      <c r="K52" s="9" t="n">
        <f aca="false">+'Segmental forecast'!K14</f>
        <v>852.529853072093</v>
      </c>
      <c r="L52" s="9" t="n">
        <f aca="false">+'Segmental forecast'!L14</f>
        <v>874.085601569491</v>
      </c>
      <c r="M52" s="9" t="n">
        <f aca="false">+'Segmental forecast'!M14</f>
        <v>896.186375313347</v>
      </c>
      <c r="N52" s="9" t="n">
        <f aca="false">+'Segmental forecast'!N14</f>
        <v>918.845954967287</v>
      </c>
      <c r="O52" s="4" t="s">
        <v>171</v>
      </c>
    </row>
    <row r="53" customFormat="false" ht="13.8" hidden="false" customHeight="false" outlineLevel="0" collapsed="false">
      <c r="A53" s="3" t="s">
        <v>217</v>
      </c>
      <c r="B53" s="15" t="n">
        <f aca="false">B55+(28*1-0.222)-B26</f>
        <v>1696.778</v>
      </c>
      <c r="C53" s="15" t="n">
        <f aca="false">C55+(28*1-0.222)-C26</f>
        <v>-396.222</v>
      </c>
      <c r="D53" s="15" t="n">
        <f aca="false">D55+(28*1-0.222)-D26</f>
        <v>-115.222</v>
      </c>
      <c r="E53" s="15" t="n">
        <f aca="false">E55+(28*1-0.222)-E26</f>
        <v>528.778</v>
      </c>
      <c r="F53" s="15" t="n">
        <f aca="false">F55+(28*1-0.222)-F26</f>
        <v>1186.778</v>
      </c>
      <c r="G53" s="15" t="n">
        <f aca="false">G55+(28*1-0.222)-G26</f>
        <v>-2353.222</v>
      </c>
      <c r="H53" s="15" t="n">
        <f aca="false">H55+(28*1-0.222)-H26</f>
        <v>1780.778</v>
      </c>
      <c r="I53" s="15" t="n">
        <f aca="false">I55+(28*1-0.222)-I26</f>
        <v>424.778</v>
      </c>
      <c r="J53" s="15" t="n">
        <f aca="false">J55+(J10*(1-J13))-J26</f>
        <v>971.480994278072</v>
      </c>
      <c r="K53" s="15" t="n">
        <f aca="false">K55+(K10*(1-K13))-K26</f>
        <v>699.074650150988</v>
      </c>
      <c r="L53" s="15" t="n">
        <f aca="false">L55+(L10*(1-L13))-L26</f>
        <v>88.8012466209748</v>
      </c>
      <c r="M53" s="15" t="n">
        <f aca="false">M55+(M10*(1-M13))-M26</f>
        <v>-622.473150961153</v>
      </c>
      <c r="N53" s="15" t="n">
        <f aca="false">N55+(N10*(1-N13))-N26</f>
        <v>-1417.04982476823</v>
      </c>
    </row>
    <row r="54" customFormat="false" ht="14.25" hidden="false" customHeight="false" outlineLevel="0" collapsed="false">
      <c r="A54" s="4" t="s">
        <v>218</v>
      </c>
      <c r="B54" s="9" t="n">
        <v>0</v>
      </c>
      <c r="C54" s="9" t="n">
        <v>0</v>
      </c>
      <c r="D54" s="9" t="n">
        <v>0</v>
      </c>
      <c r="E54" s="9" t="n">
        <v>0</v>
      </c>
      <c r="F54" s="9" t="n">
        <v>0</v>
      </c>
      <c r="G54" s="9" t="n">
        <v>0</v>
      </c>
      <c r="H54" s="9" t="n">
        <v>0</v>
      </c>
      <c r="I54" s="9" t="n">
        <v>0</v>
      </c>
      <c r="J54" s="9" t="n">
        <v>0</v>
      </c>
      <c r="K54" s="9" t="n">
        <v>0</v>
      </c>
      <c r="L54" s="9" t="n">
        <v>0</v>
      </c>
      <c r="M54" s="9" t="n">
        <v>0</v>
      </c>
      <c r="N54" s="9" t="n">
        <v>0</v>
      </c>
    </row>
    <row r="55" customFormat="false" ht="13.25" hidden="false" customHeight="true" outlineLevel="0" collapsed="false">
      <c r="A55" s="34" t="s">
        <v>219</v>
      </c>
      <c r="B55" s="33" t="n">
        <f aca="false">Historicals!B76</f>
        <v>4680</v>
      </c>
      <c r="C55" s="33" t="n">
        <f aca="false">Historicals!C76</f>
        <v>3096</v>
      </c>
      <c r="D55" s="33" t="n">
        <f aca="false">Historicals!D76</f>
        <v>3846</v>
      </c>
      <c r="E55" s="33" t="n">
        <f aca="false">Historicals!E76</f>
        <v>4955</v>
      </c>
      <c r="F55" s="33" t="n">
        <f aca="false">Historicals!F76</f>
        <v>5903</v>
      </c>
      <c r="G55" s="33" t="n">
        <f aca="false">Historicals!G76</f>
        <v>2485</v>
      </c>
      <c r="H55" s="33" t="n">
        <f aca="false">Historicals!H76</f>
        <v>6657</v>
      </c>
      <c r="I55" s="33" t="n">
        <f aca="false">Historicals!I76</f>
        <v>5188</v>
      </c>
      <c r="J55" s="33" t="n">
        <f aca="false">J6+J14+J48+J54+(J25-I25)</f>
        <v>5989.28099427807</v>
      </c>
      <c r="K55" s="33" t="n">
        <f aca="false">K6+K14+K48+K54+(K25-J25)</f>
        <v>6085.64209015099</v>
      </c>
      <c r="L55" s="33" t="n">
        <f aca="false">L6+L14+L48+L54+(L25-K25)</f>
        <v>6087.7247369929</v>
      </c>
      <c r="M55" s="33" t="n">
        <f aca="false">M6+M14+M48+M54+(M25-L25)</f>
        <v>6051.86357890543</v>
      </c>
      <c r="N55" s="33" t="n">
        <f aca="false">N6+N14+N48+N54+(N25-M25)</f>
        <v>6000.67721909211</v>
      </c>
      <c r="O55" s="90" t="s">
        <v>220</v>
      </c>
    </row>
    <row r="56" customFormat="false" ht="13.8" hidden="false" customHeight="false" outlineLevel="0" collapsed="false">
      <c r="A56" s="4" t="s">
        <v>221</v>
      </c>
      <c r="B56" s="94" t="n">
        <v>17</v>
      </c>
      <c r="C56" s="94" t="n">
        <v>16</v>
      </c>
      <c r="D56" s="94" t="n">
        <v>2</v>
      </c>
      <c r="E56" s="94" t="n">
        <v>4</v>
      </c>
      <c r="F56" s="94" t="n">
        <v>2</v>
      </c>
      <c r="G56" s="94" t="n">
        <v>28</v>
      </c>
      <c r="H56" s="94" t="n">
        <v>23</v>
      </c>
      <c r="I56" s="94" t="n">
        <v>27</v>
      </c>
      <c r="J56" s="9" t="n">
        <f aca="false">I56</f>
        <v>27</v>
      </c>
      <c r="K56" s="9" t="n">
        <f aca="false">J56</f>
        <v>27</v>
      </c>
      <c r="L56" s="9" t="n">
        <f aca="false">K56</f>
        <v>27</v>
      </c>
      <c r="M56" s="9" t="n">
        <f aca="false">L56</f>
        <v>27</v>
      </c>
      <c r="N56" s="9" t="n">
        <f aca="false">M56</f>
        <v>27</v>
      </c>
    </row>
    <row r="57" customFormat="false" ht="13.8" hidden="false" customHeight="false" outlineLevel="0" collapsed="false">
      <c r="A57" s="4" t="s">
        <v>222</v>
      </c>
      <c r="B57" s="94" t="n">
        <v>0</v>
      </c>
      <c r="C57" s="94" t="n">
        <v>6</v>
      </c>
      <c r="D57" s="94" t="n">
        <f aca="false">-34</f>
        <v>-34</v>
      </c>
      <c r="E57" s="94" t="n">
        <f aca="false">-22</f>
        <v>-22</v>
      </c>
      <c r="F57" s="94" t="n">
        <v>5</v>
      </c>
      <c r="G57" s="94" t="n">
        <v>31</v>
      </c>
      <c r="H57" s="94" t="n">
        <v>171</v>
      </c>
      <c r="I57" s="94" t="n">
        <f aca="false">-19</f>
        <v>-19</v>
      </c>
      <c r="J57" s="9" t="n">
        <f aca="false">J31-I31</f>
        <v>140.525850291589</v>
      </c>
      <c r="K57" s="9" t="n">
        <f aca="false">J57</f>
        <v>140.525850291589</v>
      </c>
      <c r="L57" s="9" t="n">
        <f aca="false">K57</f>
        <v>140.525850291589</v>
      </c>
      <c r="M57" s="9" t="n">
        <f aca="false">L57</f>
        <v>140.525850291589</v>
      </c>
      <c r="N57" s="9" t="n">
        <f aca="false">M57</f>
        <v>140.525850291589</v>
      </c>
    </row>
    <row r="58" customFormat="false" ht="18.2" hidden="false" customHeight="true" outlineLevel="0" collapsed="false">
      <c r="A58" s="34" t="s">
        <v>223</v>
      </c>
      <c r="B58" s="33" t="n">
        <f aca="false">Historicals!B83</f>
        <v>-175</v>
      </c>
      <c r="C58" s="33" t="n">
        <f aca="false">Historicals!C83</f>
        <v>-1034</v>
      </c>
      <c r="D58" s="33" t="n">
        <f aca="false">Historicals!D83</f>
        <v>-1008</v>
      </c>
      <c r="E58" s="33" t="n">
        <f aca="false">Historicals!E83</f>
        <v>276</v>
      </c>
      <c r="F58" s="33" t="n">
        <f aca="false">Historicals!F83</f>
        <v>-264</v>
      </c>
      <c r="G58" s="33" t="n">
        <f aca="false">Historicals!G83</f>
        <v>-1028</v>
      </c>
      <c r="H58" s="33" t="n">
        <f aca="false">Historicals!H83</f>
        <v>-3800</v>
      </c>
      <c r="I58" s="33" t="n">
        <f aca="false">Historicals!I83</f>
        <v>-1524</v>
      </c>
      <c r="J58" s="33" t="n">
        <f aca="false">J26+J51+J56+J57</f>
        <v>491.72585029159</v>
      </c>
      <c r="K58" s="33" t="n">
        <f aca="false">K26+K51+K56+K57</f>
        <v>827.12585029159</v>
      </c>
      <c r="L58" s="33" t="n">
        <f aca="false">L26+L51+L56+L57</f>
        <v>1234.38785029159</v>
      </c>
      <c r="M58" s="33" t="n">
        <f aca="false">M26+M51+M56+M57</f>
        <v>1716.86585029159</v>
      </c>
      <c r="N58" s="33" t="n">
        <f aca="false">N26+N51+N56+N57</f>
        <v>2278.63247029159</v>
      </c>
      <c r="O58" s="90" t="s">
        <v>224</v>
      </c>
    </row>
    <row r="59" customFormat="false" ht="113.4" hidden="false" customHeight="false" outlineLevel="0" collapsed="false">
      <c r="A59" s="4" t="s">
        <v>225</v>
      </c>
      <c r="B59" s="9" t="n">
        <f aca="false">Historicals!B89</f>
        <v>-2534</v>
      </c>
      <c r="C59" s="9" t="n">
        <f aca="false">Historicals!C89</f>
        <v>-3238</v>
      </c>
      <c r="D59" s="9" t="n">
        <f aca="false">Historicals!D89</f>
        <v>-3223</v>
      </c>
      <c r="E59" s="9" t="n">
        <f aca="false">Historicals!E89</f>
        <v>-4254</v>
      </c>
      <c r="F59" s="9" t="n">
        <f aca="false">Historicals!F89</f>
        <v>-4286</v>
      </c>
      <c r="G59" s="9" t="n">
        <f aca="false">Historicals!G89</f>
        <v>-3067</v>
      </c>
      <c r="H59" s="9" t="n">
        <f aca="false">Historicals!H89</f>
        <v>-608</v>
      </c>
      <c r="I59" s="9" t="n">
        <f aca="false">Historicals!I89</f>
        <v>-4014</v>
      </c>
      <c r="J59" s="9" t="n">
        <f aca="false">I59</f>
        <v>-4014</v>
      </c>
      <c r="K59" s="9" t="n">
        <f aca="false">J59</f>
        <v>-4014</v>
      </c>
      <c r="L59" s="9" t="n">
        <f aca="false">K59</f>
        <v>-4014</v>
      </c>
      <c r="M59" s="9" t="n">
        <f aca="false">L59</f>
        <v>-4014</v>
      </c>
      <c r="N59" s="9" t="n">
        <f aca="false">M59</f>
        <v>-4014</v>
      </c>
      <c r="O59" s="90" t="s">
        <v>226</v>
      </c>
    </row>
    <row r="60" customFormat="false" ht="13.8" hidden="false" customHeight="false" outlineLevel="0" collapsed="false">
      <c r="A60" s="84" t="s">
        <v>144</v>
      </c>
      <c r="B60" s="85" t="str">
        <f aca="false">IFERROR(B89/A89-1,"nm")</f>
        <v>nm</v>
      </c>
      <c r="C60" s="85" t="n">
        <f aca="false">C59/B59-1</f>
        <v>0.277821625887924</v>
      </c>
      <c r="D60" s="85" t="n">
        <f aca="false">D59/C59-1</f>
        <v>-0.00463248919085857</v>
      </c>
      <c r="E60" s="85" t="n">
        <f aca="false">E59/D59-1</f>
        <v>0.319888302823456</v>
      </c>
      <c r="F60" s="85" t="n">
        <f aca="false">F59/E59-1</f>
        <v>0.00752233192289609</v>
      </c>
      <c r="G60" s="85" t="n">
        <f aca="false">G59/F59-1</f>
        <v>-0.284414372375175</v>
      </c>
      <c r="H60" s="85" t="n">
        <f aca="false">H59/G59-1</f>
        <v>-0.801760678187154</v>
      </c>
      <c r="I60" s="85" t="n">
        <f aca="false">I59/H59-1</f>
        <v>5.60197368421053</v>
      </c>
      <c r="J60" s="85" t="n">
        <f aca="false">J59/I59-1</f>
        <v>0</v>
      </c>
      <c r="K60" s="85" t="n">
        <f aca="false">K59/J59-1</f>
        <v>0</v>
      </c>
      <c r="L60" s="85" t="n">
        <f aca="false">L59/K59-1</f>
        <v>0</v>
      </c>
      <c r="M60" s="85" t="n">
        <f aca="false">M59/L59-1</f>
        <v>0</v>
      </c>
      <c r="N60" s="85" t="n">
        <f aca="false">N59/M59-1</f>
        <v>0</v>
      </c>
    </row>
    <row r="61" customFormat="false" ht="13.8" hidden="false" customHeight="false" outlineLevel="0" collapsed="false">
      <c r="A61" s="4" t="s">
        <v>227</v>
      </c>
      <c r="B61" s="95" t="n">
        <f aca="false">Historicals!B90</f>
        <v>-899</v>
      </c>
      <c r="C61" s="95" t="n">
        <f aca="false">Historicals!C90</f>
        <v>-1022</v>
      </c>
      <c r="D61" s="95" t="n">
        <f aca="false">Historicals!D90</f>
        <v>-1133</v>
      </c>
      <c r="E61" s="95" t="n">
        <f aca="false">Historicals!E90</f>
        <v>-1243</v>
      </c>
      <c r="F61" s="95" t="n">
        <f aca="false">Historicals!F90</f>
        <v>-1332</v>
      </c>
      <c r="G61" s="95" t="n">
        <f aca="false">Historicals!G90</f>
        <v>-1452</v>
      </c>
      <c r="H61" s="95" t="n">
        <f aca="false">Historicals!H90</f>
        <v>-1638</v>
      </c>
      <c r="I61" s="95" t="n">
        <f aca="false">Historicals!I90</f>
        <v>-1837</v>
      </c>
      <c r="J61" s="9" t="n">
        <f aca="false">I61*1.1</f>
        <v>-2020.7</v>
      </c>
      <c r="K61" s="9" t="n">
        <f aca="false">J61*1.1</f>
        <v>-2222.77</v>
      </c>
      <c r="L61" s="9" t="n">
        <f aca="false">K61*1.1</f>
        <v>-2445.047</v>
      </c>
      <c r="M61" s="9" t="n">
        <f aca="false">L61*1.1</f>
        <v>-2689.5517</v>
      </c>
      <c r="N61" s="9" t="n">
        <f aca="false">M61*1.1</f>
        <v>-2958.50687</v>
      </c>
      <c r="O61" s="4" t="s">
        <v>228</v>
      </c>
    </row>
    <row r="62" customFormat="false" ht="20.7" hidden="false" customHeight="true" outlineLevel="0" collapsed="false">
      <c r="A62" s="4" t="s">
        <v>229</v>
      </c>
      <c r="B62" s="9" t="n">
        <f aca="false">Historicals!B85</f>
        <v>0</v>
      </c>
      <c r="C62" s="9" t="n">
        <f aca="false">Historicals!C85</f>
        <v>981</v>
      </c>
      <c r="D62" s="9" t="n">
        <f aca="false">Historicals!D85</f>
        <v>1482</v>
      </c>
      <c r="E62" s="9" t="n">
        <f aca="false">Historicals!E85</f>
        <v>0</v>
      </c>
      <c r="F62" s="9" t="n">
        <f aca="false">Historicals!F85</f>
        <v>0</v>
      </c>
      <c r="G62" s="9" t="n">
        <f aca="false">Historicals!G85</f>
        <v>6134</v>
      </c>
      <c r="H62" s="9" t="n">
        <f aca="false">Historicals!H85</f>
        <v>0</v>
      </c>
      <c r="I62" s="9" t="n">
        <f aca="false">Historicals!I85</f>
        <v>0</v>
      </c>
      <c r="J62" s="9" t="n">
        <f aca="false">I62</f>
        <v>0</v>
      </c>
      <c r="K62" s="9" t="n">
        <f aca="false">J62</f>
        <v>0</v>
      </c>
      <c r="L62" s="9" t="n">
        <f aca="false">K62</f>
        <v>0</v>
      </c>
      <c r="M62" s="9" t="n">
        <f aca="false">L62</f>
        <v>0</v>
      </c>
      <c r="N62" s="9" t="n">
        <f aca="false">M62</f>
        <v>0</v>
      </c>
      <c r="O62" s="90" t="s">
        <v>230</v>
      </c>
    </row>
    <row r="63" customFormat="false" ht="13.8" hidden="false" customHeight="false" outlineLevel="0" collapsed="false">
      <c r="A63" s="4" t="s">
        <v>231</v>
      </c>
      <c r="B63" s="9" t="n">
        <f aca="false">Historicals!B91</f>
        <v>218</v>
      </c>
      <c r="C63" s="9" t="n">
        <f aca="false">Historicals!C91</f>
        <v>-22</v>
      </c>
      <c r="D63" s="9" t="n">
        <f aca="false">Historicals!D91</f>
        <v>-29</v>
      </c>
      <c r="E63" s="9" t="n">
        <f aca="false">Historicals!E91</f>
        <v>-84</v>
      </c>
      <c r="F63" s="9" t="n">
        <f aca="false">Historicals!F91</f>
        <v>-50</v>
      </c>
      <c r="G63" s="9" t="n">
        <f aca="false">Historicals!G91</f>
        <v>-58</v>
      </c>
      <c r="H63" s="9" t="n">
        <f aca="false">Historicals!H91</f>
        <v>-136</v>
      </c>
      <c r="I63" s="9" t="n">
        <f aca="false">Historicals!I91</f>
        <v>-151</v>
      </c>
      <c r="J63" s="9" t="n">
        <f aca="false">I63</f>
        <v>-151</v>
      </c>
      <c r="K63" s="9" t="n">
        <f aca="false">J63</f>
        <v>-151</v>
      </c>
      <c r="L63" s="9" t="n">
        <f aca="false">K63</f>
        <v>-151</v>
      </c>
      <c r="M63" s="9" t="n">
        <f aca="false">L63</f>
        <v>-151</v>
      </c>
      <c r="N63" s="9" t="n">
        <f aca="false">M63</f>
        <v>-151</v>
      </c>
    </row>
    <row r="64" customFormat="false" ht="13.8" hidden="false" customHeight="false" outlineLevel="0" collapsed="false">
      <c r="A64" s="34" t="s">
        <v>232</v>
      </c>
      <c r="B64" s="33" t="n">
        <f aca="false">Historicals!B92</f>
        <v>-2790</v>
      </c>
      <c r="C64" s="33" t="n">
        <f aca="false">Historicals!C92</f>
        <v>-2974</v>
      </c>
      <c r="D64" s="33" t="n">
        <f aca="false">Historicals!D92</f>
        <v>-2148</v>
      </c>
      <c r="E64" s="33" t="n">
        <f aca="false">Historicals!E92</f>
        <v>-4835</v>
      </c>
      <c r="F64" s="33" t="n">
        <f aca="false">Historicals!F92</f>
        <v>-5293</v>
      </c>
      <c r="G64" s="33" t="n">
        <f aca="false">Historicals!G92</f>
        <v>2491</v>
      </c>
      <c r="H64" s="33" t="n">
        <f aca="false">Historicals!H92</f>
        <v>-1459</v>
      </c>
      <c r="I64" s="33" t="n">
        <f aca="false">Historicals!I92</f>
        <v>-4836</v>
      </c>
      <c r="J64" s="33" t="n">
        <f aca="false">J62+(J61+J59)</f>
        <v>-6034.7</v>
      </c>
      <c r="K64" s="33" t="n">
        <f aca="false">K62+(K61+K59)</f>
        <v>-6236.77</v>
      </c>
      <c r="L64" s="33" t="n">
        <f aca="false">L62+(L61+L59)</f>
        <v>-6459.047</v>
      </c>
      <c r="M64" s="33" t="n">
        <f aca="false">M62+(M61+M59)</f>
        <v>-6703.5517</v>
      </c>
      <c r="N64" s="33" t="n">
        <f aca="false">N62+(N61+N59)</f>
        <v>-6972.50687</v>
      </c>
      <c r="O64" s="4" t="s">
        <v>233</v>
      </c>
    </row>
    <row r="65" customFormat="false" ht="13.8" hidden="false" customHeight="false" outlineLevel="0" collapsed="false">
      <c r="A65" s="4" t="s">
        <v>234</v>
      </c>
      <c r="B65" s="9" t="n">
        <f aca="false">Historicals!B93</f>
        <v>-83</v>
      </c>
      <c r="C65" s="9" t="n">
        <f aca="false">Historicals!C93</f>
        <v>-105</v>
      </c>
      <c r="D65" s="9" t="n">
        <f aca="false">Historicals!D93</f>
        <v>-20</v>
      </c>
      <c r="E65" s="9" t="n">
        <f aca="false">Historicals!E93</f>
        <v>45</v>
      </c>
      <c r="F65" s="9" t="n">
        <f aca="false">Historicals!F93</f>
        <v>-129</v>
      </c>
      <c r="G65" s="9" t="n">
        <f aca="false">Historicals!G93</f>
        <v>-66</v>
      </c>
      <c r="H65" s="9" t="n">
        <f aca="false">Historicals!H93</f>
        <v>143</v>
      </c>
      <c r="I65" s="9" t="n">
        <f aca="false">Historicals!I93</f>
        <v>-143</v>
      </c>
      <c r="J65" s="9" t="n">
        <f aca="false">I65</f>
        <v>-143</v>
      </c>
      <c r="K65" s="9" t="n">
        <f aca="false">J65</f>
        <v>-143</v>
      </c>
      <c r="L65" s="9" t="n">
        <f aca="false">K65</f>
        <v>-143</v>
      </c>
      <c r="M65" s="9" t="n">
        <f aca="false">L65</f>
        <v>-143</v>
      </c>
      <c r="N65" s="9" t="n">
        <f aca="false">M65</f>
        <v>-143</v>
      </c>
    </row>
    <row r="66" customFormat="false" ht="13.8" hidden="false" customHeight="false" outlineLevel="0" collapsed="false">
      <c r="A66" s="34" t="s">
        <v>235</v>
      </c>
      <c r="B66" s="33" t="n">
        <f aca="false">B68-B67</f>
        <v>1632</v>
      </c>
      <c r="C66" s="33" t="n">
        <f aca="false">C68-C67</f>
        <v>-714</v>
      </c>
      <c r="D66" s="33" t="n">
        <f aca="false">D68-D67</f>
        <v>670</v>
      </c>
      <c r="E66" s="33" t="n">
        <f aca="false">E68-E67</f>
        <v>441</v>
      </c>
      <c r="F66" s="33" t="n">
        <f aca="false">F68-F67</f>
        <v>217</v>
      </c>
      <c r="G66" s="33" t="n">
        <f aca="false">G68-G67</f>
        <v>3882</v>
      </c>
      <c r="H66" s="33" t="n">
        <f aca="false">H68-H67</f>
        <v>1541</v>
      </c>
      <c r="I66" s="33" t="n">
        <f aca="false">I68-I67</f>
        <v>-1315</v>
      </c>
      <c r="J66" s="33" t="n">
        <f aca="false">J68-J67</f>
        <v>446.306844569663</v>
      </c>
      <c r="K66" s="33" t="n">
        <f aca="false">K68-K67</f>
        <v>675.997940442578</v>
      </c>
      <c r="L66" s="33" t="n">
        <f aca="false">L68-L67</f>
        <v>863.065587284487</v>
      </c>
      <c r="M66" s="33" t="n">
        <f aca="false">M68-M67</f>
        <v>1065.17772919702</v>
      </c>
      <c r="N66" s="33" t="n">
        <f aca="false">N68-N67</f>
        <v>1306.8028193837</v>
      </c>
    </row>
    <row r="67" customFormat="false" ht="13.8" hidden="false" customHeight="false" outlineLevel="0" collapsed="false">
      <c r="A67" s="4" t="s">
        <v>236</v>
      </c>
      <c r="B67" s="9" t="n">
        <f aca="false">Historicals!B95</f>
        <v>2220</v>
      </c>
      <c r="C67" s="9" t="n">
        <f aca="false">Historicals!C95</f>
        <v>3852</v>
      </c>
      <c r="D67" s="9" t="n">
        <f aca="false">Historicals!D95</f>
        <v>3138</v>
      </c>
      <c r="E67" s="9" t="n">
        <f aca="false">Historicals!E95</f>
        <v>3808</v>
      </c>
      <c r="F67" s="9" t="n">
        <f aca="false">Historicals!F95</f>
        <v>4249</v>
      </c>
      <c r="G67" s="9" t="n">
        <f aca="false">Historicals!G95</f>
        <v>4466</v>
      </c>
      <c r="H67" s="9" t="n">
        <f aca="false">Historicals!H95</f>
        <v>8348</v>
      </c>
      <c r="I67" s="9" t="n">
        <f aca="false">Historicals!I95</f>
        <v>9889</v>
      </c>
      <c r="J67" s="9" t="n">
        <f aca="false">I68</f>
        <v>8574</v>
      </c>
      <c r="K67" s="9" t="n">
        <f aca="false">J68</f>
        <v>9020.30684456966</v>
      </c>
      <c r="L67" s="9" t="n">
        <f aca="false">K68</f>
        <v>9696.30478501224</v>
      </c>
      <c r="M67" s="9" t="n">
        <f aca="false">L68</f>
        <v>10559.3703722967</v>
      </c>
      <c r="N67" s="9" t="n">
        <f aca="false">M68</f>
        <v>11624.5481014938</v>
      </c>
    </row>
    <row r="68" customFormat="false" ht="13.8" hidden="false" customHeight="false" outlineLevel="0" collapsed="false">
      <c r="A68" s="23" t="s">
        <v>237</v>
      </c>
      <c r="B68" s="25" t="n">
        <f aca="false">Historicals!B96</f>
        <v>3852</v>
      </c>
      <c r="C68" s="25" t="n">
        <f aca="false">Historicals!C96</f>
        <v>3138</v>
      </c>
      <c r="D68" s="25" t="n">
        <f aca="false">Historicals!D96</f>
        <v>3808</v>
      </c>
      <c r="E68" s="25" t="n">
        <f aca="false">Historicals!E96</f>
        <v>4249</v>
      </c>
      <c r="F68" s="25" t="n">
        <f aca="false">Historicals!F96</f>
        <v>4466</v>
      </c>
      <c r="G68" s="25" t="n">
        <f aca="false">Historicals!G96</f>
        <v>8348</v>
      </c>
      <c r="H68" s="25" t="n">
        <f aca="false">Historicals!H96</f>
        <v>9889</v>
      </c>
      <c r="I68" s="25" t="n">
        <f aca="false">Historicals!I96</f>
        <v>8574</v>
      </c>
      <c r="J68" s="25" t="n">
        <f aca="false">I68+J55+J58+J64</f>
        <v>9020.30684456966</v>
      </c>
      <c r="K68" s="25" t="n">
        <f aca="false">J68+K55+K58+K64</f>
        <v>9696.30478501224</v>
      </c>
      <c r="L68" s="25" t="n">
        <f aca="false">K68+L55+L58+L64</f>
        <v>10559.3703722967</v>
      </c>
      <c r="M68" s="25" t="n">
        <f aca="false">L68+M55+M58+M64</f>
        <v>11624.5481014938</v>
      </c>
      <c r="N68" s="25" t="n">
        <f aca="false">M68+N55+N58+N64</f>
        <v>12931.3509208775</v>
      </c>
    </row>
    <row r="69" customFormat="false" ht="13.8" hidden="false" customHeight="false" outlineLevel="0" collapsed="false">
      <c r="A69" s="92" t="s">
        <v>210</v>
      </c>
      <c r="B69" s="96" t="n">
        <f aca="false">(B68-B67)-1632</f>
        <v>0</v>
      </c>
      <c r="C69" s="96" t="n">
        <f aca="false">(C68-C67)+714</f>
        <v>0</v>
      </c>
      <c r="D69" s="96" t="n">
        <f aca="false">(D68-D67)-670</f>
        <v>0</v>
      </c>
      <c r="E69" s="96" t="n">
        <f aca="false">(E68-E67)-441</f>
        <v>0</v>
      </c>
      <c r="F69" s="96" t="n">
        <f aca="false">(F68-F67)-217</f>
        <v>0</v>
      </c>
      <c r="G69" s="96" t="n">
        <f aca="false">(G68-G67)-3882</f>
        <v>0</v>
      </c>
      <c r="H69" s="96" t="n">
        <f aca="false">(H68-H67)-1541</f>
        <v>0</v>
      </c>
      <c r="I69" s="96" t="n">
        <f aca="false">(I68-I67)+1315</f>
        <v>0</v>
      </c>
      <c r="J69" s="15"/>
      <c r="K69" s="15"/>
      <c r="L69" s="15"/>
      <c r="M69" s="15"/>
      <c r="N69" s="15"/>
    </row>
    <row r="70" customFormat="false" ht="14.25" hidden="false" customHeight="false" outlineLevel="0" collapsed="false">
      <c r="A70" s="3" t="s">
        <v>238</v>
      </c>
      <c r="B70" s="63" t="n">
        <f aca="false">SUM(B33:B38)-B68</f>
        <v>2910</v>
      </c>
      <c r="C70" s="63" t="n">
        <f aca="false">SUM(C33:C38)-C68</f>
        <v>3809</v>
      </c>
      <c r="D70" s="63" t="n">
        <f aca="false">SUM(D33:D38)-D68</f>
        <v>4996</v>
      </c>
      <c r="E70" s="63" t="n">
        <f aca="false">SUM(E33:E38)-E68</f>
        <v>6196</v>
      </c>
      <c r="F70" s="63" t="n">
        <f aca="false">SUM(F33:F38)-F68</f>
        <v>7599</v>
      </c>
      <c r="G70" s="63" t="n">
        <f aca="false">SUM(G33:G38)-G68</f>
        <v>12691</v>
      </c>
      <c r="H70" s="63" t="n">
        <f aca="false">SUM(H33:H38)-H68</f>
        <v>12248</v>
      </c>
      <c r="I70" s="63" t="n">
        <f aca="false">SUM(I33:I38)-I68</f>
        <v>13108</v>
      </c>
      <c r="J70" s="63" t="n">
        <f aca="false">SUM(J33:J38)-J68</f>
        <v>12065.6931554303</v>
      </c>
      <c r="K70" s="63" t="n">
        <f aca="false">SUM(K33:K38)-K68</f>
        <v>10860.9952149878</v>
      </c>
      <c r="L70" s="63" t="n">
        <f aca="false">SUM(L33:L38)-L68</f>
        <v>9521.91462770327</v>
      </c>
      <c r="M70" s="63" t="n">
        <f aca="false">SUM(M33:M38)-M68</f>
        <v>8022.89764850625</v>
      </c>
      <c r="N70" s="63" t="n">
        <f aca="false">SUM(N33:N38)-N68</f>
        <v>6316.81004162255</v>
      </c>
    </row>
    <row r="72" customFormat="false" ht="14.25" hidden="false" customHeight="false" outlineLevel="0" collapsed="false">
      <c r="A72" s="4" t="s">
        <v>239</v>
      </c>
      <c r="B72" s="97" t="n">
        <v>112.693331153846</v>
      </c>
    </row>
    <row r="73" customFormat="false" ht="14.25" hidden="false" customHeight="false" outlineLevel="0" collapsed="false">
      <c r="A73" s="4" t="s">
        <v>240</v>
      </c>
    </row>
    <row r="74" customFormat="false" ht="14.25" hidden="false" customHeight="false" outlineLevel="0" collapsed="false">
      <c r="A74" s="4" t="s">
        <v>241</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4204</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2024-03-26T13:12:28Z</dcterms:modified>
  <cp:revision>71</cp:revision>
  <dc:subject/>
  <dc:title/>
</cp:coreProperties>
</file>

<file path=docProps/custom.xml><?xml version="1.0" encoding="utf-8"?>
<Properties xmlns="http://schemas.openxmlformats.org/officeDocument/2006/custom-properties" xmlns:vt="http://schemas.openxmlformats.org/officeDocument/2006/docPropsVTypes"/>
</file>