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9\OneDrive\Desktop\Quill Capital Partners\"/>
    </mc:Choice>
  </mc:AlternateContent>
  <xr:revisionPtr revIDLastSave="0" documentId="8_{22FF6FD5-DAAA-404F-A288-FEBE6F40BB0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structions" sheetId="2" r:id="rId1"/>
    <sheet name="Financial Statements" sheetId="1" r:id="rId2"/>
    <sheet name="Ratios, Growth Rates and Margin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3" l="1"/>
  <c r="E46" i="3"/>
  <c r="D47" i="3"/>
  <c r="E47" i="3"/>
  <c r="C46" i="3"/>
  <c r="D117" i="3"/>
  <c r="E117" i="3"/>
  <c r="C117" i="3"/>
  <c r="C116" i="3"/>
  <c r="D116" i="3"/>
  <c r="E116" i="3"/>
  <c r="D115" i="3"/>
  <c r="E115" i="3"/>
  <c r="C115" i="3"/>
  <c r="D110" i="3"/>
  <c r="E110" i="3"/>
  <c r="C110" i="3"/>
  <c r="D109" i="3"/>
  <c r="E109" i="3"/>
  <c r="C109" i="3"/>
  <c r="D108" i="3"/>
  <c r="E108" i="3"/>
  <c r="C108" i="3"/>
  <c r="D107" i="3"/>
  <c r="E107" i="3"/>
  <c r="C107" i="3"/>
  <c r="E106" i="3"/>
  <c r="D106" i="3"/>
  <c r="C106" i="3"/>
  <c r="D105" i="3"/>
  <c r="E105" i="3"/>
  <c r="C105" i="3"/>
  <c r="C99" i="3"/>
  <c r="D99" i="3"/>
  <c r="C100" i="3"/>
  <c r="D100" i="3"/>
  <c r="D98" i="3"/>
  <c r="C98" i="3"/>
  <c r="D91" i="3"/>
  <c r="D92" i="3"/>
  <c r="D93" i="3"/>
  <c r="D94" i="3"/>
  <c r="D95" i="3"/>
  <c r="C92" i="3"/>
  <c r="C93" i="3"/>
  <c r="C94" i="3"/>
  <c r="C95" i="3"/>
  <c r="C91" i="3"/>
  <c r="C87" i="3"/>
  <c r="D87" i="3"/>
  <c r="C88" i="3"/>
  <c r="D88" i="3"/>
  <c r="D86" i="3"/>
  <c r="C86" i="3"/>
  <c r="C79" i="3"/>
  <c r="D79" i="3"/>
  <c r="C80" i="3"/>
  <c r="D80" i="3"/>
  <c r="C81" i="3"/>
  <c r="D81" i="3"/>
  <c r="C82" i="3"/>
  <c r="D82" i="3"/>
  <c r="C83" i="3"/>
  <c r="D83" i="3"/>
  <c r="D78" i="3"/>
  <c r="C78" i="3"/>
  <c r="C75" i="3"/>
  <c r="D75" i="3"/>
  <c r="D74" i="3"/>
  <c r="C74" i="3"/>
  <c r="D71" i="3"/>
  <c r="C71" i="3"/>
  <c r="D69" i="3"/>
  <c r="C69" i="3"/>
  <c r="D68" i="3"/>
  <c r="C68" i="3"/>
  <c r="D67" i="3"/>
  <c r="C67" i="3"/>
  <c r="D61" i="3"/>
  <c r="E61" i="3"/>
  <c r="C61" i="3"/>
  <c r="D57" i="3"/>
  <c r="E57" i="3"/>
  <c r="C57" i="3"/>
  <c r="D60" i="3"/>
  <c r="E60" i="3"/>
  <c r="C60" i="3"/>
  <c r="D53" i="3"/>
  <c r="E53" i="3"/>
  <c r="C53" i="3"/>
  <c r="C58" i="3"/>
  <c r="D58" i="3"/>
  <c r="E58" i="3"/>
  <c r="D51" i="3"/>
  <c r="E51" i="3"/>
  <c r="C51" i="3"/>
  <c r="D49" i="3"/>
  <c r="D50" i="3" s="1"/>
  <c r="E49" i="3"/>
  <c r="E50" i="3" s="1"/>
  <c r="C49" i="3"/>
  <c r="C47" i="3"/>
  <c r="D45" i="3"/>
  <c r="E45" i="3"/>
  <c r="C45" i="3"/>
  <c r="C44" i="3" s="1"/>
  <c r="E59" i="3"/>
  <c r="D59" i="3"/>
  <c r="C59" i="3"/>
  <c r="G10" i="1"/>
  <c r="F100" i="1"/>
  <c r="C20" i="1"/>
  <c r="B20" i="1"/>
  <c r="E5" i="3"/>
  <c r="D5" i="3"/>
  <c r="C5" i="3"/>
  <c r="E6" i="3"/>
  <c r="D6" i="3"/>
  <c r="C6" i="3"/>
  <c r="E7" i="3"/>
  <c r="C7" i="3"/>
  <c r="D7" i="3"/>
  <c r="E8" i="3"/>
  <c r="D8" i="3"/>
  <c r="C8" i="3"/>
  <c r="E9" i="3"/>
  <c r="D9" i="3"/>
  <c r="C9" i="3"/>
  <c r="E10" i="3"/>
  <c r="D10" i="3"/>
  <c r="C10" i="3"/>
  <c r="E11" i="3"/>
  <c r="D11" i="3"/>
  <c r="C11" i="3"/>
  <c r="E12" i="3"/>
  <c r="D12" i="3"/>
  <c r="C12" i="3"/>
  <c r="N42" i="1"/>
  <c r="N41" i="1"/>
  <c r="N40" i="1"/>
  <c r="E14" i="3"/>
  <c r="E13" i="3" s="1"/>
  <c r="D14" i="3"/>
  <c r="D13" i="3" s="1"/>
  <c r="C14" i="3"/>
  <c r="C13" i="3" s="1"/>
  <c r="E17" i="3"/>
  <c r="D17" i="3"/>
  <c r="C17" i="3"/>
  <c r="E19" i="3"/>
  <c r="E18" i="3" s="1"/>
  <c r="D19" i="3"/>
  <c r="D18" i="3" s="1"/>
  <c r="C19" i="3"/>
  <c r="C18" i="3" s="1"/>
  <c r="E20" i="3"/>
  <c r="D20" i="3"/>
  <c r="C20" i="3"/>
  <c r="E22" i="3"/>
  <c r="D22" i="3"/>
  <c r="C22" i="3"/>
  <c r="E25" i="3"/>
  <c r="D25" i="3"/>
  <c r="C25" i="3"/>
  <c r="E26" i="3"/>
  <c r="D26" i="3"/>
  <c r="C26" i="3"/>
  <c r="E27" i="3"/>
  <c r="D27" i="3"/>
  <c r="C27" i="3"/>
  <c r="G12" i="1"/>
  <c r="G11" i="1"/>
  <c r="E28" i="3"/>
  <c r="D28" i="3"/>
  <c r="C28" i="3"/>
  <c r="C29" i="3"/>
  <c r="E29" i="3"/>
  <c r="D29" i="3"/>
  <c r="E31" i="3"/>
  <c r="D31" i="3"/>
  <c r="C31" i="3"/>
  <c r="G31" i="1"/>
  <c r="E34" i="3"/>
  <c r="D34" i="3"/>
  <c r="C34" i="3"/>
  <c r="E35" i="3"/>
  <c r="D35" i="3"/>
  <c r="C35" i="3"/>
  <c r="E36" i="3"/>
  <c r="D36" i="3"/>
  <c r="C36" i="3"/>
  <c r="E37" i="3"/>
  <c r="D37" i="3"/>
  <c r="C37" i="3"/>
  <c r="F102" i="1"/>
  <c r="F101" i="1"/>
  <c r="G82" i="1"/>
  <c r="G81" i="1"/>
  <c r="G80" i="1"/>
  <c r="F90" i="1"/>
  <c r="F89" i="1"/>
  <c r="F88" i="1"/>
  <c r="G76" i="1"/>
  <c r="G75" i="1"/>
  <c r="G74" i="1"/>
  <c r="G69" i="1"/>
  <c r="G68" i="1"/>
  <c r="G67" i="1"/>
  <c r="G63" i="1"/>
  <c r="G62" i="1"/>
  <c r="G61" i="1"/>
  <c r="G23" i="1"/>
  <c r="G22" i="1"/>
  <c r="G21" i="1"/>
  <c r="G33" i="1"/>
  <c r="G32" i="1"/>
  <c r="G41" i="1"/>
  <c r="G40" i="1"/>
  <c r="G39" i="1"/>
  <c r="G54" i="1"/>
  <c r="G53" i="1"/>
  <c r="G52" i="1"/>
  <c r="G48" i="1"/>
  <c r="G47" i="1"/>
  <c r="G46" i="1"/>
  <c r="L60" i="1"/>
  <c r="M57" i="1"/>
  <c r="M56" i="1"/>
  <c r="M55" i="1"/>
  <c r="L51" i="1"/>
  <c r="L49" i="1"/>
  <c r="L46" i="1"/>
  <c r="M42" i="1"/>
  <c r="M41" i="1"/>
  <c r="M40" i="1"/>
  <c r="L42" i="1"/>
  <c r="L41" i="1"/>
  <c r="L40" i="1"/>
  <c r="D108" i="1"/>
  <c r="C108" i="1"/>
  <c r="B108" i="1"/>
  <c r="D99" i="1"/>
  <c r="C99" i="1"/>
  <c r="B99" i="1"/>
  <c r="C48" i="3" l="1"/>
  <c r="C52" i="3"/>
  <c r="E52" i="3"/>
  <c r="D52" i="3"/>
  <c r="C54" i="3"/>
  <c r="D48" i="3"/>
  <c r="E54" i="3"/>
  <c r="C50" i="3"/>
  <c r="D54" i="3"/>
  <c r="E48" i="3"/>
  <c r="E44" i="3"/>
  <c r="D44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2" i="1" s="1"/>
  <c r="C76" i="1" s="1"/>
  <c r="C91" i="1" s="1"/>
  <c r="C109" i="1" s="1"/>
  <c r="B18" i="1"/>
  <c r="B22" i="1" s="1"/>
  <c r="B76" i="1" s="1"/>
  <c r="B91" i="1" s="1"/>
  <c r="B109" i="1" s="1"/>
  <c r="C48" i="1"/>
  <c r="D62" i="1"/>
  <c r="D69" i="1" s="1"/>
  <c r="C69" i="1"/>
  <c r="D48" i="1"/>
  <c r="B69" i="1"/>
  <c r="A51" i="3"/>
  <c r="A53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43" i="3" s="1"/>
  <c r="A44" i="3" s="1"/>
  <c r="A45" i="3" s="1"/>
  <c r="A46" i="3" s="1"/>
  <c r="A47" i="3" s="1"/>
  <c r="A48" i="3" s="1"/>
  <c r="A50" i="3" s="1"/>
  <c r="A52" i="3" s="1"/>
  <c r="A54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<sst xmlns="http://schemas.openxmlformats.org/spreadsheetml/2006/main" count="290" uniqueCount="235">
  <si>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</si>
  <si>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</si>
  <si>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</si>
  <si>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</si>
  <si>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</si>
  <si>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</si>
  <si>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</si>
  <si>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</si>
  <si>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</si>
  <si>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</si>
  <si>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</si>
  <si>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</si>
  <si>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</si>
  <si>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</si>
  <si>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</si>
  <si>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</si>
  <si>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</si>
  <si>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</si>
  <si>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</si>
  <si>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</si>
  <si>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</si>
  <si>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</si>
  <si>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</si>
  <si>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</si>
  <si>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</si>
  <si>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</si>
  <si>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</si>
  <si>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</si>
  <si>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</si>
  <si>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</si>
  <si>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</si>
  <si>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</si>
  <si>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</si>
  <si>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</si>
  <si>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</si>
  <si>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</si>
  <si>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</si>
  <si>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</si>
  <si>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</si>
  <si>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</si>
  <si>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</si>
  <si>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</si>
  <si>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</si>
  <si>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</si>
  <si>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</si>
  <si>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</si>
  <si>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</si>
  <si>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</si>
  <si>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</si>
  <si>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</si>
  <si>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</si>
  <si>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</si>
  <si>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</si>
  <si>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</si>
  <si>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</si>
  <si>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</si>
  <si>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</si>
  <si>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</si>
  <si>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</si>
  <si>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</si>
  <si>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</si>
  <si>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</si>
  <si>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</si>
  <si>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</si>
  <si>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</si>
  <si>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</si>
  <si>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</si>
  <si>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</si>
  <si>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</si>
  <si>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</si>
  <si>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</si>
  <si>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</si>
  <si>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</si>
  <si>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</si>
  <si>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</si>
  <si>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</si>
  <si>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</si>
  <si>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</si>
  <si>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</si>
  <si>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</si>
  <si>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</si>
  <si>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</si>
  <si>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</si>
  <si>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</si>
  <si>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</si>
  <si>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</si>
  <si>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</si>
  <si>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</si>
  <si>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</si>
  <si>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</si>
  <si>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</si>
  <si>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</si>
  <si>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</si>
  <si>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</si>
  <si>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</si>
  <si>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</si>
  <si>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</si>
  <si>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</si>
  <si>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</si>
  <si>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</si>
  <si>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</si>
  <si>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</si>
  <si>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</si>
  <si>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</si>
  <si>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</si>
  <si>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</si>
  <si>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</si>
  <si>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</si>
  <si>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</si>
  <si>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</si>
  <si>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</si>
  <si>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</si>
  <si>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</si>
  <si>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</si>
  <si>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</si>
  <si>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</si>
  <si>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</si>
  <si>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</si>
  <si>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</si>
  <si>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</si>
  <si>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</si>
  <si>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</si>
  <si>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</si>
  <si>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</si>
  <si>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</si>
  <si>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</si>
  <si>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</si>
  <si>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</si>
  <si>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</si>
  <si>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</si>
  <si>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</si>
  <si>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</si>
  <si>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</si>
  <si>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</si>
  <si>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</si>
  <si>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</si>
  <si>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</si>
  <si>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</si>
  <si>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</si>
  <si>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</si>
  <si>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</si>
  <si>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</si>
  <si>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</si>
  <si>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</si>
  <si>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</si>
  <si>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</si>
  <si>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</si>
  <si>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</si>
  <si>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</si>
  <si>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DIO</t>
  </si>
  <si>
    <t>DSO</t>
  </si>
  <si>
    <t>W/C</t>
  </si>
  <si>
    <t>NWC</t>
  </si>
  <si>
    <t>Net borrowing</t>
  </si>
  <si>
    <t>capex</t>
  </si>
  <si>
    <t>FCFE per share</t>
  </si>
  <si>
    <t>ROA</t>
  </si>
  <si>
    <t>Ending assets?</t>
  </si>
  <si>
    <t>Market share price</t>
  </si>
  <si>
    <t>P/E</t>
  </si>
  <si>
    <t>Formulas:</t>
  </si>
  <si>
    <t>current ratio= current assets/current liabilties</t>
  </si>
  <si>
    <t>quick ratio= cash&amp;cash equivalents+accountsrecievable/current liabilities</t>
  </si>
  <si>
    <t>cash ratio= cash&amp;cash equivalents/short term liabilities</t>
  </si>
  <si>
    <t>defensive internal ratio= current assets/average daily expenditures</t>
  </si>
  <si>
    <t>inventory days= average inventory/COGS*365 days</t>
  </si>
  <si>
    <t>reicievable days= average accounts recievable/revenue*365 days</t>
  </si>
  <si>
    <t>net trading cycle= day inventory outstanding+days sales outstanding-days payable outstanding</t>
  </si>
  <si>
    <t xml:space="preserve"> </t>
  </si>
  <si>
    <t>DIO= average or ending inventory/COGS*365 days</t>
  </si>
  <si>
    <t>DSO= average or ending accounts recievable/revenue*365 days</t>
  </si>
  <si>
    <t>DPO= average or ending accounts recievable/COGS*365 days</t>
  </si>
  <si>
    <t>working capital as a % of sales= working capital/gross sales*100</t>
  </si>
  <si>
    <t>working capital= current assets-current liabilities</t>
  </si>
  <si>
    <t>gross margin= gross profit/revenue</t>
  </si>
  <si>
    <t>gross profit= net revenue-COGS</t>
  </si>
  <si>
    <t>EBITDA= earnings before interest, taxes, demorilisation and ammortisation</t>
  </si>
  <si>
    <t>EBITDA margin= EBITDA/revenue</t>
  </si>
  <si>
    <t>EBIT= earnings before interest and tax</t>
  </si>
  <si>
    <t>EBIT margin= total revenue-COGS-operating expenses</t>
  </si>
  <si>
    <t>debt to equity= total liabilities/total shareholder equity</t>
  </si>
  <si>
    <t>debt to total assets= total debts/total assets</t>
  </si>
  <si>
    <t>long term debt to capital= long term debt/total available capital</t>
  </si>
  <si>
    <t>times interest earned= income/total interest payable on bonds or other forms of debt</t>
  </si>
  <si>
    <t>debt coverage= net operating income/ debt service (inc. principal and interest)</t>
  </si>
  <si>
    <t>FCFE= net income+D&amp;A-increase in NWC-CAPEX+net borrowing</t>
  </si>
  <si>
    <t>free cash flow per share= free cash flow/shares outstanding</t>
  </si>
  <si>
    <t>total asset turnover= net sales/average total assets</t>
  </si>
  <si>
    <t>fixed asset turnover= net revenue/average fixed assets</t>
  </si>
  <si>
    <t>inventory turnover ratio= COGS/average inventory</t>
  </si>
  <si>
    <t>return on assets= net income/average total assets</t>
  </si>
  <si>
    <t>price to equity= current stock price/earnings per share</t>
  </si>
  <si>
    <t>earnings per share= net income-preferred dividends/weighted average of shares outstanding</t>
  </si>
  <si>
    <t>price to book value= market capitilisation/ book value of equity</t>
  </si>
  <si>
    <t>common shares outstanding= company market capitilisation/current share price</t>
  </si>
  <si>
    <t>dividend payout ratio= dividend per share/earnings per share</t>
  </si>
  <si>
    <t>dividend per share= annual dividend/ weighted average of outstanding shares</t>
  </si>
  <si>
    <t>dividend yield= dividend/company share price</t>
  </si>
  <si>
    <t>return on equity= net income/average total equity</t>
  </si>
  <si>
    <t>return on capital employed= NOPAT/average capital employed</t>
  </si>
  <si>
    <t>return on assets= company's earnings (after tax)/total assets</t>
  </si>
  <si>
    <t>enterprise value to EBITDA= enterprise value/EBITDA</t>
  </si>
  <si>
    <t>enterprise value= equity value+net debt</t>
  </si>
  <si>
    <t>DPO</t>
  </si>
  <si>
    <t>total available capital</t>
  </si>
  <si>
    <t>net margin= net income/revenue</t>
  </si>
  <si>
    <t>Share Price (Market Close - December 31)</t>
  </si>
  <si>
    <t>book value per share= (shareholders equity-preferred equity)/weighted average of common shares outstanding</t>
  </si>
  <si>
    <t>5.7.1</t>
  </si>
  <si>
    <t>NOPAT = EBIT*(1-Tc)</t>
  </si>
  <si>
    <t>5.7.2</t>
  </si>
  <si>
    <t>Average Capital Employed</t>
  </si>
  <si>
    <t>5.3.1</t>
  </si>
  <si>
    <t>Years ended September</t>
  </si>
  <si>
    <t>5.8.1</t>
  </si>
  <si>
    <t>5.8.2</t>
  </si>
  <si>
    <t>Gross profits:</t>
  </si>
  <si>
    <t>Sales (each category and net sales):</t>
  </si>
  <si>
    <t xml:space="preserve">Market Cap </t>
  </si>
  <si>
    <t>Service Sales Growth</t>
  </si>
  <si>
    <t xml:space="preserve">Product Sales Growth </t>
  </si>
  <si>
    <t>Total Sales Growth</t>
  </si>
  <si>
    <t>R&amp;D</t>
  </si>
  <si>
    <t>Selling, General and Admin</t>
  </si>
  <si>
    <t>Growth Rates</t>
  </si>
  <si>
    <t>Enterprise Value (EV)</t>
  </si>
  <si>
    <t>//</t>
  </si>
  <si>
    <t>Operating Expense (R&amp;D)</t>
  </si>
  <si>
    <t>Operating Expense (Selling, General and Admin)</t>
  </si>
  <si>
    <t xml:space="preserve">COGS </t>
  </si>
  <si>
    <t>Margins (% of Net Sales)</t>
  </si>
  <si>
    <t>Additional Items</t>
  </si>
  <si>
    <t>Income Tax Rate</t>
  </si>
  <si>
    <t>CAPEX (% of Sales)</t>
  </si>
  <si>
    <t>CAPEX (% of Fixed Assets)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</si>
</sst>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000"/>
    <numFmt numFmtId="168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0" fontId="0" fillId="5" borderId="0" xfId="0" applyFill="1"/>
    <xf numFmtId="2" fontId="0" fillId="0" borderId="0" xfId="1" applyNumberFormat="1" applyFont="1"/>
    <xf numFmtId="2" fontId="0" fillId="0" borderId="0" xfId="0" applyNumberFormat="1"/>
    <xf numFmtId="167" fontId="0" fillId="0" borderId="0" xfId="0" applyNumberFormat="1"/>
    <xf numFmtId="0" fontId="0" fillId="6" borderId="4" xfId="0" applyFill="1" applyBorder="1"/>
    <xf numFmtId="0" fontId="0" fillId="6" borderId="4" xfId="0" applyFill="1" applyBorder="1" applyAlignment="1">
      <alignment horizontal="left" indent="1"/>
    </xf>
    <xf numFmtId="2" fontId="0" fillId="6" borderId="4" xfId="0" applyNumberFormat="1" applyFill="1" applyBorder="1"/>
    <xf numFmtId="168" fontId="0" fillId="6" borderId="4" xfId="0" applyNumberFormat="1" applyFill="1" applyBorder="1"/>
    <xf numFmtId="0" fontId="0" fillId="6" borderId="6" xfId="0" applyFill="1" applyBorder="1" applyAlignment="1">
      <alignment horizontal="left" indent="1"/>
    </xf>
    <xf numFmtId="0" fontId="2" fillId="6" borderId="5" xfId="0" applyFont="1" applyFill="1" applyBorder="1" applyAlignment="1">
      <alignment horizontal="left"/>
    </xf>
    <xf numFmtId="166" fontId="0" fillId="6" borderId="4" xfId="0" applyNumberFormat="1" applyFill="1" applyBorder="1"/>
    <xf numFmtId="0" fontId="0" fillId="7" borderId="4" xfId="0" applyFill="1" applyBorder="1"/>
    <xf numFmtId="3" fontId="0" fillId="7" borderId="4" xfId="0" applyNumberFormat="1" applyFill="1" applyBorder="1"/>
    <xf numFmtId="0" fontId="0" fillId="7" borderId="4" xfId="0" applyFill="1" applyBorder="1" applyAlignment="1">
      <alignment horizontal="left" indent="1"/>
    </xf>
    <xf numFmtId="165" fontId="0" fillId="7" borderId="4" xfId="1" applyNumberFormat="1" applyFont="1" applyFill="1" applyBorder="1"/>
    <xf numFmtId="166" fontId="0" fillId="7" borderId="4" xfId="0" applyNumberFormat="1" applyFill="1" applyBorder="1"/>
    <xf numFmtId="0" fontId="2" fillId="6" borderId="4" xfId="0" applyFont="1" applyFill="1" applyBorder="1" applyAlignment="1">
      <alignment horizontal="left" indent="1"/>
    </xf>
    <xf numFmtId="10" fontId="0" fillId="6" borderId="4" xfId="3" applyNumberFormat="1" applyFont="1" applyFill="1" applyBorder="1"/>
    <xf numFmtId="167" fontId="0" fillId="6" borderId="4" xfId="0" applyNumberForma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6" borderId="6" xfId="0" applyFill="1" applyBorder="1"/>
    <xf numFmtId="0" fontId="0" fillId="6" borderId="5" xfId="0" applyFill="1" applyBorder="1"/>
    <xf numFmtId="2" fontId="0" fillId="6" borderId="6" xfId="0" applyNumberFormat="1" applyFill="1" applyBorder="1"/>
    <xf numFmtId="166" fontId="0" fillId="6" borderId="6" xfId="0" applyNumberFormat="1" applyFill="1" applyBorder="1"/>
    <xf numFmtId="166" fontId="0" fillId="6" borderId="5" xfId="0" applyNumberFormat="1" applyFill="1" applyBorder="1"/>
    <xf numFmtId="10" fontId="0" fillId="0" borderId="0" xfId="3" applyNumberFormat="1" applyFont="1"/>
    <xf numFmtId="0" fontId="2" fillId="6" borderId="7" xfId="0" applyFont="1" applyFill="1" applyBorder="1" applyAlignment="1">
      <alignment horizontal="left"/>
    </xf>
    <xf numFmtId="0" fontId="0" fillId="6" borderId="8" xfId="0" applyFill="1" applyBorder="1"/>
    <xf numFmtId="0" fontId="2" fillId="6" borderId="9" xfId="0" applyFont="1" applyFill="1" applyBorder="1" applyAlignment="1">
      <alignment horizontal="left"/>
    </xf>
    <xf numFmtId="0" fontId="0" fillId="6" borderId="9" xfId="0" applyFill="1" applyBorder="1"/>
    <xf numFmtId="0" fontId="0" fillId="6" borderId="9" xfId="0" applyFill="1" applyBorder="1" applyAlignment="1">
      <alignment horizontal="left" indent="1"/>
    </xf>
    <xf numFmtId="0" fontId="2" fillId="6" borderId="9" xfId="0" applyFont="1" applyFill="1" applyBorder="1" applyAlignment="1">
      <alignment horizontal="left" indent="1"/>
    </xf>
    <xf numFmtId="0" fontId="2" fillId="6" borderId="9" xfId="0" applyFont="1" applyFill="1" applyBorder="1"/>
    <xf numFmtId="0" fontId="0" fillId="6" borderId="5" xfId="0" applyFill="1" applyBorder="1" applyAlignment="1">
      <alignment horizontal="right"/>
    </xf>
    <xf numFmtId="0" fontId="0" fillId="0" borderId="0" xfId="0" applyBorder="1"/>
    <xf numFmtId="0" fontId="2" fillId="6" borderId="10" xfId="0" applyFont="1" applyFill="1" applyBorder="1"/>
    <xf numFmtId="0" fontId="0" fillId="6" borderId="10" xfId="0" applyFill="1" applyBorder="1"/>
    <xf numFmtId="164" fontId="0" fillId="6" borderId="4" xfId="1" applyFont="1" applyFill="1" applyBorder="1" applyAlignment="1">
      <alignment horizontal="left"/>
    </xf>
    <xf numFmtId="0" fontId="0" fillId="6" borderId="10" xfId="0" applyFill="1" applyBorder="1" applyAlignment="1">
      <alignment horizontal="right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1" defaultTableStyle="TableStyleMedium2" defaultPivotStyle="PivotStyleLight16">
    <tableStyle name="Invisible" pivot="0" table="0" count="0" xr9:uid="{FC5AD4E2-3F0D-4150-AFD5-22F8D6D0F5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4" sqref="A14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140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147</v>
      </c>
    </row>
    <row r="7" spans="1:1" x14ac:dyDescent="0.25">
      <c r="A7" s="1"/>
    </row>
    <row r="8" spans="1:1" x14ac:dyDescent="0.25">
      <c r="A8" s="17" t="s">
        <v>148</v>
      </c>
    </row>
    <row r="9" spans="1:1" x14ac:dyDescent="0.25">
      <c r="A9" s="1" t="s">
        <v>144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145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143</v>
      </c>
    </row>
    <row r="27" spans="1:1" x14ac:dyDescent="0.25">
      <c r="A27" s="16" t="s">
        <v>142</v>
      </c>
    </row>
    <row r="29" spans="1:1" x14ac:dyDescent="0.25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zoomScale="91" workbookViewId="0">
      <pane xSplit="1" ySplit="4" topLeftCell="B54" activePane="bottomRight" state="frozen"/>
      <selection pane="topRight" activeCell="B1" sqref="B1"/>
      <selection pane="bottomLeft" activeCell="A5" sqref="A5"/>
      <selection pane="bottomRight" activeCell="D45" sqref="D45"/>
    </sheetView>
  </sheetViews>
  <sheetFormatPr defaultRowHeight="15" x14ac:dyDescent="0.25"/>
  <cols>
    <col min="1" max="1" width="138.42578125" bestFit="1" customWidth="1"/>
    <col min="2" max="3" width="11.5703125" bestFit="1" customWidth="1"/>
    <col min="4" max="4" width="11.7109375" bestFit="1" customWidth="1"/>
    <col min="5" max="5" width="9.140625" bestFit="1" customWidth="1"/>
    <col min="6" max="6" width="38.5703125" bestFit="1" customWidth="1"/>
    <col min="7" max="7" width="17.570312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45" t="s">
        <v>1</v>
      </c>
      <c r="B2" s="45"/>
      <c r="C2" s="45"/>
      <c r="D2" s="45"/>
    </row>
    <row r="3" spans="1:10" x14ac:dyDescent="0.25">
      <c r="B3" s="44" t="s">
        <v>23</v>
      </c>
      <c r="C3" s="44"/>
      <c r="D3" s="44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  <c r="F6" s="23"/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  <c r="G9" t="s">
        <v>204</v>
      </c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  <c r="F10" s="12">
        <v>2022</v>
      </c>
      <c r="G10" s="23">
        <f>B56-B42</f>
        <v>18577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  <c r="F11" s="12">
        <v>2021</v>
      </c>
      <c r="G11" s="23">
        <f>C56-C42</f>
        <v>-9355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F12" s="23">
        <v>2020</v>
      </c>
      <c r="G12" s="23">
        <f>D56-D42</f>
        <v>-38321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F13" s="23"/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  <c r="F15" s="23"/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7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F17" s="24"/>
    </row>
    <row r="18" spans="1:7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7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25">
      <c r="A20" s="8" t="s">
        <v>16</v>
      </c>
      <c r="B20" s="13">
        <f>+B18+B19</f>
        <v>119103</v>
      </c>
      <c r="C20" s="13">
        <f>+C18+C19</f>
        <v>109207</v>
      </c>
      <c r="D20" s="13">
        <f t="shared" ref="D20" si="6">+D18+D19</f>
        <v>67091</v>
      </c>
      <c r="G20" t="s">
        <v>155</v>
      </c>
    </row>
    <row r="21" spans="1:7" x14ac:dyDescent="0.25">
      <c r="A21" t="s">
        <v>17</v>
      </c>
      <c r="B21" s="12">
        <v>19300</v>
      </c>
      <c r="C21" s="12">
        <v>14527</v>
      </c>
      <c r="D21" s="12">
        <v>9680</v>
      </c>
      <c r="F21" s="12">
        <v>2022</v>
      </c>
      <c r="G21">
        <f>G31/B65</f>
        <v>-0.4959983962744221</v>
      </c>
    </row>
    <row r="22" spans="1:7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>
        <v>2021</v>
      </c>
      <c r="G22">
        <f>G32/C65</f>
        <v>-0.93954501873964957</v>
      </c>
    </row>
    <row r="23" spans="1:7" ht="15.75" thickTop="1" x14ac:dyDescent="0.25">
      <c r="A23" t="s">
        <v>19</v>
      </c>
      <c r="F23">
        <v>2020</v>
      </c>
      <c r="G23">
        <f>G33/D65</f>
        <v>-5.5618464325803973</v>
      </c>
    </row>
    <row r="24" spans="1:7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25">
      <c r="A26" t="s">
        <v>22</v>
      </c>
    </row>
    <row r="27" spans="1:7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0" spans="1:7" x14ac:dyDescent="0.25">
      <c r="G30" t="s">
        <v>123</v>
      </c>
    </row>
    <row r="31" spans="1:7" x14ac:dyDescent="0.25">
      <c r="A31" s="45" t="s">
        <v>24</v>
      </c>
      <c r="B31" s="45"/>
      <c r="C31" s="45"/>
      <c r="D31" s="45"/>
      <c r="F31">
        <v>2022</v>
      </c>
      <c r="G31" s="23">
        <f>B22+B79-G46-G39+G52</f>
        <v>-32165</v>
      </c>
    </row>
    <row r="32" spans="1:7" x14ac:dyDescent="0.25">
      <c r="B32" s="44" t="s">
        <v>141</v>
      </c>
      <c r="C32" s="44"/>
      <c r="D32" s="44"/>
      <c r="F32">
        <v>2021</v>
      </c>
      <c r="G32" s="23">
        <f>C22+C79-G47-G40+G53</f>
        <v>-53897</v>
      </c>
    </row>
    <row r="33" spans="1:1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>
        <v>2020</v>
      </c>
      <c r="G33" s="23">
        <f>D22+D79-G48-G41+G54</f>
        <v>-282425</v>
      </c>
    </row>
    <row r="35" spans="1:14" x14ac:dyDescent="0.25">
      <c r="A35" t="s">
        <v>25</v>
      </c>
    </row>
    <row r="36" spans="1:1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1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14" x14ac:dyDescent="0.25">
      <c r="A38" s="1" t="s">
        <v>28</v>
      </c>
      <c r="B38" s="12">
        <v>28184</v>
      </c>
      <c r="C38" s="12">
        <v>26278</v>
      </c>
      <c r="D38" s="12">
        <v>16120</v>
      </c>
      <c r="G38" t="s">
        <v>154</v>
      </c>
    </row>
    <row r="39" spans="1:14" x14ac:dyDescent="0.25">
      <c r="A39" s="1" t="s">
        <v>29</v>
      </c>
      <c r="B39" s="12">
        <v>4946</v>
      </c>
      <c r="C39" s="12">
        <v>6580</v>
      </c>
      <c r="D39" s="12">
        <v>4061</v>
      </c>
      <c r="F39" s="12">
        <v>2022</v>
      </c>
      <c r="G39" s="23">
        <f>(B45-B96)+B79</f>
        <v>63929</v>
      </c>
      <c r="L39" t="s">
        <v>149</v>
      </c>
      <c r="M39" t="s">
        <v>150</v>
      </c>
      <c r="N39" t="s">
        <v>203</v>
      </c>
    </row>
    <row r="40" spans="1:14" x14ac:dyDescent="0.25">
      <c r="A40" s="1" t="s">
        <v>47</v>
      </c>
      <c r="B40" s="12">
        <v>32748</v>
      </c>
      <c r="C40" s="12">
        <v>25228</v>
      </c>
      <c r="D40" s="12">
        <v>21325</v>
      </c>
      <c r="F40" s="12">
        <v>2021</v>
      </c>
      <c r="G40" s="23">
        <f>(C45-C96)+C79</f>
        <v>61809</v>
      </c>
      <c r="K40" s="12">
        <v>2022</v>
      </c>
      <c r="L40" s="23">
        <f>(B39/B12)*365</f>
        <v>8.0756980666171607</v>
      </c>
      <c r="M40">
        <f>(B38/B8)*365</f>
        <v>26.087825363656648</v>
      </c>
      <c r="N40">
        <f>AVERAGE(B51+B88)/B12*365</f>
        <v>120.11172197221153</v>
      </c>
    </row>
    <row r="41" spans="1:14" x14ac:dyDescent="0.25">
      <c r="A41" s="1" t="s">
        <v>30</v>
      </c>
      <c r="B41" s="12">
        <v>21223</v>
      </c>
      <c r="C41" s="12">
        <v>14111</v>
      </c>
      <c r="D41" s="12">
        <v>11264</v>
      </c>
      <c r="F41" s="12">
        <v>2020</v>
      </c>
      <c r="G41" s="23">
        <f>(D45-D96)+D79</f>
        <v>55131</v>
      </c>
      <c r="K41" s="12">
        <v>2021</v>
      </c>
      <c r="L41">
        <f>(C39/C12)*365</f>
        <v>11.27659274770989</v>
      </c>
      <c r="M41">
        <f>(C38/C8)*365</f>
        <v>26.219311841713207</v>
      </c>
      <c r="N41">
        <f>AVERAGE(C51+C88)/C12*365</f>
        <v>114.97497429348157</v>
      </c>
    </row>
    <row r="42" spans="1:1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  <c r="K42">
        <v>2020</v>
      </c>
      <c r="L42" s="23">
        <f>(D39/D12)*365</f>
        <v>8.7418833562358831</v>
      </c>
      <c r="M42">
        <f>(D38/D8)*365</f>
        <v>21.433437152796749</v>
      </c>
      <c r="N42">
        <f>AVERAGE(D51+D88)/D12*365</f>
        <v>82.304153716405509</v>
      </c>
    </row>
    <row r="43" spans="1:14" x14ac:dyDescent="0.25">
      <c r="A43" t="s">
        <v>48</v>
      </c>
      <c r="B43" s="12"/>
      <c r="C43" s="12"/>
      <c r="D43" s="12"/>
      <c r="L43" s="24"/>
    </row>
    <row r="44" spans="1:1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14" x14ac:dyDescent="0.25">
      <c r="A45" s="1" t="s">
        <v>32</v>
      </c>
      <c r="B45" s="12">
        <v>42117</v>
      </c>
      <c r="C45" s="12">
        <v>39440</v>
      </c>
      <c r="D45" s="12">
        <v>36766</v>
      </c>
      <c r="G45" t="s">
        <v>152</v>
      </c>
      <c r="L45" s="24"/>
    </row>
    <row r="46" spans="1:14" x14ac:dyDescent="0.25">
      <c r="A46" s="1" t="s">
        <v>49</v>
      </c>
      <c r="B46" s="12">
        <v>54428</v>
      </c>
      <c r="C46" s="12">
        <v>48849</v>
      </c>
      <c r="D46" s="12">
        <v>42522</v>
      </c>
      <c r="F46" s="12">
        <v>2022</v>
      </c>
      <c r="G46" s="23">
        <f>B48-B56</f>
        <v>198773</v>
      </c>
      <c r="L46" s="23">
        <f>L40+M40-H10</f>
        <v>34.163523430273813</v>
      </c>
    </row>
    <row r="47" spans="1:1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  <c r="F47">
        <v>2021</v>
      </c>
      <c r="G47" s="23">
        <f>C48-C56</f>
        <v>225521</v>
      </c>
    </row>
    <row r="48" spans="1:1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F48">
        <v>2020</v>
      </c>
      <c r="G48" s="23">
        <f>D48-D56</f>
        <v>218496</v>
      </c>
      <c r="K48" s="7"/>
      <c r="L48" s="7"/>
      <c r="M48" s="7"/>
    </row>
    <row r="49" spans="1:13" ht="15.75" thickTop="1" x14ac:dyDescent="0.25">
      <c r="G49" s="2"/>
      <c r="L49">
        <f>L41+M41-H11</f>
        <v>37.495904589423098</v>
      </c>
    </row>
    <row r="50" spans="1:13" x14ac:dyDescent="0.25">
      <c r="A50" t="s">
        <v>34</v>
      </c>
    </row>
    <row r="51" spans="1:13" x14ac:dyDescent="0.25">
      <c r="A51" s="1" t="s">
        <v>35</v>
      </c>
      <c r="B51" s="12">
        <v>64115</v>
      </c>
      <c r="C51" s="12">
        <v>54763</v>
      </c>
      <c r="D51" s="12">
        <v>42296</v>
      </c>
      <c r="F51" s="12"/>
      <c r="G51" s="2" t="s">
        <v>153</v>
      </c>
      <c r="L51" s="23">
        <f>L42+M42-H12</f>
        <v>30.17532050903263</v>
      </c>
    </row>
    <row r="52" spans="1:13" x14ac:dyDescent="0.25">
      <c r="A52" s="1" t="s">
        <v>36</v>
      </c>
      <c r="B52" s="12">
        <v>60845</v>
      </c>
      <c r="C52" s="12">
        <v>47493</v>
      </c>
      <c r="D52" s="12">
        <v>42684</v>
      </c>
      <c r="F52" s="12">
        <v>2022</v>
      </c>
      <c r="G52" s="23">
        <f>(B55+B59)-B105</f>
        <v>119630</v>
      </c>
    </row>
    <row r="53" spans="1:13" x14ac:dyDescent="0.25">
      <c r="A53" s="1" t="s">
        <v>37</v>
      </c>
      <c r="B53" s="12">
        <v>7912</v>
      </c>
      <c r="C53" s="12">
        <v>7612</v>
      </c>
      <c r="D53" s="12">
        <v>6643</v>
      </c>
      <c r="F53" s="12">
        <v>2021</v>
      </c>
      <c r="G53" s="12">
        <f>(C55+C59)-C105</f>
        <v>127469</v>
      </c>
      <c r="L53" s="23"/>
    </row>
    <row r="54" spans="1:13" x14ac:dyDescent="0.25">
      <c r="A54" s="1" t="s">
        <v>38</v>
      </c>
      <c r="B54" s="12">
        <v>9982</v>
      </c>
      <c r="C54" s="12">
        <v>6000</v>
      </c>
      <c r="D54" s="12">
        <v>4996</v>
      </c>
      <c r="F54" s="12">
        <v>2020</v>
      </c>
      <c r="G54" s="23">
        <f>(D55-D59)-D105</f>
        <v>-77265</v>
      </c>
      <c r="M54" t="s">
        <v>151</v>
      </c>
    </row>
    <row r="55" spans="1:13" x14ac:dyDescent="0.25">
      <c r="A55" s="1" t="s">
        <v>39</v>
      </c>
      <c r="B55" s="12">
        <v>11128</v>
      </c>
      <c r="C55" s="12">
        <v>9613</v>
      </c>
      <c r="D55" s="12">
        <v>8773</v>
      </c>
      <c r="F55" s="23"/>
      <c r="K55" s="25"/>
      <c r="L55" s="25">
        <v>2022</v>
      </c>
      <c r="M55" s="23">
        <f>B42-B56</f>
        <v>-18577</v>
      </c>
    </row>
    <row r="56" spans="1:13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  <c r="L56">
        <v>2021</v>
      </c>
      <c r="M56" s="23">
        <f>C42-C56</f>
        <v>9355</v>
      </c>
    </row>
    <row r="57" spans="1:13" x14ac:dyDescent="0.25">
      <c r="A57" t="s">
        <v>51</v>
      </c>
      <c r="B57" s="12"/>
      <c r="C57" s="12"/>
      <c r="D57" s="12"/>
      <c r="L57" s="2">
        <v>2020</v>
      </c>
      <c r="M57" s="23">
        <f>D42-D56</f>
        <v>38321</v>
      </c>
    </row>
    <row r="58" spans="1:13" x14ac:dyDescent="0.25">
      <c r="A58" s="1" t="s">
        <v>37</v>
      </c>
      <c r="B58" s="12"/>
      <c r="C58" s="12"/>
      <c r="D58" s="12"/>
    </row>
    <row r="59" spans="1:13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13" x14ac:dyDescent="0.25">
      <c r="A60" s="1" t="s">
        <v>52</v>
      </c>
      <c r="B60" s="12">
        <v>49142</v>
      </c>
      <c r="C60" s="12">
        <v>53325</v>
      </c>
      <c r="D60" s="12">
        <v>54490</v>
      </c>
      <c r="G60" t="s">
        <v>125</v>
      </c>
      <c r="L60">
        <f>(M57/D8)*100</f>
        <v>13.959528623208204</v>
      </c>
    </row>
    <row r="61" spans="1:13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  <c r="F61">
        <v>2022</v>
      </c>
      <c r="G61">
        <f>B8/(AVERAGE(B91+B48))</f>
        <v>0.83032852817189085</v>
      </c>
    </row>
    <row r="62" spans="1:13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  <c r="F62">
        <v>2021</v>
      </c>
      <c r="G62">
        <f>C8/(AVERAGE(C91+C48))</f>
        <v>0.80392273206751053</v>
      </c>
    </row>
    <row r="63" spans="1:13" x14ac:dyDescent="0.25">
      <c r="B63" s="12"/>
      <c r="C63" s="12"/>
      <c r="D63" s="12"/>
      <c r="F63">
        <v>2020</v>
      </c>
      <c r="G63">
        <f>D8/(AVERAGE(D91+D48))</f>
        <v>0.67854865261690422</v>
      </c>
    </row>
    <row r="64" spans="1:13" x14ac:dyDescent="0.25">
      <c r="A64" t="s">
        <v>42</v>
      </c>
      <c r="B64" s="12"/>
      <c r="C64" s="12"/>
      <c r="D64" s="12"/>
    </row>
    <row r="65" spans="1:8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8" x14ac:dyDescent="0.25">
      <c r="A66" s="1" t="s">
        <v>43</v>
      </c>
      <c r="B66" s="12">
        <v>-3068</v>
      </c>
      <c r="C66" s="12">
        <v>5562</v>
      </c>
      <c r="D66" s="12">
        <v>14966</v>
      </c>
      <c r="G66" t="s">
        <v>126</v>
      </c>
    </row>
    <row r="67" spans="1:8" x14ac:dyDescent="0.25">
      <c r="A67" s="1" t="s">
        <v>44</v>
      </c>
      <c r="B67" s="12">
        <v>-11109</v>
      </c>
      <c r="C67" s="12">
        <v>163</v>
      </c>
      <c r="D67" s="12">
        <v>-406</v>
      </c>
      <c r="F67" s="12">
        <v>2022</v>
      </c>
      <c r="G67">
        <f>B22/(AVERAGE(B45+B96))</f>
        <v>3.1775287338024132</v>
      </c>
    </row>
    <row r="68" spans="1:8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F68">
        <v>2021</v>
      </c>
      <c r="G68">
        <f>C22/(AVERAGE(C45+C96))</f>
        <v>3.3390936342796684</v>
      </c>
    </row>
    <row r="69" spans="1:8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  <c r="F69">
        <v>2020</v>
      </c>
      <c r="G69">
        <f>D22/(AVERAGE(D45+D96))</f>
        <v>1.9489764741827069</v>
      </c>
    </row>
    <row r="70" spans="1:8" ht="15.75" thickTop="1" x14ac:dyDescent="0.25"/>
    <row r="71" spans="1:8" x14ac:dyDescent="0.25">
      <c r="A71" s="45" t="s">
        <v>55</v>
      </c>
      <c r="B71" s="45"/>
      <c r="C71" s="45"/>
      <c r="D71" s="45"/>
    </row>
    <row r="72" spans="1:8" x14ac:dyDescent="0.25">
      <c r="B72" s="44" t="s">
        <v>23</v>
      </c>
      <c r="C72" s="44"/>
      <c r="D72" s="44"/>
    </row>
    <row r="73" spans="1:8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  <c r="F73" s="2"/>
      <c r="G73" t="s">
        <v>127</v>
      </c>
      <c r="H73" s="2"/>
    </row>
    <row r="74" spans="1:8" x14ac:dyDescent="0.25">
      <c r="F74">
        <v>2022</v>
      </c>
      <c r="G74">
        <f>B12/(AVERAGE(B85+B39))</f>
        <v>34.76609642301711</v>
      </c>
    </row>
    <row r="75" spans="1:8" x14ac:dyDescent="0.25">
      <c r="A75" s="7" t="s">
        <v>56</v>
      </c>
      <c r="B75" s="15"/>
      <c r="C75" s="15"/>
      <c r="D75" s="15"/>
      <c r="F75" s="12">
        <v>2021</v>
      </c>
      <c r="G75">
        <f>C12/(AVERAGE(C85+C39))</f>
        <v>54.083544946673442</v>
      </c>
      <c r="H75" s="12"/>
    </row>
    <row r="76" spans="1:8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  <c r="F76">
        <v>2020</v>
      </c>
      <c r="G76" s="23">
        <f>D12/(AVERAGE(D85+D39))</f>
        <v>43.10091509913574</v>
      </c>
    </row>
    <row r="77" spans="1:8" x14ac:dyDescent="0.25">
      <c r="A77" s="11" t="s">
        <v>18</v>
      </c>
      <c r="B77" s="15"/>
      <c r="C77" s="15"/>
      <c r="D77" s="15"/>
      <c r="F77" s="12"/>
      <c r="G77" s="23"/>
      <c r="H77" s="12"/>
    </row>
    <row r="78" spans="1:8" x14ac:dyDescent="0.25">
      <c r="A78" s="1" t="s">
        <v>58</v>
      </c>
      <c r="B78" s="12"/>
      <c r="C78" s="12"/>
      <c r="D78" s="12"/>
      <c r="G78" s="23"/>
    </row>
    <row r="79" spans="1:8" x14ac:dyDescent="0.25">
      <c r="A79" s="3" t="s">
        <v>59</v>
      </c>
      <c r="B79" s="12">
        <v>11104</v>
      </c>
      <c r="C79" s="12">
        <v>11284</v>
      </c>
      <c r="D79" s="12">
        <v>11056</v>
      </c>
      <c r="G79" t="s">
        <v>156</v>
      </c>
    </row>
    <row r="80" spans="1:8" x14ac:dyDescent="0.25">
      <c r="A80" s="3" t="s">
        <v>83</v>
      </c>
      <c r="B80" s="12">
        <v>9038</v>
      </c>
      <c r="C80" s="12">
        <v>7906</v>
      </c>
      <c r="D80" s="12">
        <v>6829</v>
      </c>
      <c r="F80" s="12">
        <v>2022</v>
      </c>
      <c r="G80">
        <f>B76/(AVERAGE(F88+B48))</f>
        <v>0.26606825325310646</v>
      </c>
    </row>
    <row r="81" spans="1:7" x14ac:dyDescent="0.25">
      <c r="A81" s="3" t="s">
        <v>60</v>
      </c>
      <c r="B81" s="12">
        <v>895</v>
      </c>
      <c r="C81" s="12">
        <v>-4774</v>
      </c>
      <c r="D81" s="12">
        <v>-215</v>
      </c>
      <c r="F81" s="12">
        <v>2021</v>
      </c>
      <c r="G81">
        <f>C76/(AVERAGE(F89+C48))</f>
        <v>0.26273726273726272</v>
      </c>
    </row>
    <row r="82" spans="1:7" x14ac:dyDescent="0.25">
      <c r="A82" s="3" t="s">
        <v>61</v>
      </c>
      <c r="B82" s="12">
        <v>111</v>
      </c>
      <c r="C82" s="12">
        <v>-147</v>
      </c>
      <c r="D82" s="12">
        <v>-97</v>
      </c>
      <c r="F82" s="12">
        <v>2020</v>
      </c>
      <c r="G82">
        <f>D76/(AVERAGE(F90+D48))</f>
        <v>0.16537760225377429</v>
      </c>
    </row>
    <row r="83" spans="1:7" x14ac:dyDescent="0.25">
      <c r="A83" t="s">
        <v>62</v>
      </c>
      <c r="B83" s="12"/>
      <c r="C83" s="12"/>
      <c r="D83" s="12"/>
    </row>
    <row r="84" spans="1:7" x14ac:dyDescent="0.25">
      <c r="A84" s="1" t="s">
        <v>28</v>
      </c>
      <c r="B84" s="12">
        <v>-1823</v>
      </c>
      <c r="C84" s="12">
        <v>-10125</v>
      </c>
      <c r="D84" s="12">
        <v>6917</v>
      </c>
      <c r="F84" s="23"/>
    </row>
    <row r="85" spans="1:7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7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7" x14ac:dyDescent="0.25">
      <c r="A87" s="1" t="s">
        <v>84</v>
      </c>
      <c r="B87" s="12">
        <v>-6499</v>
      </c>
      <c r="C87" s="12">
        <v>-8042</v>
      </c>
      <c r="D87" s="12">
        <v>-9588</v>
      </c>
      <c r="F87" s="23" t="s">
        <v>157</v>
      </c>
    </row>
    <row r="88" spans="1:7" x14ac:dyDescent="0.25">
      <c r="A88" s="1" t="s">
        <v>35</v>
      </c>
      <c r="B88" s="12">
        <v>9448</v>
      </c>
      <c r="C88" s="12">
        <v>12326</v>
      </c>
      <c r="D88" s="12">
        <v>-4062</v>
      </c>
      <c r="F88" s="12">
        <f>SUM(B79:B90)</f>
        <v>22348</v>
      </c>
    </row>
    <row r="89" spans="1:7" x14ac:dyDescent="0.25">
      <c r="A89" s="1" t="s">
        <v>37</v>
      </c>
      <c r="B89" s="12">
        <v>478</v>
      </c>
      <c r="C89" s="12">
        <v>1676</v>
      </c>
      <c r="D89" s="12">
        <v>2081</v>
      </c>
      <c r="F89" s="12">
        <f>SUM(C79:C90)</f>
        <v>9358</v>
      </c>
    </row>
    <row r="90" spans="1:7" x14ac:dyDescent="0.25">
      <c r="A90" s="1" t="s">
        <v>85</v>
      </c>
      <c r="B90" s="12">
        <v>5632</v>
      </c>
      <c r="C90" s="12">
        <v>5799</v>
      </c>
      <c r="D90" s="12">
        <v>8916</v>
      </c>
      <c r="F90" s="23">
        <f>SUM(D79:D90)</f>
        <v>23263</v>
      </c>
    </row>
    <row r="91" spans="1:7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7" x14ac:dyDescent="0.25">
      <c r="A92" s="7" t="s">
        <v>64</v>
      </c>
      <c r="B92" s="12"/>
      <c r="C92" s="12"/>
      <c r="D92" s="12"/>
      <c r="G92" t="s">
        <v>158</v>
      </c>
    </row>
    <row r="93" spans="1:7" x14ac:dyDescent="0.25">
      <c r="A93" s="1" t="s">
        <v>65</v>
      </c>
      <c r="B93" s="12">
        <v>-76923</v>
      </c>
      <c r="C93" s="12">
        <v>-109558</v>
      </c>
      <c r="D93" s="12">
        <v>-114938</v>
      </c>
      <c r="F93" s="12">
        <v>2022</v>
      </c>
      <c r="G93" s="26">
        <v>155.81</v>
      </c>
    </row>
    <row r="94" spans="1:7" x14ac:dyDescent="0.25">
      <c r="A94" s="1" t="s">
        <v>66</v>
      </c>
      <c r="B94" s="12">
        <v>29917</v>
      </c>
      <c r="C94" s="12">
        <v>59023</v>
      </c>
      <c r="D94" s="12">
        <v>69918</v>
      </c>
      <c r="F94" s="12">
        <v>2021</v>
      </c>
      <c r="G94" s="26">
        <v>154.30000000000001</v>
      </c>
    </row>
    <row r="95" spans="1:7" x14ac:dyDescent="0.25">
      <c r="A95" s="1" t="s">
        <v>67</v>
      </c>
      <c r="B95" s="12">
        <v>37446</v>
      </c>
      <c r="C95" s="12">
        <v>47460</v>
      </c>
      <c r="D95" s="12">
        <v>50473</v>
      </c>
      <c r="F95" s="12">
        <v>2020</v>
      </c>
      <c r="G95" s="26">
        <v>113.02</v>
      </c>
    </row>
    <row r="96" spans="1:7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7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7" x14ac:dyDescent="0.25">
      <c r="A98" s="1" t="s">
        <v>61</v>
      </c>
      <c r="B98" s="12">
        <v>-1780</v>
      </c>
      <c r="C98" s="12">
        <v>-352</v>
      </c>
      <c r="D98" s="12">
        <v>-909</v>
      </c>
      <c r="G98" s="12"/>
    </row>
    <row r="99" spans="1:7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  <c r="F99" t="s">
        <v>159</v>
      </c>
    </row>
    <row r="100" spans="1:7" x14ac:dyDescent="0.25">
      <c r="A100" s="7" t="s">
        <v>71</v>
      </c>
      <c r="B100" s="12"/>
      <c r="C100" s="12"/>
      <c r="D100" s="12"/>
      <c r="F100">
        <f>G93/B24</f>
        <v>25.334959349593493</v>
      </c>
    </row>
    <row r="101" spans="1:7" x14ac:dyDescent="0.25">
      <c r="A101" s="1" t="s">
        <v>86</v>
      </c>
      <c r="B101" s="12">
        <v>-6223</v>
      </c>
      <c r="C101" s="12">
        <v>-6556</v>
      </c>
      <c r="D101" s="12">
        <v>-3634</v>
      </c>
      <c r="F101">
        <f>G94/C24</f>
        <v>27.213403880070548</v>
      </c>
    </row>
    <row r="102" spans="1:7" x14ac:dyDescent="0.25">
      <c r="A102" s="1" t="s">
        <v>72</v>
      </c>
      <c r="B102" s="12">
        <v>-14841</v>
      </c>
      <c r="C102" s="12">
        <v>-14467</v>
      </c>
      <c r="D102" s="12">
        <v>-14081</v>
      </c>
      <c r="F102">
        <f>G95/D24</f>
        <v>34.145015105740178</v>
      </c>
    </row>
    <row r="103" spans="1:7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7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7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7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7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7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7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7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7" ht="15.75" thickTop="1" x14ac:dyDescent="0.25">
      <c r="B111" s="12"/>
      <c r="C111" s="12"/>
      <c r="D111" s="12"/>
    </row>
    <row r="112" spans="1:7" x14ac:dyDescent="0.25">
      <c r="A112" t="s">
        <v>80</v>
      </c>
      <c r="B112" s="12"/>
      <c r="C112" s="12"/>
      <c r="D112" s="12"/>
      <c r="F112" s="12"/>
      <c r="G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7"/>
  <sheetViews>
    <sheetView tabSelected="1" topLeftCell="A24" workbookViewId="0">
      <selection activeCell="B46" sqref="B46"/>
    </sheetView>
  </sheetViews>
  <sheetFormatPr defaultRowHeight="15" x14ac:dyDescent="0.25"/>
  <cols>
    <col min="1" max="1" width="4.7109375" customWidth="1"/>
    <col min="2" max="2" width="82.7109375" customWidth="1"/>
    <col min="3" max="3" width="18.140625" customWidth="1"/>
    <col min="4" max="4" width="19.28515625" customWidth="1"/>
    <col min="5" max="5" width="19.85546875" customWidth="1"/>
    <col min="9" max="9" width="78.85546875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44" t="s">
        <v>213</v>
      </c>
      <c r="D2" s="44"/>
      <c r="E2" s="44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 t="s">
        <v>160</v>
      </c>
    </row>
    <row r="4" spans="1:10" x14ac:dyDescent="0.25">
      <c r="A4" s="18">
        <v>1</v>
      </c>
      <c r="B4" s="7" t="s">
        <v>99</v>
      </c>
      <c r="I4" t="s">
        <v>161</v>
      </c>
    </row>
    <row r="5" spans="1:10" x14ac:dyDescent="0.25">
      <c r="A5" s="18">
        <f>+A4+0.1</f>
        <v>1.1000000000000001</v>
      </c>
      <c r="B5" s="1" t="s">
        <v>100</v>
      </c>
      <c r="C5" s="27">
        <f>'Financial Statements'!B42/'Financial Statements'!B56</f>
        <v>0.87935602862672257</v>
      </c>
      <c r="D5" s="27">
        <f>'Financial Statements'!C42/'Financial Statements'!C56</f>
        <v>1.0745531195957954</v>
      </c>
      <c r="E5" s="27">
        <f>'Financial Statements'!D42/'Financial Statements'!D56</f>
        <v>1.3636044481554577</v>
      </c>
      <c r="I5" t="s">
        <v>162</v>
      </c>
    </row>
    <row r="6" spans="1:10" x14ac:dyDescent="0.25">
      <c r="A6" s="18">
        <f t="shared" ref="A6:A13" si="0">+A5+0.1</f>
        <v>1.2000000000000002</v>
      </c>
      <c r="B6" s="1" t="s">
        <v>101</v>
      </c>
      <c r="C6" s="27">
        <f>('Financial Statements'!B36+'Financial Statements'!B38)/'Financial Statements'!B56</f>
        <v>0.33659778415658975</v>
      </c>
      <c r="D6" s="27">
        <f>('Financial Statements'!C36+'Financial Statements'!C38)/'Financial Statements'!C56</f>
        <v>0.48786668898080188</v>
      </c>
      <c r="E6" s="27">
        <f>('Financial Statements'!D36+'Financial Statements'!D38)/'Financial Statements'!D56</f>
        <v>0.51366327614999241</v>
      </c>
      <c r="I6" t="s">
        <v>163</v>
      </c>
    </row>
    <row r="7" spans="1:10" x14ac:dyDescent="0.25">
      <c r="A7" s="18">
        <f t="shared" si="0"/>
        <v>1.3000000000000003</v>
      </c>
      <c r="B7" s="1" t="s">
        <v>102</v>
      </c>
      <c r="C7" s="27">
        <f>'Financial Statements'!B42/'Financial Statements'!B62</f>
        <v>0.44823773598646732</v>
      </c>
      <c r="D7" s="27">
        <f>'Financial Statements'!C42/'Financial Statements'!C62</f>
        <v>0.46832365444997082</v>
      </c>
      <c r="E7" s="27">
        <f>'Financial Statements'!D42/'Financial Statements'!D62</f>
        <v>0.55584434671957739</v>
      </c>
      <c r="I7" t="s">
        <v>164</v>
      </c>
    </row>
    <row r="8" spans="1:10" x14ac:dyDescent="0.25">
      <c r="A8" s="18">
        <f t="shared" si="0"/>
        <v>1.4000000000000004</v>
      </c>
      <c r="B8" s="1" t="s">
        <v>103</v>
      </c>
      <c r="C8" s="27">
        <f>'Financial Statements'!B42/('Financial Statements'!B12+'Financial Statements'!B17-'Financial Statements'!B79/365)</f>
        <v>0.49263157686989129</v>
      </c>
      <c r="D8" s="27">
        <f>'Financial Statements'!C42/('Financial Statements'!C12+'Financial Statements'!C17-'Financial Statements'!B79/365)</f>
        <v>0.52498548306996773</v>
      </c>
      <c r="E8" s="27">
        <f>'Financial Statements'!D42/('Financial Statements'!D12+'Financial Statements'!D17-'Financial Statements'!D79/365)</f>
        <v>0.69027507823574485</v>
      </c>
      <c r="I8" t="s">
        <v>165</v>
      </c>
    </row>
    <row r="9" spans="1:10" x14ac:dyDescent="0.25">
      <c r="A9" s="18">
        <f t="shared" si="0"/>
        <v>1.5000000000000004</v>
      </c>
      <c r="B9" s="1" t="s">
        <v>104</v>
      </c>
      <c r="C9" s="27">
        <f>AVERAGE('Financial Statements'!B39+'Financial Statements'!B85)/'Financial Statements'!B12*365</f>
        <v>10.498734041315881</v>
      </c>
      <c r="D9" s="27">
        <f>AVERAGE('Financial Statements'!C39+'Financial Statements'!C85)/'Financial Statements'!C12*365</f>
        <v>6.748817969678047</v>
      </c>
      <c r="E9" s="27">
        <f>AVERAGE('Financial Statements'!D39+'Financial Statements'!D85)/'Financial Statements'!D12*365</f>
        <v>8.4684976910691852</v>
      </c>
      <c r="I9" t="s">
        <v>166</v>
      </c>
    </row>
    <row r="10" spans="1:10" x14ac:dyDescent="0.25">
      <c r="A10" s="18">
        <f t="shared" si="0"/>
        <v>1.6000000000000005</v>
      </c>
      <c r="B10" s="1" t="s">
        <v>105</v>
      </c>
      <c r="C10" s="27">
        <f>AVERAGE('Financial Statements'!B51+'Financial Statements'!B88)/'Financial Statements'!B12*365</f>
        <v>120.11172197221153</v>
      </c>
      <c r="D10" s="27">
        <f>AVERAGE('Financial Statements'!C51+'Financial Statements'!C88)/'Financial Statements'!C12*365</f>
        <v>114.97497429348157</v>
      </c>
      <c r="E10" s="27">
        <f>AVERAGE('Financial Statements'!D51+'Financial Statements'!D88)/'Financial Statements'!D12*365</f>
        <v>82.304153716405509</v>
      </c>
      <c r="I10" t="s">
        <v>167</v>
      </c>
    </row>
    <row r="11" spans="1:10" x14ac:dyDescent="0.25">
      <c r="A11" s="18">
        <f t="shared" si="0"/>
        <v>1.7000000000000006</v>
      </c>
      <c r="B11" s="1" t="s">
        <v>106</v>
      </c>
      <c r="C11" s="27">
        <f>AVERAGE('Financial Statements'!B38+'Financial Statements'!B84)/'Financial Statements'!B8*365</f>
        <v>24.400410318313686</v>
      </c>
      <c r="D11" s="27">
        <f>AVERAGE('Financial Statements'!C38+'Financial Statements'!C84)/'Financial Statements'!C8*365</f>
        <v>16.116924582509835</v>
      </c>
      <c r="E11" s="27">
        <f>AVERAGE('Financial Statements'!D38+'Financial Statements'!D84)/'Financial Statements'!D8*365</f>
        <v>30.63040271023441</v>
      </c>
      <c r="J11" t="s">
        <v>169</v>
      </c>
    </row>
    <row r="12" spans="1:10" x14ac:dyDescent="0.25">
      <c r="A12" s="18">
        <f t="shared" si="0"/>
        <v>1.8000000000000007</v>
      </c>
      <c r="B12" s="1" t="s">
        <v>107</v>
      </c>
      <c r="C12" s="27">
        <f>'Financial Statements'!L40+'Financial Statements'!M40-'Financial Statements'!N40</f>
        <v>-85.948198541937714</v>
      </c>
      <c r="D12" s="27">
        <f>'Financial Statements'!L41+'Financial Statements'!M41-'Financial Statements'!N41</f>
        <v>-77.479069704058475</v>
      </c>
      <c r="E12" s="27">
        <f>'Financial Statements'!L42+'Financial Statements'!M42-'Financial Statements'!N42</f>
        <v>-52.128833207372878</v>
      </c>
      <c r="J12" t="s">
        <v>170</v>
      </c>
    </row>
    <row r="13" spans="1:10" x14ac:dyDescent="0.25">
      <c r="A13" s="18">
        <f t="shared" si="0"/>
        <v>1.9000000000000008</v>
      </c>
      <c r="B13" s="1" t="s">
        <v>108</v>
      </c>
      <c r="C13" s="27">
        <f>C14/'Financial Statements'!B8*100</f>
        <v>-4.7110527276784806</v>
      </c>
      <c r="D13" s="27">
        <f>D14/'Financial Statements'!C8*100</f>
        <v>2.5572895737486232</v>
      </c>
      <c r="E13" s="27">
        <f>E14/'Financial Statements'!D8*100</f>
        <v>13.959528623208204</v>
      </c>
      <c r="J13" t="s">
        <v>171</v>
      </c>
    </row>
    <row r="14" spans="1:10" x14ac:dyDescent="0.25">
      <c r="A14" s="18"/>
      <c r="B14" s="3" t="s">
        <v>109</v>
      </c>
      <c r="C14" s="27">
        <f>'Financial Statements'!B42-'Financial Statements'!B56</f>
        <v>-18577</v>
      </c>
      <c r="D14" s="27">
        <f>'Financial Statements'!C42-'Financial Statements'!C56</f>
        <v>9355</v>
      </c>
      <c r="E14" s="27">
        <f>'Financial Statements'!D42-'Financial Statements'!D56</f>
        <v>38321</v>
      </c>
      <c r="I14" t="s">
        <v>172</v>
      </c>
    </row>
    <row r="15" spans="1:10" x14ac:dyDescent="0.25">
      <c r="A15" s="18"/>
      <c r="C15" s="27"/>
      <c r="D15" s="27"/>
      <c r="E15" s="27"/>
      <c r="J15" t="s">
        <v>173</v>
      </c>
    </row>
    <row r="16" spans="1:10" x14ac:dyDescent="0.25">
      <c r="A16" s="18">
        <f>+A4+1</f>
        <v>2</v>
      </c>
      <c r="B16" s="17" t="s">
        <v>110</v>
      </c>
      <c r="C16" s="27"/>
      <c r="D16" s="27"/>
      <c r="E16" s="27"/>
      <c r="I16" t="s">
        <v>174</v>
      </c>
    </row>
    <row r="17" spans="1:10" x14ac:dyDescent="0.25">
      <c r="A17" s="18">
        <f>+A16+0.1</f>
        <v>2.1</v>
      </c>
      <c r="B17" s="1" t="s">
        <v>9</v>
      </c>
      <c r="C17" s="27">
        <f>('Financial Statements'!B8-'Financial Statements'!B12)/'Financial Statements'!B8</f>
        <v>0.43309630561360085</v>
      </c>
      <c r="D17" s="27">
        <f>('Financial Statements'!C8-'Financial Statements'!C12)/'Financial Statements'!C8</f>
        <v>0.41779359625167778</v>
      </c>
      <c r="E17" s="27">
        <f>('Financial Statements'!D8-'Financial Statements'!D12)/'Financial Statements'!D8</f>
        <v>0.38233247727810865</v>
      </c>
      <c r="J17" t="s">
        <v>175</v>
      </c>
    </row>
    <row r="18" spans="1:10" x14ac:dyDescent="0.25">
      <c r="A18" s="18">
        <f>+A17+0.1</f>
        <v>2.2000000000000002</v>
      </c>
      <c r="B18" s="1" t="s">
        <v>111</v>
      </c>
      <c r="C18" s="27">
        <f>C19/'Financial Statements'!B8</f>
        <v>0.33746525734921184</v>
      </c>
      <c r="D18" s="27">
        <f>D19/'Financial Statements'!C8</f>
        <v>0.32748614744530735</v>
      </c>
      <c r="E18" s="27">
        <f>E19/'Financial Statements'!D8</f>
        <v>0.29560861883685774</v>
      </c>
      <c r="I18" t="s">
        <v>176</v>
      </c>
    </row>
    <row r="19" spans="1:10" x14ac:dyDescent="0.25">
      <c r="A19" s="18"/>
      <c r="B19" s="3" t="s">
        <v>112</v>
      </c>
      <c r="C19" s="27">
        <f>'Financial Statements'!B22+'Financial Statements'!B21+'Financial Statements'!B79+'Financial Statements'!B114</f>
        <v>133072</v>
      </c>
      <c r="D19" s="27">
        <f>'Financial Statements'!C22+'Financial Statements'!C21+'Financial Statements'!C80+'Financial Statements'!C114</f>
        <v>119800</v>
      </c>
      <c r="E19" s="27">
        <f>'Financial Statements'!D22+'Financial Statements'!D21+'Financial Statements'!D79+'Financial Statements'!D114</f>
        <v>81149</v>
      </c>
      <c r="J19" t="s">
        <v>177</v>
      </c>
    </row>
    <row r="20" spans="1:10" x14ac:dyDescent="0.25">
      <c r="A20" s="18">
        <f>+A18+0.1</f>
        <v>2.3000000000000003</v>
      </c>
      <c r="B20" s="1" t="s">
        <v>113</v>
      </c>
      <c r="C20" s="27">
        <f>'Financial Statements'!B8-'Financial Statements'!B12-'Financial Statements'!B17</f>
        <v>119437</v>
      </c>
      <c r="D20" s="27">
        <f>'Financial Statements'!C8-'Financial Statements'!C12-'Financial Statements'!C17</f>
        <v>108949</v>
      </c>
      <c r="E20" s="27">
        <f>'Financial Statements'!D8-'Financial Statements'!D12-'Financial Statements'!D17</f>
        <v>66288</v>
      </c>
      <c r="I20" t="s">
        <v>178</v>
      </c>
    </row>
    <row r="21" spans="1:10" x14ac:dyDescent="0.25">
      <c r="A21" s="18"/>
      <c r="B21" s="3" t="s">
        <v>114</v>
      </c>
      <c r="C21" s="26">
        <v>201471</v>
      </c>
      <c r="D21" s="26">
        <v>192266</v>
      </c>
      <c r="E21" s="26">
        <v>151286</v>
      </c>
      <c r="J21" t="s">
        <v>179</v>
      </c>
    </row>
    <row r="22" spans="1:10" x14ac:dyDescent="0.25">
      <c r="A22" s="18">
        <f>+A20+0.1</f>
        <v>2.4000000000000004</v>
      </c>
      <c r="B22" s="1" t="s">
        <v>115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  <c r="I22" t="s">
        <v>205</v>
      </c>
    </row>
    <row r="23" spans="1:10" x14ac:dyDescent="0.25">
      <c r="A23" s="18"/>
      <c r="C23" s="27"/>
      <c r="D23" s="27"/>
      <c r="E23" s="27"/>
      <c r="I23" t="s">
        <v>180</v>
      </c>
    </row>
    <row r="24" spans="1:10" x14ac:dyDescent="0.25">
      <c r="A24" s="18">
        <f>+A16+1</f>
        <v>3</v>
      </c>
      <c r="B24" s="7" t="s">
        <v>116</v>
      </c>
      <c r="C24" s="27"/>
      <c r="D24" s="27"/>
      <c r="E24" s="27"/>
      <c r="I24" t="s">
        <v>181</v>
      </c>
    </row>
    <row r="25" spans="1:10" x14ac:dyDescent="0.25">
      <c r="A25" s="18">
        <f>+A24+0.1</f>
        <v>3.1</v>
      </c>
      <c r="B25" s="1" t="s">
        <v>117</v>
      </c>
      <c r="C25" s="27">
        <f>'Financial Statements'!B62/'Financial Statements'!B68</f>
        <v>5.9615369434796337</v>
      </c>
      <c r="D25" s="27">
        <f>'Financial Statements'!C62/'Financial Statements'!C68</f>
        <v>4.5635124425423994</v>
      </c>
      <c r="E25" s="27">
        <f>'Financial Statements'!D56/'Financial Statements'!D68</f>
        <v>1.6130029538254336</v>
      </c>
      <c r="I25" t="s">
        <v>182</v>
      </c>
    </row>
    <row r="26" spans="1:10" x14ac:dyDescent="0.25">
      <c r="A26" s="18">
        <f t="shared" ref="A26:A30" si="1">+A25+0.1</f>
        <v>3.2</v>
      </c>
      <c r="B26" s="1" t="s">
        <v>118</v>
      </c>
      <c r="C26" s="27">
        <f>SUM('Financial Statements'!B55+'Financial Statements'!B59)/'Financial Statements'!B48</f>
        <v>0.31207778769967826</v>
      </c>
      <c r="D26" s="27">
        <f>SUM('Financial Statements'!C55+'Financial Statements'!C59)/'Financial Statements'!C48</f>
        <v>0.33822884200090025</v>
      </c>
      <c r="E26" s="27">
        <f>SUM('Financial Statements'!D59+'Financial Statements'!D55)/'Financial Statements'!D48</f>
        <v>0.33171960677765155</v>
      </c>
      <c r="I26" t="s">
        <v>183</v>
      </c>
    </row>
    <row r="27" spans="1:10" x14ac:dyDescent="0.25">
      <c r="A27" s="18">
        <f t="shared" si="1"/>
        <v>3.3000000000000003</v>
      </c>
      <c r="B27" s="1" t="s">
        <v>119</v>
      </c>
      <c r="C27" s="27">
        <f>'Financial Statements'!B59/'Financial Statements'!G10</f>
        <v>5.3269634494267102</v>
      </c>
      <c r="D27" s="27">
        <f>'Financial Statements'!C59/'Financial Statements'!G11</f>
        <v>-11.662854088722609</v>
      </c>
      <c r="E27" s="27">
        <f>'Financial Statements'!D59/'Financial Statements'!G12</f>
        <v>-2.5747501370006001</v>
      </c>
      <c r="I27" t="s">
        <v>184</v>
      </c>
    </row>
    <row r="28" spans="1:10" x14ac:dyDescent="0.25">
      <c r="A28" s="18">
        <f t="shared" si="1"/>
        <v>3.4000000000000004</v>
      </c>
      <c r="B28" s="1" t="s">
        <v>120</v>
      </c>
      <c r="C28" s="27">
        <f>'Financial Statements'!B22/'Financial Statements'!B114</f>
        <v>34.835253054101223</v>
      </c>
      <c r="D28" s="27">
        <f>'Financial Statements'!C22/'Financial Statements'!C114</f>
        <v>35.236323036844063</v>
      </c>
      <c r="E28" s="27">
        <f>'Financial Statements'!D22/'Financial Statements'!D114</f>
        <v>19.124250499666889</v>
      </c>
      <c r="I28" t="s">
        <v>185</v>
      </c>
    </row>
    <row r="29" spans="1:10" x14ac:dyDescent="0.25">
      <c r="A29" s="18">
        <f t="shared" si="1"/>
        <v>3.5000000000000004</v>
      </c>
      <c r="B29" s="1" t="s">
        <v>121</v>
      </c>
      <c r="C29" s="27">
        <f>'Financial Statements'!B76/SUM('Financial Statements'!B105+'Financial Statements'!B105+'Financial Statements'!B114)</f>
        <v>-6.1527032858640034</v>
      </c>
      <c r="D29" s="27">
        <f>'Financial Statements'!C76/SUM('Financial Statements'!C104+'Financial Statements'!C105+'Financial Statements'!C114)</f>
        <v>6.6071179344033499</v>
      </c>
      <c r="E29" s="27">
        <f>'Financial Statements'!D76/SUM('Financial Statements'!D104+'Financial Statements'!D105+'Financial Statements'!D114)</f>
        <v>8.881652227722773</v>
      </c>
      <c r="I29" t="s">
        <v>186</v>
      </c>
    </row>
    <row r="30" spans="1:10" x14ac:dyDescent="0.25">
      <c r="A30" s="18">
        <f t="shared" si="1"/>
        <v>3.6000000000000005</v>
      </c>
      <c r="B30" s="1" t="s">
        <v>122</v>
      </c>
      <c r="C30" s="27"/>
      <c r="D30" s="27"/>
      <c r="E30" s="27"/>
      <c r="I30" t="s">
        <v>187</v>
      </c>
    </row>
    <row r="31" spans="1:10" x14ac:dyDescent="0.25">
      <c r="A31" s="18"/>
      <c r="B31" s="3" t="s">
        <v>123</v>
      </c>
      <c r="C31" s="27">
        <f>'Financial Statements'!B22+'Financial Statements'!B79-'Financial Statements'!G46-'Financial Statements'!G39+'Financial Statements'!G52</f>
        <v>-32165</v>
      </c>
      <c r="D31" s="27">
        <f>'Financial Statements'!C22+'Financial Statements'!C79-'Financial Statements'!G47-'Financial Statements'!G40+'Financial Statements'!G53</f>
        <v>-53897</v>
      </c>
      <c r="E31" s="27">
        <f>'Financial Statements'!D22+'Financial Statements'!D79-'Financial Statements'!G48-'Financial Statements'!G41+'Financial Statements'!G54</f>
        <v>-282425</v>
      </c>
      <c r="I31" t="s">
        <v>188</v>
      </c>
    </row>
    <row r="32" spans="1:10" x14ac:dyDescent="0.25">
      <c r="A32" s="18"/>
      <c r="C32" s="27"/>
      <c r="D32" s="27"/>
      <c r="E32" s="27"/>
      <c r="I32" t="s">
        <v>189</v>
      </c>
    </row>
    <row r="33" spans="1:11" x14ac:dyDescent="0.25">
      <c r="A33" s="18">
        <f>+A24+1</f>
        <v>4</v>
      </c>
      <c r="B33" s="17" t="s">
        <v>124</v>
      </c>
      <c r="C33" s="27"/>
      <c r="D33" s="27"/>
      <c r="E33" s="27"/>
      <c r="I33" t="s">
        <v>190</v>
      </c>
    </row>
    <row r="34" spans="1:11" x14ac:dyDescent="0.25">
      <c r="A34" s="18">
        <f>+A33+0.1</f>
        <v>4.0999999999999996</v>
      </c>
      <c r="B34" s="1" t="s">
        <v>125</v>
      </c>
      <c r="C34" s="27">
        <f>'Financial Statements'!B8/AVERAGE('Financial Statements'!B48+'Financial Statements'!F88)</f>
        <v>1.0512525892888087</v>
      </c>
      <c r="D34" s="27">
        <f>'Financial Statements'!C8/AVERAGE('Financial Statements'!C42+'Financial Statements'!F89)</f>
        <v>2.5369779602479992</v>
      </c>
      <c r="E34" s="27">
        <f>'Financial Statements'!D8/AVERAGE('Financial Statements'!D48+'Financial Statements'!F90)</f>
        <v>0.79076540179921706</v>
      </c>
      <c r="I34" t="s">
        <v>191</v>
      </c>
    </row>
    <row r="35" spans="1:11" x14ac:dyDescent="0.25">
      <c r="A35" s="18">
        <f t="shared" ref="A35:A37" si="2">+A34+0.1</f>
        <v>4.1999999999999993</v>
      </c>
      <c r="B35" s="1" t="s">
        <v>126</v>
      </c>
      <c r="C35" s="27">
        <f>'Financial Statements'!B22/AVERAGE('Financial Statements'!B45+'Financial Statements'!B96)</f>
        <v>3.1775287338024132</v>
      </c>
      <c r="D35" s="27">
        <f>'Financial Statements'!C22/AVERAGE('Financial Statements'!C45+'Financial Statements'!C96)</f>
        <v>3.3390936342796684</v>
      </c>
      <c r="E35" s="27">
        <f>'Financial Statements'!D22/AVERAGE('Financial Statements'!D45+'Financial Statements'!D96)</f>
        <v>1.9489764741827069</v>
      </c>
      <c r="J35" t="s">
        <v>192</v>
      </c>
    </row>
    <row r="36" spans="1:11" x14ac:dyDescent="0.25">
      <c r="A36" s="18">
        <f t="shared" si="2"/>
        <v>4.2999999999999989</v>
      </c>
      <c r="B36" s="1" t="s">
        <v>127</v>
      </c>
      <c r="C36" s="27">
        <f>'Financial Statements'!B12/(AVERAGE('Financial Statements'!B85+'Financial Statements'!B39))</f>
        <v>34.76609642301711</v>
      </c>
      <c r="D36" s="27">
        <f>'Financial Statements'!C12/(AVERAGE('Financial Statements'!C85+'Financial Statements'!C39))</f>
        <v>54.083544946673442</v>
      </c>
      <c r="E36" s="27">
        <f>'Financial Statements'!D12/AVERAGE('Financial Statements'!D85+'Financial Statements'!D39)</f>
        <v>43.10091509913574</v>
      </c>
      <c r="I36" t="s">
        <v>193</v>
      </c>
      <c r="K36" t="s">
        <v>168</v>
      </c>
    </row>
    <row r="37" spans="1:11" x14ac:dyDescent="0.25">
      <c r="A37" s="18">
        <f t="shared" si="2"/>
        <v>4.3999999999999986</v>
      </c>
      <c r="B37" s="1" t="s">
        <v>128</v>
      </c>
      <c r="C37" s="27">
        <f>'Financial Statements'!B22/AVERAGE('Financial Statements'!B48+'Financial Statements'!F88)</f>
        <v>0.26606825325310646</v>
      </c>
      <c r="D37" s="27">
        <f>'Financial Statements'!C22/(AVERAGE('Financial Statements'!C48+'Financial Statements'!F89))</f>
        <v>0.26273726273726272</v>
      </c>
      <c r="E37" s="27">
        <f>'Financial Statements'!D22/(AVERAGE('Financial Statements'!F90))</f>
        <v>2.4679104156815543</v>
      </c>
      <c r="J37" t="s">
        <v>207</v>
      </c>
    </row>
    <row r="38" spans="1:11" x14ac:dyDescent="0.25">
      <c r="A38" s="18"/>
      <c r="J38" t="s">
        <v>194</v>
      </c>
    </row>
    <row r="40" spans="1:11" x14ac:dyDescent="0.25">
      <c r="A40" s="64" t="s">
        <v>226</v>
      </c>
      <c r="B40" s="61" t="s">
        <v>206</v>
      </c>
      <c r="C40" s="62">
        <v>129.93</v>
      </c>
      <c r="D40" s="62">
        <v>177.57</v>
      </c>
      <c r="E40" s="62">
        <v>132.69</v>
      </c>
    </row>
    <row r="43" spans="1:11" ht="15.75" thickBot="1" x14ac:dyDescent="0.3">
      <c r="A43" s="50">
        <f>+A33+1</f>
        <v>5</v>
      </c>
      <c r="B43" s="34" t="s">
        <v>129</v>
      </c>
      <c r="C43" s="47"/>
      <c r="D43" s="47"/>
      <c r="E43" s="47"/>
      <c r="I43" t="s">
        <v>195</v>
      </c>
    </row>
    <row r="44" spans="1:11" ht="15.75" thickTop="1" x14ac:dyDescent="0.25">
      <c r="A44" s="49">
        <f>+A43+0.1</f>
        <v>5.0999999999999996</v>
      </c>
      <c r="B44" s="33" t="s">
        <v>130</v>
      </c>
      <c r="C44" s="48">
        <f>(C40/C45)</f>
        <v>21.110989374968689</v>
      </c>
      <c r="D44" s="48">
        <f t="shared" ref="D44:E44" si="3">(D40/D45)</f>
        <v>31.322822866920152</v>
      </c>
      <c r="E44" s="48">
        <f t="shared" si="3"/>
        <v>40.104730280085697</v>
      </c>
      <c r="J44" t="s">
        <v>196</v>
      </c>
    </row>
    <row r="45" spans="1:11" x14ac:dyDescent="0.25">
      <c r="A45" s="35">
        <f t="shared" ref="A45:A46" si="4">+A44+0.1</f>
        <v>5.1999999999999993</v>
      </c>
      <c r="B45" s="30" t="s">
        <v>131</v>
      </c>
      <c r="C45" s="31">
        <f>('Financial Statements'!B22*1000000)/('Financial Statements'!B27*1000)</f>
        <v>6.1546144376377772</v>
      </c>
      <c r="D45" s="31">
        <f>('Financial Statements'!C22*1000000)/('Financial Statements'!C27*1000)</f>
        <v>5.6690292811230183</v>
      </c>
      <c r="E45" s="31">
        <f>('Financial Statements'!D22*1000000)/('Financial Statements'!D27*1000)</f>
        <v>3.3085872682177895</v>
      </c>
      <c r="I45" t="s">
        <v>197</v>
      </c>
    </row>
    <row r="46" spans="1:11" x14ac:dyDescent="0.25">
      <c r="A46" s="35">
        <f t="shared" si="4"/>
        <v>5.2999999999999989</v>
      </c>
      <c r="B46" s="30" t="s">
        <v>132</v>
      </c>
      <c r="C46" s="63">
        <f>('Financial Statements'!B27*1000*'Ratios, Growth Rates and Margin'!C40)/(('Financial Statements'!B48-'Financial Statements'!B62)*1000000)</f>
        <v>41.579966699360597</v>
      </c>
      <c r="D46" s="63">
        <f>('Financial Statements'!C27*1000*'Ratios, Growth Rates and Margin'!D40)/(('Financial Statements'!C48-'Financial Statements'!C62)*1000000)</f>
        <v>47.006575828815976</v>
      </c>
      <c r="E46" s="63">
        <f>('Financial Statements'!D27*1000*'Ratios, Growth Rates and Margin'!E40)/(('Financial Statements'!D48-'Financial Statements'!D62)*1000000)</f>
        <v>35.238566095440703</v>
      </c>
      <c r="I46" t="s">
        <v>198</v>
      </c>
    </row>
    <row r="47" spans="1:11" x14ac:dyDescent="0.25">
      <c r="A47" s="35">
        <f>+A46+0.1</f>
        <v>5.3999999999999986</v>
      </c>
      <c r="B47" s="30" t="s">
        <v>133</v>
      </c>
      <c r="C47" s="31">
        <f>('Financial Statements'!B68*1000000)/('Financial Statements'!B27*1000)</f>
        <v>3.124822127430853</v>
      </c>
      <c r="D47" s="31">
        <f>('Financial Statements'!C68*1000000)/('Financial Statements'!C27*1000)</f>
        <v>3.7775565837141025</v>
      </c>
      <c r="E47" s="31">
        <f>('Financial Statements'!D68*1000000)/('Financial Statements'!D27*1000)</f>
        <v>3.765476712094932</v>
      </c>
      <c r="I47" t="s">
        <v>199</v>
      </c>
    </row>
    <row r="48" spans="1:11" x14ac:dyDescent="0.25">
      <c r="A48" s="35">
        <f>+A47+0.1</f>
        <v>5.4999999999999982</v>
      </c>
      <c r="B48" s="30" t="s">
        <v>134</v>
      </c>
      <c r="C48" s="32">
        <f>C49/C45</f>
        <v>0.14870294480125848</v>
      </c>
      <c r="D48" s="32">
        <f>D49/D45</f>
        <v>0.15279890156316012</v>
      </c>
      <c r="E48" s="32">
        <f>E49/E45</f>
        <v>0.2452665865426486</v>
      </c>
      <c r="I48" t="s">
        <v>200</v>
      </c>
    </row>
    <row r="49" spans="1:10" x14ac:dyDescent="0.25">
      <c r="A49" s="35"/>
      <c r="B49" s="30" t="s">
        <v>135</v>
      </c>
      <c r="C49" s="32">
        <f>-('Financial Statements'!B102*1000000)/('Financial Statements'!B27*1000)</f>
        <v>0.91520929099307891</v>
      </c>
      <c r="D49" s="32">
        <f>-('Financial Statements'!C102*1000000)/('Financial Statements'!C27*1000)</f>
        <v>0.86622144708498849</v>
      </c>
      <c r="E49" s="32">
        <f>-('Financial Statements'!D102*1000000)/('Financial Statements'!D27*1000)</f>
        <v>0.81148590555424382</v>
      </c>
      <c r="I49" t="s">
        <v>201</v>
      </c>
    </row>
    <row r="50" spans="1:10" x14ac:dyDescent="0.25">
      <c r="A50" s="35">
        <f>+A48+0.1</f>
        <v>5.5999999999999979</v>
      </c>
      <c r="B50" s="30" t="s">
        <v>136</v>
      </c>
      <c r="C50" s="32">
        <f>C49/C40</f>
        <v>7.0438643191955584E-3</v>
      </c>
      <c r="D50" s="32">
        <f>D49/D40</f>
        <v>4.8781970326349528E-3</v>
      </c>
      <c r="E50" s="32">
        <f>E49/E40</f>
        <v>6.1156523140722275E-3</v>
      </c>
      <c r="J50" t="s">
        <v>202</v>
      </c>
    </row>
    <row r="51" spans="1:10" x14ac:dyDescent="0.25">
      <c r="A51" s="35">
        <f t="shared" ref="A51:A52" si="5">+A49+0.1</f>
        <v>0.1</v>
      </c>
      <c r="B51" s="30" t="s">
        <v>137</v>
      </c>
      <c r="C51" s="31">
        <f>'Financial Statements'!B22/'Financial Statements'!B68</f>
        <v>1.9695887275023682</v>
      </c>
      <c r="D51" s="31">
        <f>'Financial Statements'!C22/'Financial Statements'!C68</f>
        <v>1.5007132667617689</v>
      </c>
      <c r="E51" s="31">
        <f>'Financial Statements'!D22/'Financial Statements'!D68</f>
        <v>0.87866358530127486</v>
      </c>
    </row>
    <row r="52" spans="1:10" x14ac:dyDescent="0.25">
      <c r="A52" s="35">
        <f t="shared" si="5"/>
        <v>5.6999999999999975</v>
      </c>
      <c r="B52" s="30" t="s">
        <v>138</v>
      </c>
      <c r="C52" s="31">
        <f>C58/C59</f>
        <v>0.33942443653552756</v>
      </c>
      <c r="D52" s="31">
        <f>D58/D59</f>
        <v>0.32286189849491526</v>
      </c>
      <c r="E52" s="31">
        <f>E58/E59</f>
        <v>0.20466070379096252</v>
      </c>
    </row>
    <row r="53" spans="1:10" x14ac:dyDescent="0.25">
      <c r="A53" s="35">
        <f>+A51+0.1</f>
        <v>0.2</v>
      </c>
      <c r="B53" s="30" t="s">
        <v>128</v>
      </c>
      <c r="C53" s="32">
        <f>'Financial Statements'!B22/'Financial Statements'!B48</f>
        <v>0.28292440929256851</v>
      </c>
      <c r="D53" s="32">
        <f>'Financial Statements'!C22/'Financial Statements'!C48</f>
        <v>0.26974205275183616</v>
      </c>
      <c r="E53" s="32">
        <f>'Financial Statements'!D22/'Financial Statements'!D48</f>
        <v>0.1772557180259843</v>
      </c>
    </row>
    <row r="54" spans="1:10" x14ac:dyDescent="0.25">
      <c r="A54" s="35">
        <f>+A52+0.1</f>
        <v>5.7999999999999972</v>
      </c>
      <c r="B54" s="30" t="s">
        <v>139</v>
      </c>
      <c r="C54" s="32">
        <f>C61/C60</f>
        <v>5.0070490478185667E-2</v>
      </c>
      <c r="D54" s="32">
        <f>D61/D60</f>
        <v>3.3849633066919092E-2</v>
      </c>
      <c r="E54" s="32">
        <f>E61/E60</f>
        <v>2.6273633174107521E-2</v>
      </c>
    </row>
    <row r="57" spans="1:10" x14ac:dyDescent="0.25">
      <c r="A57" s="36" t="s">
        <v>212</v>
      </c>
      <c r="B57" s="38" t="s">
        <v>218</v>
      </c>
      <c r="C57" s="37">
        <f>'Financial Statements'!B27*C40/1000</f>
        <v>2106940.07259</v>
      </c>
      <c r="D57" s="37">
        <f>'Financial Statements'!C27*D40/1000</f>
        <v>2965644.8690399998</v>
      </c>
      <c r="E57" s="37">
        <f>'Financial Statements'!D27*E40/1000</f>
        <v>2302452.6701100003</v>
      </c>
    </row>
    <row r="58" spans="1:10" x14ac:dyDescent="0.25">
      <c r="A58" s="36" t="s">
        <v>208</v>
      </c>
      <c r="B58" s="38" t="s">
        <v>209</v>
      </c>
      <c r="C58" s="39">
        <f>('Financial Statements'!B18-(1-('Financial Statements'!B21/'Financial Statements'!B18)))</f>
        <v>119436.16159146663</v>
      </c>
      <c r="D58" s="39">
        <f>('Financial Statements'!C18-(1-('Financial Statements'!C21/'Financial Statements'!C18)))</f>
        <v>108948.13333761669</v>
      </c>
      <c r="E58" s="39">
        <f>('Financial Statements'!D18-(1-('Financial Statements'!D21/'Financial Statements'!D18)))</f>
        <v>66287.146029447264</v>
      </c>
    </row>
    <row r="59" spans="1:10" x14ac:dyDescent="0.25">
      <c r="A59" s="36" t="s">
        <v>210</v>
      </c>
      <c r="B59" s="38" t="s">
        <v>211</v>
      </c>
      <c r="C59" s="39">
        <f>('Financial Statements'!B48+'Financial Statements'!C48)/2</f>
        <v>351878.5</v>
      </c>
      <c r="D59" s="39">
        <f>('Financial Statements'!C48+'Financial Statements'!D48)/2</f>
        <v>337445</v>
      </c>
      <c r="E59" s="39">
        <f>('Financial Statements'!D48+'Financial Statements'!E48)</f>
        <v>323888</v>
      </c>
    </row>
    <row r="60" spans="1:10" x14ac:dyDescent="0.25">
      <c r="A60" s="40" t="s">
        <v>214</v>
      </c>
      <c r="B60" s="38" t="s">
        <v>225</v>
      </c>
      <c r="C60" s="39">
        <f>('Financial Statements'!B27*C40*0.001)-'Financial Statements'!B36+'Financial Statements'!B62</f>
        <v>2385377.07259</v>
      </c>
      <c r="D60" s="39">
        <f>('Financial Statements'!C27*D40*0.001)-'Financial Statements'!C36+'Financial Statements'!C62</f>
        <v>3218616.8690400003</v>
      </c>
      <c r="E60" s="39">
        <f>('Financial Statements'!D27*E40*0.001)-'Financial Statements'!D36+'Financial Statements'!D62</f>
        <v>2522985.6701100003</v>
      </c>
    </row>
    <row r="61" spans="1:10" x14ac:dyDescent="0.25">
      <c r="A61" s="36" t="s">
        <v>215</v>
      </c>
      <c r="B61" s="38" t="s">
        <v>112</v>
      </c>
      <c r="C61" s="39">
        <f>'Financial Statements'!B18</f>
        <v>119437</v>
      </c>
      <c r="D61" s="39">
        <f>'Financial Statements'!C18</f>
        <v>108949</v>
      </c>
      <c r="E61" s="39">
        <f>'Financial Statements'!D18</f>
        <v>66288</v>
      </c>
    </row>
    <row r="63" spans="1:10" ht="15.75" thickBot="1" x14ac:dyDescent="0.3">
      <c r="A63" s="59" t="s">
        <v>226</v>
      </c>
      <c r="B63" s="52" t="s">
        <v>224</v>
      </c>
      <c r="C63" s="47"/>
      <c r="D63" s="47"/>
      <c r="E63" s="47"/>
    </row>
    <row r="64" spans="1:10" ht="15.75" thickTop="1" x14ac:dyDescent="0.25">
      <c r="A64" s="46"/>
      <c r="B64" s="53"/>
      <c r="C64" s="46"/>
      <c r="D64" s="46"/>
      <c r="E64" s="46"/>
    </row>
    <row r="65" spans="1:5" x14ac:dyDescent="0.25">
      <c r="A65" s="29"/>
      <c r="B65" s="54" t="s">
        <v>217</v>
      </c>
      <c r="C65" s="29"/>
      <c r="D65" s="29"/>
      <c r="E65" s="29"/>
    </row>
    <row r="66" spans="1:5" x14ac:dyDescent="0.25">
      <c r="A66" s="29"/>
      <c r="B66" s="55"/>
      <c r="C66" s="29"/>
      <c r="D66" s="29"/>
      <c r="E66" s="29"/>
    </row>
    <row r="67" spans="1:5" x14ac:dyDescent="0.25">
      <c r="A67" s="29"/>
      <c r="B67" s="56" t="s">
        <v>220</v>
      </c>
      <c r="C67" s="42">
        <f>'Financial Statements'!B6/'Financial Statements'!C6-1</f>
        <v>6.3239764351428418E-2</v>
      </c>
      <c r="D67" s="42">
        <f>'Financial Statements'!C6/'Financial Statements'!D6-1</f>
        <v>0.34720743656765429</v>
      </c>
      <c r="E67" s="29"/>
    </row>
    <row r="68" spans="1:5" x14ac:dyDescent="0.25">
      <c r="A68" s="29"/>
      <c r="B68" s="56" t="s">
        <v>219</v>
      </c>
      <c r="C68" s="42">
        <f>'Financial Statements'!B7/'Financial Statements'!C7-1</f>
        <v>0.14181951041286078</v>
      </c>
      <c r="D68" s="42">
        <f>'Financial Statements'!C7/'Financial Statements'!D7-1</f>
        <v>0.27259708376729663</v>
      </c>
      <c r="E68" s="29"/>
    </row>
    <row r="69" spans="1:5" x14ac:dyDescent="0.25">
      <c r="A69" s="29"/>
      <c r="B69" s="56" t="s">
        <v>221</v>
      </c>
      <c r="C69" s="42">
        <f>'Financial Statements'!B8/'Financial Statements'!C8-1</f>
        <v>7.7937876041846099E-2</v>
      </c>
      <c r="D69" s="42">
        <f>'Financial Statements'!C8/'Financial Statements'!D8-1</f>
        <v>0.33259384733074704</v>
      </c>
      <c r="E69" s="43"/>
    </row>
    <row r="70" spans="1:5" x14ac:dyDescent="0.25">
      <c r="A70" s="29"/>
      <c r="B70" s="55"/>
      <c r="C70" s="29"/>
      <c r="D70" s="29"/>
      <c r="E70" s="43"/>
    </row>
    <row r="71" spans="1:5" x14ac:dyDescent="0.25">
      <c r="A71" s="29"/>
      <c r="B71" s="57" t="s">
        <v>216</v>
      </c>
      <c r="C71" s="42">
        <f>('Financial Statements'!B13/'Financial Statements'!C13)-1</f>
        <v>0.1174199795859614</v>
      </c>
      <c r="D71" s="42">
        <f>('Financial Statements'!C13/'Financial Statements'!D13)-1</f>
        <v>0.45619116582186825</v>
      </c>
      <c r="E71" s="43"/>
    </row>
    <row r="72" spans="1:5" x14ac:dyDescent="0.25">
      <c r="A72" s="29"/>
      <c r="B72" s="55"/>
      <c r="C72" s="29"/>
      <c r="D72" s="29"/>
      <c r="E72" s="43"/>
    </row>
    <row r="73" spans="1:5" x14ac:dyDescent="0.25">
      <c r="A73" s="29"/>
      <c r="B73" s="54" t="s">
        <v>10</v>
      </c>
      <c r="C73" s="29"/>
      <c r="D73" s="29"/>
      <c r="E73" s="43"/>
    </row>
    <row r="74" spans="1:5" x14ac:dyDescent="0.25">
      <c r="A74" s="29"/>
      <c r="B74" s="56" t="s">
        <v>222</v>
      </c>
      <c r="C74" s="42">
        <f>'Financial Statements'!B15/'Financial Statements'!C15-1</f>
        <v>0.19791001186456136</v>
      </c>
      <c r="D74" s="42">
        <f>'Financial Statements'!C15/'Financial Statements'!D15-1</f>
        <v>0.16862201365187723</v>
      </c>
      <c r="E74" s="43"/>
    </row>
    <row r="75" spans="1:5" x14ac:dyDescent="0.25">
      <c r="A75" s="29"/>
      <c r="B75" s="56" t="s">
        <v>223</v>
      </c>
      <c r="C75" s="42">
        <f>'Financial Statements'!B16/'Financial Statements'!C16-1</f>
        <v>0.14203795567287125</v>
      </c>
      <c r="D75" s="42">
        <f>'Financial Statements'!C16/'Financial Statements'!D16-1</f>
        <v>0.10328379192608961</v>
      </c>
      <c r="E75" s="43"/>
    </row>
    <row r="76" spans="1:5" x14ac:dyDescent="0.25">
      <c r="A76" s="29"/>
      <c r="B76" s="55"/>
      <c r="C76" s="29"/>
      <c r="D76" s="29"/>
      <c r="E76" s="43"/>
    </row>
    <row r="77" spans="1:5" x14ac:dyDescent="0.25">
      <c r="A77" s="29"/>
      <c r="B77" s="58" t="s">
        <v>25</v>
      </c>
      <c r="C77" s="29"/>
      <c r="D77" s="29"/>
      <c r="E77" s="43"/>
    </row>
    <row r="78" spans="1:5" x14ac:dyDescent="0.25">
      <c r="A78" s="29"/>
      <c r="B78" s="56" t="s">
        <v>26</v>
      </c>
      <c r="C78" s="42">
        <f>'Financial Statements'!B36/'Financial Statements'!C36-1</f>
        <v>-0.32323983972524328</v>
      </c>
      <c r="D78" s="42">
        <f>'Financial Statements'!C36/'Financial Statements'!D36-1</f>
        <v>-8.0913299663299632E-2</v>
      </c>
      <c r="E78" s="43"/>
    </row>
    <row r="79" spans="1:5" x14ac:dyDescent="0.25">
      <c r="A79" s="29"/>
      <c r="B79" s="56" t="s">
        <v>27</v>
      </c>
      <c r="C79" s="42">
        <f>'Financial Statements'!B37/'Financial Statements'!C37-1</f>
        <v>-0.10978735694429398</v>
      </c>
      <c r="D79" s="42">
        <f>'Financial Statements'!C37/'Financial Statements'!D37-1</f>
        <v>-0.47665652691442928</v>
      </c>
      <c r="E79" s="43"/>
    </row>
    <row r="80" spans="1:5" x14ac:dyDescent="0.25">
      <c r="A80" s="29"/>
      <c r="B80" s="56" t="s">
        <v>28</v>
      </c>
      <c r="C80" s="42">
        <f>'Financial Statements'!B38/'Financial Statements'!C38-1</f>
        <v>7.2532156176269069E-2</v>
      </c>
      <c r="D80" s="42">
        <f>'Financial Statements'!C38/'Financial Statements'!D38-1</f>
        <v>0.63014888337468977</v>
      </c>
      <c r="E80" s="43"/>
    </row>
    <row r="81" spans="1:5" x14ac:dyDescent="0.25">
      <c r="A81" s="29"/>
      <c r="B81" s="56" t="s">
        <v>29</v>
      </c>
      <c r="C81" s="42">
        <f>'Financial Statements'!B39/'Financial Statements'!C39-1</f>
        <v>-0.2483282674772036</v>
      </c>
      <c r="D81" s="42">
        <f>'Financial Statements'!C39/'Financial Statements'!D39-1</f>
        <v>0.62029056882541256</v>
      </c>
      <c r="E81" s="43"/>
    </row>
    <row r="82" spans="1:5" x14ac:dyDescent="0.25">
      <c r="A82" s="29"/>
      <c r="B82" s="56" t="s">
        <v>47</v>
      </c>
      <c r="C82" s="42">
        <f>'Financial Statements'!B40/'Financial Statements'!C40-1</f>
        <v>0.29808149674964324</v>
      </c>
      <c r="D82" s="42">
        <f>'Financial Statements'!C40/'Financial Statements'!D40-1</f>
        <v>0.18302461899179367</v>
      </c>
      <c r="E82" s="43"/>
    </row>
    <row r="83" spans="1:5" x14ac:dyDescent="0.25">
      <c r="A83" s="29"/>
      <c r="B83" s="56" t="s">
        <v>30</v>
      </c>
      <c r="C83" s="42">
        <f>'Financial Statements'!B41/'Financial Statements'!C41-1</f>
        <v>0.50400396853518536</v>
      </c>
      <c r="D83" s="42">
        <f>'Financial Statements'!C41/'Financial Statements'!D41-1</f>
        <v>0.25275213068181812</v>
      </c>
      <c r="E83" s="43"/>
    </row>
    <row r="84" spans="1:5" x14ac:dyDescent="0.25">
      <c r="A84" s="29"/>
      <c r="B84" s="55"/>
      <c r="C84" s="43"/>
      <c r="D84" s="43"/>
      <c r="E84" s="43"/>
    </row>
    <row r="85" spans="1:5" x14ac:dyDescent="0.25">
      <c r="A85" s="29"/>
      <c r="B85" s="58" t="s">
        <v>48</v>
      </c>
      <c r="C85" s="43"/>
      <c r="D85" s="43"/>
      <c r="E85" s="43"/>
    </row>
    <row r="86" spans="1:5" x14ac:dyDescent="0.25">
      <c r="A86" s="29"/>
      <c r="B86" s="56" t="s">
        <v>27</v>
      </c>
      <c r="C86" s="42">
        <f>'Financial Statements'!B44/'Financial Statements'!C44-1</f>
        <v>-5.5303142863845745E-2</v>
      </c>
      <c r="D86" s="42">
        <f>'Financial Statements'!C44/'Financial Statements'!D44-1</f>
        <v>0.26752703519779564</v>
      </c>
      <c r="E86" s="43"/>
    </row>
    <row r="87" spans="1:5" x14ac:dyDescent="0.25">
      <c r="A87" s="29"/>
      <c r="B87" s="56" t="s">
        <v>32</v>
      </c>
      <c r="C87" s="42">
        <f>'Financial Statements'!B45/'Financial Statements'!C45-1</f>
        <v>6.7875253549695813E-2</v>
      </c>
      <c r="D87" s="42">
        <f>'Financial Statements'!C45/'Financial Statements'!D45-1</f>
        <v>7.2730239895555604E-2</v>
      </c>
      <c r="E87" s="43"/>
    </row>
    <row r="88" spans="1:5" x14ac:dyDescent="0.25">
      <c r="A88" s="29"/>
      <c r="B88" s="56" t="s">
        <v>49</v>
      </c>
      <c r="C88" s="42">
        <f>'Financial Statements'!B46/'Financial Statements'!C46-1</f>
        <v>0.11420909332842033</v>
      </c>
      <c r="D88" s="42">
        <f>'Financial Statements'!C46/'Financial Statements'!D46-1</f>
        <v>0.1487935656836461</v>
      </c>
      <c r="E88" s="43"/>
    </row>
    <row r="89" spans="1:5" x14ac:dyDescent="0.25">
      <c r="A89" s="29"/>
      <c r="B89" s="55"/>
      <c r="C89" s="43"/>
      <c r="D89" s="43"/>
      <c r="E89" s="43"/>
    </row>
    <row r="90" spans="1:5" x14ac:dyDescent="0.25">
      <c r="A90" s="29"/>
      <c r="B90" s="58" t="s">
        <v>34</v>
      </c>
      <c r="C90" s="43"/>
      <c r="D90" s="43"/>
      <c r="E90" s="43"/>
    </row>
    <row r="91" spans="1:5" x14ac:dyDescent="0.25">
      <c r="A91" s="29"/>
      <c r="B91" s="56" t="s">
        <v>35</v>
      </c>
      <c r="C91" s="42">
        <f>'Financial Statements'!B51/'Financial Statements'!C51-1</f>
        <v>0.17077223672917841</v>
      </c>
      <c r="D91" s="42">
        <f>'Financial Statements'!C51/'Financial Statements'!D51-1</f>
        <v>0.29475600529600898</v>
      </c>
      <c r="E91" s="43"/>
    </row>
    <row r="92" spans="1:5" x14ac:dyDescent="0.25">
      <c r="A92" s="29"/>
      <c r="B92" s="56" t="s">
        <v>36</v>
      </c>
      <c r="C92" s="42">
        <f>'Financial Statements'!B52/'Financial Statements'!C52-1</f>
        <v>0.28113616743520087</v>
      </c>
      <c r="D92" s="42">
        <f>'Financial Statements'!C52/'Financial Statements'!D52-1</f>
        <v>0.11266516727579412</v>
      </c>
      <c r="E92" s="43"/>
    </row>
    <row r="93" spans="1:5" x14ac:dyDescent="0.25">
      <c r="A93" s="29"/>
      <c r="B93" s="56" t="s">
        <v>37</v>
      </c>
      <c r="C93" s="42">
        <f>'Financial Statements'!B53/'Financial Statements'!C53-1</f>
        <v>3.941145559642667E-2</v>
      </c>
      <c r="D93" s="42">
        <f>'Financial Statements'!C53/'Financial Statements'!D53-1</f>
        <v>0.14586783079933774</v>
      </c>
      <c r="E93" s="43"/>
    </row>
    <row r="94" spans="1:5" x14ac:dyDescent="0.25">
      <c r="A94" s="29"/>
      <c r="B94" s="56" t="s">
        <v>38</v>
      </c>
      <c r="C94" s="42">
        <f>'Financial Statements'!B54/'Financial Statements'!C54-1</f>
        <v>0.66366666666666663</v>
      </c>
      <c r="D94" s="42">
        <f>'Financial Statements'!C54/'Financial Statements'!D54-1</f>
        <v>0.20096076861489198</v>
      </c>
      <c r="E94" s="43"/>
    </row>
    <row r="95" spans="1:5" x14ac:dyDescent="0.25">
      <c r="A95" s="29"/>
      <c r="B95" s="56" t="s">
        <v>39</v>
      </c>
      <c r="C95" s="42">
        <f>'Financial Statements'!B55/'Financial Statements'!C55-1</f>
        <v>0.157599084572974</v>
      </c>
      <c r="D95" s="42">
        <f>'Financial Statements'!C55/'Financial Statements'!D55-1</f>
        <v>9.5748318705118018E-2</v>
      </c>
      <c r="E95" s="43"/>
    </row>
    <row r="96" spans="1:5" x14ac:dyDescent="0.25">
      <c r="A96" s="29"/>
      <c r="B96" s="55"/>
      <c r="C96" s="43"/>
      <c r="D96" s="43"/>
      <c r="E96" s="43"/>
    </row>
    <row r="97" spans="1:6" x14ac:dyDescent="0.25">
      <c r="A97" s="29"/>
      <c r="B97" s="58" t="s">
        <v>51</v>
      </c>
      <c r="C97" s="43"/>
      <c r="D97" s="43"/>
      <c r="E97" s="43"/>
    </row>
    <row r="98" spans="1:6" x14ac:dyDescent="0.25">
      <c r="A98" s="29"/>
      <c r="B98" s="56" t="s">
        <v>37</v>
      </c>
      <c r="C98" s="42">
        <f>'Financial Statements'!B59/'Financial Statements'!C59-1</f>
        <v>-9.3001301486627663E-2</v>
      </c>
      <c r="D98" s="42">
        <f>'Financial Statements'!C59/'Financial Statements'!D59-1</f>
        <v>0.10580031824216807</v>
      </c>
      <c r="E98" s="43"/>
    </row>
    <row r="99" spans="1:6" x14ac:dyDescent="0.25">
      <c r="A99" s="29"/>
      <c r="B99" s="56" t="s">
        <v>39</v>
      </c>
      <c r="C99" s="42">
        <f>'Financial Statements'!B60/'Financial Statements'!C60-1</f>
        <v>-7.8443506797937212E-2</v>
      </c>
      <c r="D99" s="42">
        <f>'Financial Statements'!C60/'Financial Statements'!D60-1</f>
        <v>-2.1380069737566565E-2</v>
      </c>
      <c r="E99" s="43"/>
    </row>
    <row r="100" spans="1:6" x14ac:dyDescent="0.25">
      <c r="A100" s="29"/>
      <c r="B100" s="56" t="s">
        <v>52</v>
      </c>
      <c r="C100" s="42">
        <f>'Financial Statements'!B61/'Financial Statements'!C61-1</f>
        <v>-8.8222075835277747E-2</v>
      </c>
      <c r="D100" s="42">
        <f>'Financial Statements'!C61/'Financial Statements'!D61-1</f>
        <v>6.0552243775994663E-2</v>
      </c>
      <c r="E100" s="43"/>
    </row>
    <row r="101" spans="1:6" x14ac:dyDescent="0.25">
      <c r="E101" s="28"/>
    </row>
    <row r="102" spans="1:6" x14ac:dyDescent="0.25">
      <c r="E102" s="28"/>
    </row>
    <row r="103" spans="1:6" ht="15.75" thickBot="1" x14ac:dyDescent="0.3">
      <c r="A103" s="59" t="s">
        <v>226</v>
      </c>
      <c r="B103" s="34" t="s">
        <v>230</v>
      </c>
      <c r="C103" s="47"/>
      <c r="D103" s="47"/>
      <c r="E103" s="47"/>
    </row>
    <row r="104" spans="1:6" ht="15.75" thickTop="1" x14ac:dyDescent="0.25">
      <c r="A104" s="46"/>
      <c r="B104" s="46"/>
      <c r="C104" s="46"/>
      <c r="D104" s="46"/>
      <c r="E104" s="46"/>
    </row>
    <row r="105" spans="1:6" x14ac:dyDescent="0.25">
      <c r="A105" s="29"/>
      <c r="B105" s="30" t="s">
        <v>229</v>
      </c>
      <c r="C105" s="42">
        <f>'Financial Statements'!B12/'Financial Statements'!B8</f>
        <v>0.56690369438639909</v>
      </c>
      <c r="D105" s="42">
        <f>'Financial Statements'!C12/'Financial Statements'!C8</f>
        <v>0.58220640374832222</v>
      </c>
      <c r="E105" s="42">
        <f>'Financial Statements'!D12/'Financial Statements'!D8</f>
        <v>0.61766752272189129</v>
      </c>
    </row>
    <row r="106" spans="1:6" x14ac:dyDescent="0.25">
      <c r="A106" s="29"/>
      <c r="B106" s="30" t="s">
        <v>89</v>
      </c>
      <c r="C106" s="42">
        <f>'Financial Statements'!B13/'Financial Statements'!B8</f>
        <v>0.43309630561360085</v>
      </c>
      <c r="D106" s="42">
        <f>'Financial Statements'!C13/'Financial Statements'!C8</f>
        <v>0.41779359625167778</v>
      </c>
      <c r="E106" s="42">
        <f>'Financial Statements'!D13/'Financial Statements'!D8</f>
        <v>0.38233247727810865</v>
      </c>
    </row>
    <row r="107" spans="1:6" x14ac:dyDescent="0.25">
      <c r="A107" s="29"/>
      <c r="B107" s="30" t="s">
        <v>227</v>
      </c>
      <c r="C107" s="42">
        <f>'Financial Statements'!B15/'Financial Statements'!B8</f>
        <v>6.657148363798665E-2</v>
      </c>
      <c r="D107" s="42">
        <f>'Financial Statements'!C15/'Financial Statements'!C8</f>
        <v>5.9904269074427925E-2</v>
      </c>
      <c r="E107" s="42">
        <f>'Financial Statements'!D15/'Financial Statements'!D8</f>
        <v>6.8309564140393061E-2</v>
      </c>
      <c r="F107" s="60"/>
    </row>
    <row r="108" spans="1:6" x14ac:dyDescent="0.25">
      <c r="A108" s="29"/>
      <c r="B108" s="30" t="s">
        <v>228</v>
      </c>
      <c r="C108" s="42">
        <f>'Financial Statements'!B16/'Financial Statements'!B8</f>
        <v>6.3637378020328261E-2</v>
      </c>
      <c r="D108" s="42">
        <f>'Financial Statements'!C16/'Financial Statements'!C8</f>
        <v>6.006555190163388E-2</v>
      </c>
      <c r="E108" s="42">
        <f>'Financial Statements'!D16/'Financial Statements'!D8</f>
        <v>7.2549769593646979E-2</v>
      </c>
      <c r="F108" s="60"/>
    </row>
    <row r="109" spans="1:6" x14ac:dyDescent="0.25">
      <c r="A109" s="29"/>
      <c r="B109" s="30" t="s">
        <v>14</v>
      </c>
      <c r="C109" s="42">
        <f>'Financial Statements'!B18/'Financial Statements'!B8</f>
        <v>0.30288744395528594</v>
      </c>
      <c r="D109" s="42">
        <f>'Financial Statements'!C18/'Financial Statements'!C8</f>
        <v>0.29782377527561593</v>
      </c>
      <c r="E109" s="42">
        <f>'Financial Statements'!D18/'Financial Statements'!D8</f>
        <v>0.24147314354406862</v>
      </c>
      <c r="F109" s="60"/>
    </row>
    <row r="110" spans="1:6" x14ac:dyDescent="0.25">
      <c r="A110" s="29"/>
      <c r="B110" s="30" t="s">
        <v>93</v>
      </c>
      <c r="C110" s="42">
        <f>'Financial Statements'!B22/'Financial Statements'!B8</f>
        <v>0.25309640705199732</v>
      </c>
      <c r="D110" s="42">
        <f>'Financial Statements'!C22/'Financial Statements'!C8</f>
        <v>0.25881793355694238</v>
      </c>
      <c r="E110" s="42">
        <f>'Financial Statements'!D22/'Financial Statements'!D8</f>
        <v>0.20913611278072236</v>
      </c>
      <c r="F110" s="60"/>
    </row>
    <row r="111" spans="1:6" x14ac:dyDescent="0.25">
      <c r="C111" s="51"/>
      <c r="D111" s="51"/>
      <c r="E111" s="51"/>
    </row>
    <row r="112" spans="1:6" x14ac:dyDescent="0.25">
      <c r="C112" s="51"/>
      <c r="D112" s="51"/>
      <c r="E112" s="51"/>
    </row>
    <row r="113" spans="1:5" ht="15.75" thickBot="1" x14ac:dyDescent="0.3">
      <c r="A113" s="59" t="s">
        <v>226</v>
      </c>
      <c r="B113" s="34" t="s">
        <v>231</v>
      </c>
      <c r="C113" s="47"/>
      <c r="D113" s="47"/>
      <c r="E113" s="47"/>
    </row>
    <row r="114" spans="1:5" ht="15.75" thickTop="1" x14ac:dyDescent="0.25">
      <c r="A114" s="46"/>
      <c r="B114" s="46"/>
      <c r="C114" s="46"/>
      <c r="D114" s="46"/>
      <c r="E114" s="46"/>
    </row>
    <row r="115" spans="1:5" x14ac:dyDescent="0.25">
      <c r="A115" s="29"/>
      <c r="B115" s="41" t="s">
        <v>232</v>
      </c>
      <c r="C115" s="42">
        <f>'Financial Statements'!B21/'Financial Statements'!B20</f>
        <v>0.16204461684424407</v>
      </c>
      <c r="D115" s="42">
        <f>'Financial Statements'!C21/'Financial Statements'!C20</f>
        <v>0.13302260844085087</v>
      </c>
      <c r="E115" s="42">
        <f>'Financial Statements'!D21/'Financial Statements'!D20</f>
        <v>0.14428164731484103</v>
      </c>
    </row>
    <row r="116" spans="1:5" x14ac:dyDescent="0.25">
      <c r="A116" s="29"/>
      <c r="B116" s="41" t="s">
        <v>233</v>
      </c>
      <c r="C116" s="42">
        <f>('Financial Statements'!B45-'Financial Statements'!C45+'Financial Statements'!B16)/'Financial Statements'!B8</f>
        <v>7.0426142703536143E-2</v>
      </c>
      <c r="D116" s="42">
        <f>('Financial Statements'!C45-'Financial Statements'!D45+'Financial Statements'!C16)/'Financial Statements'!C8</f>
        <v>6.7375217663476553E-2</v>
      </c>
      <c r="E116" s="42">
        <f>('Financial Statements'!D45-'Financial Statements'!E45+'Financial Statements'!D16)/'Financial Statements'!D8</f>
        <v>0.20648052019015353</v>
      </c>
    </row>
    <row r="117" spans="1:5" x14ac:dyDescent="0.25">
      <c r="A117" s="29"/>
      <c r="B117" s="41" t="s">
        <v>234</v>
      </c>
      <c r="C117" s="42">
        <f>('Financial Statements'!B45-'Financial Statements'!C45+'Financial Statements'!B16)/'Financial Statements'!B45</f>
        <v>0.65937744853622049</v>
      </c>
      <c r="D117" s="42">
        <f>('Financial Statements'!C45-'Financial Statements'!D45+'Financial Statements'!C16)/'Financial Statements'!C45</f>
        <v>0.62492393509127786</v>
      </c>
      <c r="E117" s="42">
        <f>('Financial Statements'!D45-'Financial Statements'!E45+'Financial Statements'!D16)/'Financial Statements'!D45</f>
        <v>1.5416961322961431</v>
      </c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Ratios, Growth Rates and Margin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Jack</cp:lastModifiedBy>
  <dcterms:created xsi:type="dcterms:W3CDTF">2020-05-18T16:32:37Z</dcterms:created>
  <dcterms:modified xsi:type="dcterms:W3CDTF">2023-11-05T13:51:44Z</dcterms:modified>
</cp:coreProperties>
</file>