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9999d8fae775c9/Documents/"/>
    </mc:Choice>
  </mc:AlternateContent>
  <xr:revisionPtr revIDLastSave="0" documentId="8_{8473B553-C7C6-46C7-8C0B-CB24905349E7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" l="1"/>
  <c r="D29" i="3"/>
  <c r="C29" i="3"/>
  <c r="C25" i="3"/>
  <c r="E30" i="3" l="1"/>
  <c r="D30" i="3"/>
  <c r="C30" i="3"/>
  <c r="E18" i="3"/>
  <c r="D18" i="3"/>
  <c r="C18" i="3"/>
  <c r="E19" i="3"/>
  <c r="E50" i="3" s="1"/>
  <c r="D19" i="3"/>
  <c r="C19" i="3"/>
  <c r="E51" i="3"/>
  <c r="D51" i="3"/>
  <c r="D50" i="3" s="1"/>
  <c r="C51" i="3"/>
  <c r="E43" i="3"/>
  <c r="D43" i="3"/>
  <c r="C43" i="3"/>
  <c r="C42" i="3" s="1"/>
  <c r="D42" i="3"/>
  <c r="E42" i="3"/>
  <c r="C40" i="3"/>
  <c r="E41" i="3"/>
  <c r="D41" i="3"/>
  <c r="C41" i="3"/>
  <c r="E40" i="3"/>
  <c r="D40" i="3"/>
  <c r="C50" i="3"/>
  <c r="E49" i="3"/>
  <c r="D49" i="3"/>
  <c r="C49" i="3"/>
  <c r="E48" i="3"/>
  <c r="D48" i="3"/>
  <c r="C48" i="3"/>
  <c r="E47" i="3"/>
  <c r="D47" i="3"/>
  <c r="C47" i="3"/>
  <c r="E37" i="3"/>
  <c r="D37" i="3"/>
  <c r="C37" i="3"/>
  <c r="E36" i="3"/>
  <c r="D36" i="3"/>
  <c r="C36" i="3"/>
  <c r="E35" i="3"/>
  <c r="D35" i="3"/>
  <c r="C35" i="3"/>
  <c r="E34" i="3"/>
  <c r="D34" i="3"/>
  <c r="C34" i="3"/>
  <c r="E31" i="3"/>
  <c r="D31" i="3"/>
  <c r="C31" i="3"/>
  <c r="E28" i="3"/>
  <c r="D28" i="3"/>
  <c r="C28" i="3"/>
  <c r="E27" i="3"/>
  <c r="D27" i="3"/>
  <c r="C27" i="3"/>
  <c r="E26" i="3"/>
  <c r="D26" i="3"/>
  <c r="C26" i="3"/>
  <c r="E25" i="3"/>
  <c r="D25" i="3"/>
  <c r="E20" i="3"/>
  <c r="D20" i="3"/>
  <c r="C20" i="3"/>
  <c r="E22" i="3"/>
  <c r="D22" i="3"/>
  <c r="C22" i="3"/>
  <c r="E21" i="3"/>
  <c r="D21" i="3"/>
  <c r="C21" i="3"/>
  <c r="E17" i="3"/>
  <c r="D17" i="3"/>
  <c r="C17" i="3"/>
  <c r="D10" i="2"/>
  <c r="C10" i="2"/>
  <c r="B10" i="2"/>
  <c r="C5" i="3"/>
  <c r="E13" i="3"/>
  <c r="D13" i="3"/>
  <c r="C13" i="3"/>
  <c r="E14" i="3"/>
  <c r="D14" i="3"/>
  <c r="C14" i="3"/>
  <c r="E12" i="3"/>
  <c r="D12" i="3"/>
  <c r="C12" i="3"/>
  <c r="E11" i="3"/>
  <c r="D11" i="3"/>
  <c r="C11" i="3"/>
  <c r="E10" i="3"/>
  <c r="D10" i="3"/>
  <c r="C10" i="3"/>
  <c r="E9" i="3"/>
  <c r="D9" i="3"/>
  <c r="C9" i="3"/>
  <c r="C8" i="3"/>
  <c r="E8" i="3"/>
  <c r="D8" i="3"/>
  <c r="E7" i="3"/>
  <c r="D7" i="3"/>
  <c r="C7" i="3"/>
  <c r="E6" i="3"/>
  <c r="D6" i="3"/>
  <c r="C6" i="3"/>
  <c r="E5" i="3"/>
  <c r="D5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<sst xmlns="http://schemas.openxmlformats.org/spreadsheetml/2006/main" count="184" uniqueCount="160">
  <si>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</si>
  <si>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</si>
  <si>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</si>
  <si>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</si>
  <si>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</si>
  <si>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</si>
  <si>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</si>
  <si>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</si>
  <si>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</si>
  <si>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</si>
  <si>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</si>
  <si>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</si>
  <si>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</si>
  <si>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</si>
  <si>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</si>
  <si>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</si>
  <si>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</si>
  <si>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</si>
  <si>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</si>
  <si>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</si>
  <si>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</si>
  <si>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</si>
  <si>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</si>
  <si>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</si>
  <si>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</si>
  <si>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</si>
  <si>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</si>
  <si>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</si>
  <si>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</si>
  <si>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</si>
  <si>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</si>
  <si>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</si>
  <si>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</si>
  <si>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</si>
  <si>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</si>
  <si>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</si>
  <si>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</si>
  <si>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</si>
  <si>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</si>
  <si>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</si>
  <si>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</si>
  <si>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</si>
  <si>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</si>
  <si>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</si>
  <si>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</si>
  <si>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</si>
  <si>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</si>
  <si>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</si>
  <si>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</si>
  <si>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</si>
  <si>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</si>
  <si>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</si>
  <si>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</si>
  <si>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</si>
  <si>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</si>
  <si>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</si>
  <si>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</si>
  <si>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</si>
  <si>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</si>
  <si>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</si>
  <si>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</si>
  <si>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</si>
  <si>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</si>
  <si>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</si>
  <si>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</si>
  <si>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</si>
  <si>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</si>
  <si>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Total cost of sales</t>
  </si>
  <si>
    <t>Total operating expenses</t>
  </si>
  <si>
    <t>Operating income</t>
  </si>
  <si>
    <t>Other income/(expense), net</t>
  </si>
  <si>
    <t>Income before 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</si>
  <si>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</si>
  <si>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</si>
  <si>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</si>
  <si>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</si>
  <si>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</si>
  <si>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</si>
  <si>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</si>
  <si>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</si>
  <si>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</si>
  <si>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</si>
  <si>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</si>
  <si>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Total non current assets</t>
  </si>
  <si>
    <t>Total assets</t>
  </si>
  <si>
    <t>Current liabilities:</t>
  </si>
  <si>
    <t>Accounts payable</t>
  </si>
  <si>
    <t>Total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</si>
  <si>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</si>
  <si>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</si>
  <si>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</si>
  <si>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</si>
  <si>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</si>
  <si>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</si>
  <si>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</si>
  <si>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</si>
  <si>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</si>
  <si>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Depreciation and amortization</t>
  </si>
  <si>
    <t>Share based compensation expense</t>
  </si>
  <si>
    <t>Deferred income tax expense/(benefit)</t>
  </si>
  <si>
    <t>Changes in operating assets and liabilities:</t>
  </si>
  <si>
    <t>Cash generated by operating activities</t>
  </si>
  <si>
    <t>Investing activities:</t>
  </si>
  <si>
    <t>Purchases of marketable securities</t>
  </si>
  <si>
    <t>Payments for acquisition of property, plant and equipment</t>
  </si>
  <si>
    <t>Cash generated by/(used in) investing activities</t>
  </si>
  <si>
    <t>Financing activities:</t>
  </si>
  <si>
    <t>Cash, cash equivalents and restricted cash, ending balances</t>
  </si>
  <si>
    <t>Supplemental cash flow disclosure:</t>
  </si>
  <si>
    <t>Accrued expenses and other</t>
  </si>
  <si>
    <t>Unearned revenue</t>
  </si>
  <si>
    <t>-</t>
  </si>
  <si>
    <t>Proceeds from maturities and sales of marketable securities</t>
  </si>
  <si>
    <t>Proceeds from property and equipment sales and incentives</t>
  </si>
  <si>
    <t>Acquisitions, net of cash acquired, and other</t>
  </si>
  <si>
    <t>Repayments of long-term debt and other</t>
  </si>
  <si>
    <t>Proceeds from long-term debt and other</t>
  </si>
  <si>
    <t>Principal repayments of finance leases</t>
  </si>
  <si>
    <t>Principal repyaments of financing obligations</t>
  </si>
  <si>
    <t>Forgeign currency effect on cash, cash equivalents, and restricted cash</t>
  </si>
  <si>
    <t>Cash paid for interest on long-term debt</t>
  </si>
  <si>
    <t>Cash paid for operating leases</t>
  </si>
  <si>
    <t>Cash paid for interest on finance leases</t>
  </si>
  <si>
    <t>Cash paid for interest on finiancing obligations</t>
  </si>
  <si>
    <t>Cash paid for income taxes, net of refunds</t>
  </si>
  <si>
    <t>Assets acquired under operating leases</t>
  </si>
  <si>
    <t>Property and equipment acquired under finance leases</t>
  </si>
  <si>
    <t>Fulfillment</t>
  </si>
  <si>
    <t>Technology and content</t>
  </si>
  <si>
    <t>General and administrative</t>
  </si>
  <si>
    <t>Other operating expense (income), net</t>
  </si>
  <si>
    <t>Interest expense</t>
  </si>
  <si>
    <t>Interest income</t>
  </si>
  <si>
    <t>Sales and marketing</t>
  </si>
  <si>
    <t>Benefit (provision) for income taxes</t>
  </si>
  <si>
    <t>Equity-method investment activity, net of cash</t>
  </si>
  <si>
    <t>Amazon.com, Inc.</t>
  </si>
  <si>
    <t>Total non-operating income (expense)</t>
  </si>
  <si>
    <t>Accounts recievable, net and other</t>
  </si>
  <si>
    <t>Property and equipment, net</t>
  </si>
  <si>
    <t>Operating leases</t>
  </si>
  <si>
    <t>Goodwill</t>
  </si>
  <si>
    <t>Other assets</t>
  </si>
  <si>
    <t>Long-term lease liabilities</t>
  </si>
  <si>
    <t>Long-term debt</t>
  </si>
  <si>
    <t>Other long-term liabilities</t>
  </si>
  <si>
    <t>Preferred stock (0.01 par value; 500 shares authorized; no shares issued or outstanding)</t>
  </si>
  <si>
    <t>Common stock (0.01 par value; 100000 shares authorized; 10644 and 10757 shares issued; 10175 and 10242 outstanding)</t>
  </si>
  <si>
    <t>Treasury stock, at cost</t>
  </si>
  <si>
    <t>Additional paid-in capital</t>
  </si>
  <si>
    <t>Adjustments to reconcile net income (loss) to net cash generated by operating</t>
  </si>
  <si>
    <t>Other expense (income), net</t>
  </si>
  <si>
    <t>Proceeds from short-term debt and other</t>
  </si>
  <si>
    <t>Repayments of short-term debt and other</t>
  </si>
  <si>
    <t>Common stock repurchased</t>
  </si>
  <si>
    <t>Cash provided by (used) in financing activities</t>
  </si>
  <si>
    <t>Increase/(Decrease) in cash, cash equivalents and restricted cash</t>
  </si>
  <si>
    <t>Property and equipment recognized during the construction period of build-to-suit lease arrangements</t>
  </si>
  <si>
    <t>Property and equipment derecognized during the construction period of build-to-suit lease arrangements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</si>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</sst>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8"/>
      <color rgb="FF000000"/>
      <name val="Calibri"/>
      <scheme val="minor"/>
    </font>
    <font>
      <b/>
      <sz val="8"/>
      <color rgb="FF000000"/>
      <name val="Calibri"/>
      <scheme val="minor"/>
    </font>
    <font>
      <sz val="10"/>
      <color rgb="FF000000"/>
      <name val="Arial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000000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000000"/>
      </bottom>
      <diagonal/>
    </border>
    <border>
      <left style="thin">
        <color rgb="FF9A9A9A"/>
      </left>
      <right style="thin">
        <color rgb="FF000000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/>
      <top style="thin">
        <color indexed="64"/>
      </top>
      <bottom/>
      <diagonal/>
    </border>
    <border>
      <left style="thin">
        <color rgb="FF9A9A9A"/>
      </left>
      <right/>
      <top/>
      <bottom/>
      <diagonal/>
    </border>
    <border>
      <left style="thin">
        <color rgb="FF9A9A9A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/>
      <diagonal/>
    </border>
    <border>
      <left style="thin">
        <color rgb="FF9A9A9A"/>
      </left>
      <right/>
      <top style="thin">
        <color rgb="FF9A9A9A"/>
      </top>
      <bottom style="thin">
        <color rgb="FF9A9A9A"/>
      </bottom>
      <diagonal/>
    </border>
    <border>
      <left style="thin">
        <color rgb="FF9A9A9A"/>
      </left>
      <right/>
      <top style="thin">
        <color rgb="FF9A9A9A"/>
      </top>
      <bottom style="thin">
        <color rgb="FF000000"/>
      </bottom>
      <diagonal/>
    </border>
    <border>
      <left style="thin">
        <color rgb="FF9A9A9A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0" fontId="0" fillId="4" borderId="0" xfId="0" applyFill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5" borderId="5" xfId="0" applyFont="1" applyFill="1" applyBorder="1"/>
    <xf numFmtId="0" fontId="8" fillId="0" borderId="5" xfId="0" applyFont="1" applyBorder="1"/>
    <xf numFmtId="0" fontId="8" fillId="0" borderId="7" xfId="0" applyFont="1" applyBorder="1"/>
    <xf numFmtId="0" fontId="10" fillId="0" borderId="5" xfId="0" applyFont="1" applyBorder="1"/>
    <xf numFmtId="0" fontId="9" fillId="0" borderId="3" xfId="0" applyFont="1" applyBorder="1"/>
    <xf numFmtId="165" fontId="0" fillId="0" borderId="9" xfId="1" applyNumberFormat="1" applyFont="1" applyBorder="1"/>
    <xf numFmtId="165" fontId="0" fillId="0" borderId="0" xfId="1" applyNumberFormat="1" applyFont="1" applyBorder="1"/>
    <xf numFmtId="0" fontId="9" fillId="0" borderId="12" xfId="0" applyFont="1" applyBorder="1"/>
    <xf numFmtId="0" fontId="9" fillId="0" borderId="0" xfId="0" applyFont="1"/>
    <xf numFmtId="0" fontId="8" fillId="0" borderId="13" xfId="0" applyFont="1" applyBorder="1"/>
    <xf numFmtId="165" fontId="1" fillId="0" borderId="0" xfId="1" applyNumberFormat="1" applyFont="1" applyBorder="1"/>
    <xf numFmtId="0" fontId="11" fillId="0" borderId="13" xfId="0" applyFont="1" applyBorder="1"/>
    <xf numFmtId="0" fontId="11" fillId="0" borderId="9" xfId="0" applyFont="1" applyBorder="1"/>
    <xf numFmtId="0" fontId="11" fillId="0" borderId="3" xfId="0" applyFont="1" applyBorder="1"/>
    <xf numFmtId="0" fontId="11" fillId="0" borderId="4" xfId="0" applyFont="1" applyBorder="1"/>
    <xf numFmtId="165" fontId="1" fillId="0" borderId="1" xfId="1" applyNumberFormat="1" applyFont="1" applyBorder="1"/>
    <xf numFmtId="0" fontId="11" fillId="0" borderId="6" xfId="0" applyFont="1" applyBorder="1"/>
    <xf numFmtId="165" fontId="1" fillId="0" borderId="2" xfId="1" applyNumberFormat="1" applyFont="1" applyBorder="1"/>
    <xf numFmtId="0" fontId="11" fillId="0" borderId="5" xfId="0" applyFont="1" applyBorder="1"/>
    <xf numFmtId="165" fontId="1" fillId="0" borderId="0" xfId="1" applyNumberFormat="1" applyFont="1" applyFill="1" applyBorder="1"/>
    <xf numFmtId="0" fontId="12" fillId="0" borderId="6" xfId="0" applyFont="1" applyBorder="1"/>
    <xf numFmtId="165" fontId="2" fillId="0" borderId="8" xfId="1" applyNumberFormat="1" applyFont="1" applyBorder="1"/>
    <xf numFmtId="165" fontId="2" fillId="0" borderId="10" xfId="1" applyNumberFormat="1" applyFont="1" applyBorder="1"/>
    <xf numFmtId="165" fontId="2" fillId="0" borderId="11" xfId="1" applyNumberFormat="1" applyFont="1" applyBorder="1"/>
    <xf numFmtId="0" fontId="11" fillId="0" borderId="14" xfId="0" applyFont="1" applyBorder="1"/>
    <xf numFmtId="0" fontId="8" fillId="0" borderId="14" xfId="0" applyFont="1" applyBorder="1"/>
    <xf numFmtId="0" fontId="9" fillId="0" borderId="15" xfId="0" applyFont="1" applyBorder="1"/>
    <xf numFmtId="10" fontId="0" fillId="0" borderId="0" xfId="3" applyNumberFormat="1" applyFont="1"/>
    <xf numFmtId="167" fontId="0" fillId="0" borderId="0" xfId="0" applyNumberFormat="1"/>
    <xf numFmtId="2" fontId="0" fillId="0" borderId="0" xfId="0" applyNumberForma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62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60</v>
      </c>
    </row>
    <row r="8" spans="1:1" x14ac:dyDescent="0.3">
      <c r="A8" s="2" t="s">
        <v>61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120"/>
  <sheetViews>
    <sheetView topLeftCell="A2" workbookViewId="0">
      <selection activeCell="A97" sqref="A97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136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57" t="s">
        <v>10</v>
      </c>
      <c r="B2" s="57"/>
      <c r="C2" s="57"/>
      <c r="D2" s="57"/>
    </row>
    <row r="3" spans="1:10" x14ac:dyDescent="0.3">
      <c r="B3" s="58" t="s">
        <v>56</v>
      </c>
      <c r="C3" s="58"/>
      <c r="D3" s="58"/>
    </row>
    <row r="4" spans="1:10" x14ac:dyDescent="0.3">
      <c r="B4" s="9">
        <v>2022</v>
      </c>
      <c r="C4" s="9">
        <v>2021</v>
      </c>
      <c r="D4" s="9">
        <v>2020</v>
      </c>
    </row>
    <row r="5" spans="1:10" x14ac:dyDescent="0.3">
      <c r="A5" s="23" t="s">
        <v>63</v>
      </c>
    </row>
    <row r="6" spans="1:10" x14ac:dyDescent="0.3">
      <c r="A6" s="23" t="s">
        <v>64</v>
      </c>
      <c r="B6" s="10">
        <v>242901</v>
      </c>
      <c r="C6" s="10">
        <v>241787</v>
      </c>
      <c r="D6" s="10">
        <v>118573</v>
      </c>
    </row>
    <row r="7" spans="1:10" x14ac:dyDescent="0.3">
      <c r="A7" s="24" t="s">
        <v>65</v>
      </c>
      <c r="B7" s="10">
        <v>271082</v>
      </c>
      <c r="C7" s="10">
        <v>228035</v>
      </c>
      <c r="D7" s="10">
        <v>59293</v>
      </c>
    </row>
    <row r="8" spans="1:10" x14ac:dyDescent="0.3">
      <c r="A8" s="25" t="s">
        <v>66</v>
      </c>
      <c r="B8" s="12">
        <v>513983</v>
      </c>
      <c r="C8" s="12">
        <v>469822</v>
      </c>
      <c r="D8" s="12">
        <v>177866</v>
      </c>
    </row>
    <row r="9" spans="1:10" x14ac:dyDescent="0.3">
      <c r="A9" s="26" t="s">
        <v>67</v>
      </c>
      <c r="B9" s="49">
        <v>288831</v>
      </c>
      <c r="C9" s="50">
        <v>272344</v>
      </c>
      <c r="D9" s="50">
        <v>111934</v>
      </c>
    </row>
    <row r="10" spans="1:10" x14ac:dyDescent="0.3">
      <c r="A10" s="25" t="s">
        <v>11</v>
      </c>
      <c r="B10" s="12">
        <f>B8-B9</f>
        <v>225152</v>
      </c>
      <c r="C10" s="12">
        <f>C8-C9</f>
        <v>197478</v>
      </c>
      <c r="D10" s="12">
        <f>D8-D9</f>
        <v>65932</v>
      </c>
    </row>
    <row r="11" spans="1:10" x14ac:dyDescent="0.3">
      <c r="A11" s="40" t="s">
        <v>127</v>
      </c>
      <c r="B11" s="10">
        <v>84299</v>
      </c>
      <c r="C11" s="10">
        <v>75111</v>
      </c>
      <c r="D11" s="10">
        <v>25249</v>
      </c>
    </row>
    <row r="12" spans="1:10" x14ac:dyDescent="0.3">
      <c r="A12" s="40" t="s">
        <v>128</v>
      </c>
      <c r="B12" s="10">
        <v>73213</v>
      </c>
      <c r="C12" s="10">
        <v>56052</v>
      </c>
      <c r="D12" s="10">
        <v>22620</v>
      </c>
    </row>
    <row r="13" spans="1:10" x14ac:dyDescent="0.3">
      <c r="A13" s="41" t="s">
        <v>133</v>
      </c>
      <c r="B13" s="10">
        <v>42238</v>
      </c>
      <c r="C13" s="10">
        <v>32551</v>
      </c>
      <c r="D13" s="10">
        <v>10069</v>
      </c>
    </row>
    <row r="14" spans="1:10" x14ac:dyDescent="0.3">
      <c r="A14" s="41" t="s">
        <v>129</v>
      </c>
      <c r="B14" s="10">
        <v>11891</v>
      </c>
      <c r="C14" s="10">
        <v>8823</v>
      </c>
      <c r="D14" s="10">
        <v>3674</v>
      </c>
    </row>
    <row r="15" spans="1:10" x14ac:dyDescent="0.3">
      <c r="A15" s="41" t="s">
        <v>130</v>
      </c>
      <c r="B15" s="10">
        <v>1263</v>
      </c>
      <c r="C15" s="10">
        <v>62</v>
      </c>
      <c r="D15" s="10">
        <v>214</v>
      </c>
    </row>
    <row r="16" spans="1:10" x14ac:dyDescent="0.3">
      <c r="A16" s="26" t="s">
        <v>68</v>
      </c>
      <c r="B16" s="12">
        <v>501735</v>
      </c>
      <c r="C16" s="12">
        <v>444943</v>
      </c>
      <c r="D16" s="12">
        <v>173760</v>
      </c>
    </row>
    <row r="17" spans="1:122" x14ac:dyDescent="0.3">
      <c r="A17" s="27" t="s">
        <v>69</v>
      </c>
      <c r="B17" s="12">
        <v>12248</v>
      </c>
      <c r="C17" s="12">
        <v>24879</v>
      </c>
      <c r="D17" s="12">
        <v>4106</v>
      </c>
    </row>
    <row r="18" spans="1:122" s="11" customFormat="1" x14ac:dyDescent="0.3">
      <c r="A18" s="51" t="s">
        <v>132</v>
      </c>
      <c r="B18" s="33">
        <v>989</v>
      </c>
      <c r="C18" s="33">
        <v>448</v>
      </c>
      <c r="D18" s="33">
        <v>202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</row>
    <row r="19" spans="1:122" x14ac:dyDescent="0.3">
      <c r="A19" s="51" t="s">
        <v>131</v>
      </c>
      <c r="B19" s="37">
        <v>-2367</v>
      </c>
      <c r="C19" s="37">
        <v>-1809</v>
      </c>
      <c r="D19" s="37">
        <v>-848</v>
      </c>
    </row>
    <row r="20" spans="1:122" x14ac:dyDescent="0.3">
      <c r="A20" s="52" t="s">
        <v>70</v>
      </c>
      <c r="B20" s="33">
        <v>-16806</v>
      </c>
      <c r="C20" s="33">
        <v>14633</v>
      </c>
      <c r="D20" s="33">
        <v>346</v>
      </c>
    </row>
    <row r="21" spans="1:122" x14ac:dyDescent="0.3">
      <c r="A21" s="25" t="s">
        <v>137</v>
      </c>
      <c r="B21" s="49">
        <v>-18184</v>
      </c>
      <c r="C21" s="50">
        <v>13272</v>
      </c>
      <c r="D21" s="50">
        <v>1279</v>
      </c>
    </row>
    <row r="22" spans="1:122" x14ac:dyDescent="0.3">
      <c r="A22" s="25" t="s">
        <v>71</v>
      </c>
      <c r="B22" s="12">
        <v>-5936</v>
      </c>
      <c r="C22" s="12">
        <v>38151</v>
      </c>
      <c r="D22" s="12">
        <v>24178</v>
      </c>
    </row>
    <row r="23" spans="1:122" x14ac:dyDescent="0.3">
      <c r="A23" s="41" t="s">
        <v>134</v>
      </c>
      <c r="B23" s="10">
        <v>3217</v>
      </c>
      <c r="C23" s="10">
        <v>-4791</v>
      </c>
      <c r="D23" s="10">
        <v>-2863</v>
      </c>
    </row>
    <row r="24" spans="1:122" ht="15" thickBot="1" x14ac:dyDescent="0.35">
      <c r="A24" s="43" t="s">
        <v>135</v>
      </c>
      <c r="B24" s="44">
        <v>-3</v>
      </c>
      <c r="C24" s="44">
        <v>4</v>
      </c>
      <c r="D24" s="44">
        <v>16</v>
      </c>
    </row>
    <row r="25" spans="1:122" ht="15.6" thickTop="1" thickBot="1" x14ac:dyDescent="0.35">
      <c r="A25" s="26" t="s">
        <v>72</v>
      </c>
      <c r="B25" s="13">
        <v>-2367</v>
      </c>
      <c r="C25" s="13">
        <v>33364</v>
      </c>
      <c r="D25" s="13">
        <v>21331</v>
      </c>
    </row>
    <row r="26" spans="1:122" ht="15" thickTop="1" x14ac:dyDescent="0.3">
      <c r="A26" s="28" t="s">
        <v>73</v>
      </c>
    </row>
    <row r="27" spans="1:122" x14ac:dyDescent="0.3">
      <c r="A27" s="29" t="s">
        <v>74</v>
      </c>
      <c r="B27" s="14">
        <v>-0.27</v>
      </c>
      <c r="C27" s="14">
        <v>3.3</v>
      </c>
      <c r="D27" s="14">
        <v>2.13</v>
      </c>
    </row>
    <row r="28" spans="1:122" x14ac:dyDescent="0.3">
      <c r="A28" s="29" t="s">
        <v>75</v>
      </c>
      <c r="B28" s="14">
        <v>-0.27</v>
      </c>
      <c r="C28" s="14">
        <v>3.24</v>
      </c>
      <c r="D28" s="14">
        <v>2.09</v>
      </c>
    </row>
    <row r="29" spans="1:122" x14ac:dyDescent="0.3">
      <c r="A29" s="23" t="s">
        <v>76</v>
      </c>
    </row>
    <row r="30" spans="1:122" x14ac:dyDescent="0.3">
      <c r="A30" s="23" t="s">
        <v>74</v>
      </c>
      <c r="B30" s="14">
        <v>10189</v>
      </c>
      <c r="C30" s="14">
        <v>10117</v>
      </c>
      <c r="D30" s="14">
        <v>10005</v>
      </c>
    </row>
    <row r="31" spans="1:122" x14ac:dyDescent="0.3">
      <c r="A31" s="23" t="s">
        <v>75</v>
      </c>
      <c r="B31" s="14">
        <v>10189</v>
      </c>
      <c r="C31" s="14">
        <v>10296</v>
      </c>
      <c r="D31" s="14">
        <v>10198</v>
      </c>
    </row>
    <row r="32" spans="1:122" x14ac:dyDescent="0.3">
      <c r="A32" s="22" t="s">
        <v>12</v>
      </c>
      <c r="B32" s="22"/>
      <c r="C32" s="22"/>
      <c r="D32" s="22"/>
    </row>
    <row r="33" spans="1:4" x14ac:dyDescent="0.3">
      <c r="B33" s="21" t="s">
        <v>57</v>
      </c>
      <c r="C33" s="21"/>
      <c r="D33" s="21"/>
    </row>
    <row r="34" spans="1:4" x14ac:dyDescent="0.3">
      <c r="B34" s="9">
        <v>2022</v>
      </c>
      <c r="C34" s="9">
        <v>2021</v>
      </c>
      <c r="D34" s="9">
        <v>2020</v>
      </c>
    </row>
    <row r="36" spans="1:4" x14ac:dyDescent="0.3">
      <c r="A36" s="23" t="s">
        <v>77</v>
      </c>
    </row>
    <row r="37" spans="1:4" x14ac:dyDescent="0.3">
      <c r="A37" s="23" t="s">
        <v>78</v>
      </c>
      <c r="B37" s="10">
        <v>53888</v>
      </c>
      <c r="C37" s="10">
        <v>36220</v>
      </c>
      <c r="D37" s="10">
        <v>42122</v>
      </c>
    </row>
    <row r="38" spans="1:4" x14ac:dyDescent="0.3">
      <c r="A38" s="23" t="s">
        <v>79</v>
      </c>
      <c r="B38" s="10">
        <v>16138</v>
      </c>
      <c r="C38" s="10">
        <v>59829</v>
      </c>
      <c r="D38" s="10">
        <v>42274</v>
      </c>
    </row>
    <row r="39" spans="1:4" x14ac:dyDescent="0.3">
      <c r="A39" s="23" t="s">
        <v>81</v>
      </c>
      <c r="B39" s="10">
        <v>34405</v>
      </c>
      <c r="C39" s="10">
        <v>32640</v>
      </c>
      <c r="D39" s="10">
        <v>23795</v>
      </c>
    </row>
    <row r="40" spans="1:4" x14ac:dyDescent="0.3">
      <c r="A40" s="23" t="s">
        <v>138</v>
      </c>
      <c r="B40" s="10">
        <v>42360</v>
      </c>
      <c r="C40" s="10">
        <v>32891</v>
      </c>
      <c r="D40" s="10">
        <v>24542</v>
      </c>
    </row>
    <row r="41" spans="1:4" x14ac:dyDescent="0.3">
      <c r="A41" s="25" t="s">
        <v>82</v>
      </c>
      <c r="B41" s="12">
        <v>146791</v>
      </c>
      <c r="C41" s="12">
        <v>161580</v>
      </c>
      <c r="D41" s="12">
        <v>132733</v>
      </c>
    </row>
    <row r="42" spans="1:4" x14ac:dyDescent="0.3">
      <c r="A42" s="24" t="s">
        <v>139</v>
      </c>
      <c r="B42" s="10">
        <v>186715</v>
      </c>
      <c r="C42" s="10">
        <v>160281</v>
      </c>
      <c r="D42" s="10">
        <v>113114</v>
      </c>
    </row>
    <row r="43" spans="1:4" x14ac:dyDescent="0.3">
      <c r="A43" s="24" t="s">
        <v>140</v>
      </c>
      <c r="B43" s="10">
        <v>66123</v>
      </c>
      <c r="C43" s="10">
        <v>56082</v>
      </c>
      <c r="D43" s="10">
        <v>37553</v>
      </c>
    </row>
    <row r="44" spans="1:4" x14ac:dyDescent="0.3">
      <c r="A44" s="23" t="s">
        <v>141</v>
      </c>
      <c r="B44" s="10">
        <v>20288</v>
      </c>
      <c r="C44" s="10">
        <v>15371</v>
      </c>
      <c r="D44" s="10">
        <v>15017</v>
      </c>
    </row>
    <row r="45" spans="1:4" x14ac:dyDescent="0.3">
      <c r="A45" s="23" t="s">
        <v>142</v>
      </c>
      <c r="B45" s="10">
        <v>42758</v>
      </c>
      <c r="C45" s="10">
        <v>27235</v>
      </c>
      <c r="D45" s="10">
        <v>22778</v>
      </c>
    </row>
    <row r="46" spans="1:4" x14ac:dyDescent="0.3">
      <c r="A46" s="26" t="s">
        <v>83</v>
      </c>
      <c r="B46" s="48">
        <v>315884</v>
      </c>
      <c r="C46" s="12">
        <v>258969</v>
      </c>
      <c r="D46" s="12">
        <v>188462</v>
      </c>
    </row>
    <row r="47" spans="1:4" x14ac:dyDescent="0.3">
      <c r="A47" s="53" t="s">
        <v>84</v>
      </c>
      <c r="B47" s="12">
        <v>462675</v>
      </c>
      <c r="C47" s="12">
        <v>420549</v>
      </c>
      <c r="D47" s="12">
        <v>321195</v>
      </c>
    </row>
    <row r="48" spans="1:4" x14ac:dyDescent="0.3">
      <c r="A48" s="30"/>
      <c r="B48" s="37"/>
      <c r="C48" s="37"/>
      <c r="D48" s="37"/>
    </row>
    <row r="49" spans="1:4" x14ac:dyDescent="0.3">
      <c r="A49" s="36" t="s">
        <v>85</v>
      </c>
      <c r="B49" s="37"/>
      <c r="C49" s="37"/>
      <c r="D49" s="37"/>
    </row>
    <row r="50" spans="1:4" x14ac:dyDescent="0.3">
      <c r="A50" s="23" t="s">
        <v>86</v>
      </c>
      <c r="B50" s="46">
        <v>79600</v>
      </c>
      <c r="C50" s="46">
        <v>78664</v>
      </c>
      <c r="D50" s="46">
        <v>72539</v>
      </c>
    </row>
    <row r="51" spans="1:4" x14ac:dyDescent="0.3">
      <c r="A51" s="23" t="s">
        <v>109</v>
      </c>
      <c r="B51" s="46">
        <v>62566</v>
      </c>
      <c r="C51" s="46">
        <v>51775</v>
      </c>
      <c r="D51" s="46">
        <v>44138</v>
      </c>
    </row>
    <row r="52" spans="1:4" x14ac:dyDescent="0.3">
      <c r="A52" s="23" t="s">
        <v>110</v>
      </c>
      <c r="B52" s="10">
        <v>13227</v>
      </c>
      <c r="C52" s="10">
        <v>11827</v>
      </c>
      <c r="D52" s="10">
        <v>9708</v>
      </c>
    </row>
    <row r="53" spans="1:4" x14ac:dyDescent="0.3">
      <c r="A53" s="25" t="s">
        <v>87</v>
      </c>
      <c r="B53" s="48">
        <v>155393</v>
      </c>
      <c r="C53" s="12">
        <v>142266</v>
      </c>
      <c r="D53" s="12">
        <v>126385</v>
      </c>
    </row>
    <row r="54" spans="1:4" x14ac:dyDescent="0.3">
      <c r="A54" s="24" t="s">
        <v>143</v>
      </c>
      <c r="B54" s="10">
        <v>72968</v>
      </c>
      <c r="C54" s="10">
        <v>67651</v>
      </c>
      <c r="D54" s="10">
        <v>52573</v>
      </c>
    </row>
    <row r="55" spans="1:4" x14ac:dyDescent="0.3">
      <c r="A55" s="45" t="s">
        <v>144</v>
      </c>
      <c r="B55" s="10">
        <v>67150</v>
      </c>
      <c r="C55" s="10">
        <v>48744</v>
      </c>
      <c r="D55" s="10">
        <v>31816</v>
      </c>
    </row>
    <row r="56" spans="1:4" x14ac:dyDescent="0.3">
      <c r="A56" s="40" t="s">
        <v>145</v>
      </c>
      <c r="B56" s="10">
        <v>21121</v>
      </c>
      <c r="C56" s="10">
        <v>23643</v>
      </c>
      <c r="D56" s="10">
        <v>17017</v>
      </c>
    </row>
    <row r="57" spans="1:4" x14ac:dyDescent="0.3">
      <c r="A57" s="26" t="s">
        <v>88</v>
      </c>
      <c r="B57" s="12">
        <v>161239</v>
      </c>
      <c r="C57" s="12">
        <v>140038</v>
      </c>
      <c r="D57" s="12">
        <v>101406</v>
      </c>
    </row>
    <row r="58" spans="1:4" x14ac:dyDescent="0.3">
      <c r="A58" s="25" t="s">
        <v>89</v>
      </c>
      <c r="B58" s="48">
        <v>316632</v>
      </c>
      <c r="C58" s="12">
        <v>282304</v>
      </c>
      <c r="D58" s="12">
        <v>227791</v>
      </c>
    </row>
    <row r="59" spans="1:4" x14ac:dyDescent="0.3">
      <c r="A59" s="23" t="s">
        <v>90</v>
      </c>
      <c r="B59" s="10"/>
      <c r="C59" s="10"/>
      <c r="D59" s="10"/>
    </row>
    <row r="60" spans="1:4" x14ac:dyDescent="0.3">
      <c r="A60" s="40" t="s">
        <v>146</v>
      </c>
      <c r="B60" s="10" t="s">
        <v>111</v>
      </c>
      <c r="C60" s="10" t="s">
        <v>111</v>
      </c>
      <c r="D60" s="10" t="s">
        <v>111</v>
      </c>
    </row>
    <row r="61" spans="1:4" x14ac:dyDescent="0.3">
      <c r="A61" s="40" t="s">
        <v>147</v>
      </c>
      <c r="B61" s="10">
        <v>108</v>
      </c>
      <c r="C61" s="10">
        <v>106</v>
      </c>
      <c r="D61" s="10">
        <v>5</v>
      </c>
    </row>
    <row r="62" spans="1:4" x14ac:dyDescent="0.3">
      <c r="A62" s="40" t="s">
        <v>148</v>
      </c>
      <c r="B62" s="10">
        <v>-7837</v>
      </c>
      <c r="C62" s="10">
        <v>-1837</v>
      </c>
      <c r="D62" s="10">
        <v>-1837</v>
      </c>
    </row>
    <row r="63" spans="1:4" x14ac:dyDescent="0.3">
      <c r="A63" s="41" t="s">
        <v>149</v>
      </c>
      <c r="B63" s="42">
        <v>75066</v>
      </c>
      <c r="C63" s="42">
        <v>55437</v>
      </c>
      <c r="D63" s="42">
        <v>42865</v>
      </c>
    </row>
    <row r="64" spans="1:4" x14ac:dyDescent="0.3">
      <c r="A64" s="41" t="s">
        <v>92</v>
      </c>
      <c r="B64" s="10">
        <v>-4487</v>
      </c>
      <c r="C64" s="10">
        <v>-1376</v>
      </c>
      <c r="D64" s="10">
        <v>-180</v>
      </c>
    </row>
    <row r="65" spans="1:4" x14ac:dyDescent="0.3">
      <c r="A65" s="43" t="s">
        <v>91</v>
      </c>
      <c r="B65" s="10">
        <v>83193</v>
      </c>
      <c r="C65" s="10">
        <v>85915</v>
      </c>
      <c r="D65" s="10">
        <v>52551</v>
      </c>
    </row>
    <row r="66" spans="1:4" x14ac:dyDescent="0.3">
      <c r="A66" s="26" t="s">
        <v>93</v>
      </c>
      <c r="B66" s="49">
        <v>146043</v>
      </c>
      <c r="C66" s="50">
        <v>138245</v>
      </c>
      <c r="D66" s="50">
        <v>93404</v>
      </c>
    </row>
    <row r="67" spans="1:4" x14ac:dyDescent="0.3">
      <c r="A67" s="26" t="s">
        <v>94</v>
      </c>
      <c r="B67" s="15">
        <v>462675</v>
      </c>
      <c r="C67" s="15">
        <v>420549</v>
      </c>
      <c r="D67" s="15">
        <v>321195</v>
      </c>
    </row>
    <row r="68" spans="1:4" x14ac:dyDescent="0.3">
      <c r="A68" s="10"/>
      <c r="B68" s="10"/>
      <c r="C68" s="10"/>
      <c r="D68" s="10"/>
    </row>
    <row r="69" spans="1:4" x14ac:dyDescent="0.3">
      <c r="A69" s="10"/>
      <c r="B69" s="10"/>
      <c r="C69" s="10"/>
      <c r="D69" s="10"/>
    </row>
    <row r="70" spans="1:4" x14ac:dyDescent="0.3">
      <c r="A70" s="10"/>
      <c r="B70" s="10"/>
      <c r="C70" s="10"/>
      <c r="D70" s="10"/>
    </row>
    <row r="72" spans="1:4" x14ac:dyDescent="0.3">
      <c r="A72" s="22" t="s">
        <v>13</v>
      </c>
      <c r="B72" s="22"/>
      <c r="C72" s="22"/>
      <c r="D72" s="22"/>
    </row>
    <row r="73" spans="1:4" x14ac:dyDescent="0.3">
      <c r="B73" s="21" t="s">
        <v>56</v>
      </c>
      <c r="C73" s="21"/>
      <c r="D73" s="21"/>
    </row>
    <row r="74" spans="1:4" x14ac:dyDescent="0.3">
      <c r="B74" s="9">
        <v>2022</v>
      </c>
      <c r="C74" s="9">
        <v>2021</v>
      </c>
      <c r="D74" s="9">
        <v>2020</v>
      </c>
    </row>
    <row r="76" spans="1:4" x14ac:dyDescent="0.3">
      <c r="A76" s="31" t="s">
        <v>95</v>
      </c>
      <c r="B76" s="48">
        <v>36477</v>
      </c>
      <c r="C76" s="12">
        <v>42377</v>
      </c>
      <c r="D76" s="12">
        <v>36410</v>
      </c>
    </row>
    <row r="77" spans="1:4" x14ac:dyDescent="0.3">
      <c r="A77" s="23" t="s">
        <v>96</v>
      </c>
      <c r="B77" s="10"/>
      <c r="C77" s="10"/>
      <c r="D77" s="10"/>
    </row>
    <row r="78" spans="1:4" x14ac:dyDescent="0.3">
      <c r="A78" s="31" t="s">
        <v>72</v>
      </c>
      <c r="B78" s="48">
        <v>-2722</v>
      </c>
      <c r="C78" s="12">
        <v>33364</v>
      </c>
      <c r="D78" s="12">
        <v>21331</v>
      </c>
    </row>
    <row r="79" spans="1:4" x14ac:dyDescent="0.3">
      <c r="A79" s="40" t="s">
        <v>150</v>
      </c>
      <c r="B79" s="32"/>
      <c r="C79" s="33"/>
      <c r="D79" s="33"/>
    </row>
    <row r="80" spans="1:4" x14ac:dyDescent="0.3">
      <c r="A80" s="23" t="s">
        <v>97</v>
      </c>
      <c r="B80" s="10">
        <v>41921</v>
      </c>
      <c r="C80" s="10">
        <v>34433</v>
      </c>
      <c r="D80" s="10">
        <v>25180</v>
      </c>
    </row>
    <row r="81" spans="1:5" x14ac:dyDescent="0.3">
      <c r="A81" s="23" t="s">
        <v>98</v>
      </c>
      <c r="B81" s="10">
        <v>19621</v>
      </c>
      <c r="C81" s="10">
        <v>12757</v>
      </c>
      <c r="D81" s="10">
        <v>9208</v>
      </c>
    </row>
    <row r="82" spans="1:5" x14ac:dyDescent="0.3">
      <c r="A82" s="40" t="s">
        <v>151</v>
      </c>
      <c r="B82" s="10">
        <v>16966</v>
      </c>
      <c r="C82" s="10">
        <v>-14306</v>
      </c>
      <c r="D82" s="10">
        <v>-2582</v>
      </c>
    </row>
    <row r="83" spans="1:5" x14ac:dyDescent="0.3">
      <c r="A83" s="23" t="s">
        <v>99</v>
      </c>
      <c r="B83" s="10">
        <v>-8148</v>
      </c>
      <c r="C83" s="10">
        <v>-310</v>
      </c>
      <c r="D83" s="10">
        <v>-554</v>
      </c>
    </row>
    <row r="84" spans="1:5" x14ac:dyDescent="0.3">
      <c r="A84" s="23" t="s">
        <v>100</v>
      </c>
      <c r="B84" s="10"/>
      <c r="C84" s="10"/>
      <c r="D84" s="10"/>
    </row>
    <row r="85" spans="1:5" x14ac:dyDescent="0.3">
      <c r="A85" s="23" t="s">
        <v>81</v>
      </c>
      <c r="B85" s="10">
        <v>-2592</v>
      </c>
      <c r="C85" s="10">
        <v>-9487</v>
      </c>
      <c r="D85" s="10">
        <v>-2849</v>
      </c>
    </row>
    <row r="86" spans="1:5" x14ac:dyDescent="0.3">
      <c r="A86" s="23" t="s">
        <v>80</v>
      </c>
      <c r="B86" s="10">
        <v>-21897</v>
      </c>
      <c r="C86" s="10">
        <v>-18163</v>
      </c>
      <c r="D86" s="10">
        <v>-8169</v>
      </c>
      <c r="E86" s="10"/>
    </row>
    <row r="87" spans="1:5" x14ac:dyDescent="0.3">
      <c r="A87" s="23" t="s">
        <v>86</v>
      </c>
      <c r="B87" s="10">
        <v>2945</v>
      </c>
      <c r="C87" s="10">
        <v>3602</v>
      </c>
      <c r="D87" s="10">
        <v>17480</v>
      </c>
    </row>
    <row r="88" spans="1:5" x14ac:dyDescent="0.3">
      <c r="A88" s="23" t="s">
        <v>109</v>
      </c>
      <c r="B88" s="10">
        <v>-1558</v>
      </c>
      <c r="C88" s="10">
        <v>2123</v>
      </c>
      <c r="D88" s="10">
        <v>5754</v>
      </c>
    </row>
    <row r="89" spans="1:5" x14ac:dyDescent="0.3">
      <c r="A89" s="23" t="s">
        <v>110</v>
      </c>
      <c r="B89" s="10">
        <v>2216</v>
      </c>
      <c r="C89" s="10">
        <v>2314</v>
      </c>
      <c r="D89" s="10">
        <v>1265</v>
      </c>
    </row>
    <row r="90" spans="1:5" x14ac:dyDescent="0.3">
      <c r="A90" s="25" t="s">
        <v>101</v>
      </c>
      <c r="B90" s="12">
        <v>46752</v>
      </c>
      <c r="C90" s="12">
        <v>46327</v>
      </c>
      <c r="D90" s="12">
        <v>66064</v>
      </c>
    </row>
    <row r="91" spans="1:5" x14ac:dyDescent="0.3">
      <c r="A91" s="31" t="s">
        <v>102</v>
      </c>
      <c r="B91" s="10"/>
      <c r="C91" s="10"/>
      <c r="D91" s="10"/>
    </row>
    <row r="92" spans="1:5" x14ac:dyDescent="0.3">
      <c r="A92" s="23" t="s">
        <v>104</v>
      </c>
      <c r="B92" s="10">
        <v>-63645</v>
      </c>
      <c r="C92" s="10">
        <v>-61053</v>
      </c>
      <c r="D92" s="10">
        <v>-40140</v>
      </c>
    </row>
    <row r="93" spans="1:5" x14ac:dyDescent="0.3">
      <c r="A93" s="23" t="s">
        <v>113</v>
      </c>
      <c r="B93" s="10">
        <v>5324</v>
      </c>
      <c r="C93" s="10">
        <v>5657</v>
      </c>
      <c r="D93" s="10">
        <v>5096</v>
      </c>
    </row>
    <row r="94" spans="1:5" x14ac:dyDescent="0.3">
      <c r="A94" s="24" t="s">
        <v>114</v>
      </c>
      <c r="B94" s="10">
        <v>-8316</v>
      </c>
      <c r="C94" s="10">
        <v>-1985</v>
      </c>
      <c r="D94" s="10">
        <v>-2325</v>
      </c>
    </row>
    <row r="95" spans="1:5" x14ac:dyDescent="0.3">
      <c r="A95" s="23" t="s">
        <v>112</v>
      </c>
      <c r="B95" s="10">
        <v>31601</v>
      </c>
      <c r="C95" s="10">
        <v>59384</v>
      </c>
      <c r="D95" s="10">
        <v>50237</v>
      </c>
      <c r="E95" s="10"/>
    </row>
    <row r="96" spans="1:5" x14ac:dyDescent="0.3">
      <c r="A96" s="23" t="s">
        <v>103</v>
      </c>
      <c r="B96" s="10">
        <v>-2565</v>
      </c>
      <c r="C96" s="10">
        <v>-60157</v>
      </c>
      <c r="D96" s="10">
        <v>-72479</v>
      </c>
    </row>
    <row r="97" spans="1:4" x14ac:dyDescent="0.3">
      <c r="A97" s="25" t="s">
        <v>105</v>
      </c>
      <c r="B97" s="48">
        <v>-37601</v>
      </c>
      <c r="C97" s="12">
        <v>-58154</v>
      </c>
      <c r="D97" s="12">
        <v>-59611</v>
      </c>
    </row>
    <row r="98" spans="1:4" x14ac:dyDescent="0.3">
      <c r="A98" s="31" t="s">
        <v>106</v>
      </c>
      <c r="B98" s="10"/>
      <c r="C98" s="10"/>
      <c r="D98" s="10"/>
    </row>
    <row r="99" spans="1:4" x14ac:dyDescent="0.3">
      <c r="A99" s="40" t="s">
        <v>154</v>
      </c>
      <c r="B99" s="10">
        <v>-6000</v>
      </c>
      <c r="C99" s="10" t="s">
        <v>111</v>
      </c>
      <c r="D99" s="10" t="s">
        <v>111</v>
      </c>
    </row>
    <row r="100" spans="1:4" x14ac:dyDescent="0.3">
      <c r="A100" s="40" t="s">
        <v>152</v>
      </c>
      <c r="B100" s="10">
        <v>41553</v>
      </c>
      <c r="C100" s="10">
        <v>7956</v>
      </c>
      <c r="D100" s="10">
        <v>6796</v>
      </c>
    </row>
    <row r="101" spans="1:4" x14ac:dyDescent="0.3">
      <c r="A101" s="40" t="s">
        <v>153</v>
      </c>
      <c r="B101" s="10">
        <v>-37554</v>
      </c>
      <c r="C101" s="10">
        <v>-7753</v>
      </c>
      <c r="D101" s="10">
        <v>-6177</v>
      </c>
    </row>
    <row r="102" spans="1:4" x14ac:dyDescent="0.3">
      <c r="A102" s="23" t="s">
        <v>116</v>
      </c>
      <c r="B102" s="10">
        <v>21166</v>
      </c>
      <c r="C102" s="10">
        <v>19003</v>
      </c>
      <c r="D102" s="10">
        <v>10525</v>
      </c>
    </row>
    <row r="103" spans="1:4" x14ac:dyDescent="0.3">
      <c r="A103" s="23" t="s">
        <v>115</v>
      </c>
      <c r="B103" s="10">
        <v>-1258</v>
      </c>
      <c r="C103" s="10">
        <v>-1590</v>
      </c>
      <c r="D103" s="10">
        <v>-1553</v>
      </c>
    </row>
    <row r="104" spans="1:4" x14ac:dyDescent="0.3">
      <c r="A104" s="23" t="s">
        <v>117</v>
      </c>
      <c r="B104" s="10">
        <v>-7941</v>
      </c>
      <c r="C104" s="10">
        <v>-11163</v>
      </c>
      <c r="D104" s="10">
        <v>-10642</v>
      </c>
    </row>
    <row r="105" spans="1:4" x14ac:dyDescent="0.3">
      <c r="A105" s="23" t="s">
        <v>118</v>
      </c>
      <c r="B105" s="10">
        <v>-248</v>
      </c>
      <c r="C105" s="10">
        <v>-162</v>
      </c>
      <c r="D105" s="10">
        <v>-53</v>
      </c>
    </row>
    <row r="106" spans="1:4" x14ac:dyDescent="0.3">
      <c r="A106" s="47" t="s">
        <v>155</v>
      </c>
      <c r="B106" s="48">
        <v>9718</v>
      </c>
      <c r="C106" s="12">
        <v>6291</v>
      </c>
      <c r="D106" s="12">
        <v>-1104</v>
      </c>
    </row>
    <row r="107" spans="1:4" x14ac:dyDescent="0.3">
      <c r="A107" s="24" t="s">
        <v>119</v>
      </c>
      <c r="B107" s="10">
        <v>-1093</v>
      </c>
      <c r="C107" s="10">
        <v>-364</v>
      </c>
      <c r="D107" s="10">
        <v>618</v>
      </c>
    </row>
    <row r="108" spans="1:4" x14ac:dyDescent="0.3">
      <c r="A108" s="47" t="s">
        <v>156</v>
      </c>
      <c r="B108" s="48">
        <v>17776</v>
      </c>
      <c r="C108" s="12">
        <v>-5900</v>
      </c>
      <c r="D108" s="12">
        <v>5967</v>
      </c>
    </row>
    <row r="109" spans="1:4" x14ac:dyDescent="0.3">
      <c r="A109" s="34" t="s">
        <v>107</v>
      </c>
      <c r="B109" s="49">
        <v>54253</v>
      </c>
      <c r="C109" s="50">
        <v>36477</v>
      </c>
      <c r="D109" s="50">
        <v>42377</v>
      </c>
    </row>
    <row r="110" spans="1:4" x14ac:dyDescent="0.3">
      <c r="A110" s="35"/>
      <c r="B110" s="10"/>
      <c r="C110" s="10"/>
      <c r="D110" s="10"/>
    </row>
    <row r="111" spans="1:4" x14ac:dyDescent="0.3">
      <c r="A111" s="36" t="s">
        <v>108</v>
      </c>
      <c r="B111" s="10"/>
      <c r="C111" s="10"/>
      <c r="D111" s="10"/>
    </row>
    <row r="112" spans="1:4" x14ac:dyDescent="0.3">
      <c r="A112" s="36" t="s">
        <v>120</v>
      </c>
      <c r="B112" s="10">
        <v>916</v>
      </c>
      <c r="C112" s="10">
        <v>1098</v>
      </c>
      <c r="D112" s="10">
        <v>1561</v>
      </c>
    </row>
    <row r="113" spans="1:4" x14ac:dyDescent="0.3">
      <c r="A113" s="36" t="s">
        <v>121</v>
      </c>
      <c r="B113" s="10">
        <v>4475</v>
      </c>
      <c r="C113" s="10">
        <v>6722</v>
      </c>
      <c r="D113" s="10">
        <v>8633</v>
      </c>
    </row>
    <row r="114" spans="1:4" x14ac:dyDescent="0.3">
      <c r="A114" s="36" t="s">
        <v>122</v>
      </c>
      <c r="B114" s="10">
        <v>612</v>
      </c>
      <c r="C114" s="10">
        <v>521</v>
      </c>
      <c r="D114" s="10">
        <v>374</v>
      </c>
    </row>
    <row r="115" spans="1:4" x14ac:dyDescent="0.3">
      <c r="A115" s="36" t="s">
        <v>123</v>
      </c>
      <c r="B115" s="37">
        <v>102</v>
      </c>
      <c r="C115" s="37">
        <v>153</v>
      </c>
      <c r="D115" s="37">
        <v>207</v>
      </c>
    </row>
    <row r="116" spans="1:4" x14ac:dyDescent="0.3">
      <c r="A116" s="36" t="s">
        <v>124</v>
      </c>
      <c r="B116" s="37">
        <v>1713</v>
      </c>
      <c r="C116" s="37">
        <v>3688</v>
      </c>
      <c r="D116" s="37">
        <v>6035</v>
      </c>
    </row>
    <row r="117" spans="1:4" x14ac:dyDescent="0.3">
      <c r="A117" s="38" t="s">
        <v>125</v>
      </c>
      <c r="B117" s="37">
        <v>16217</v>
      </c>
      <c r="C117" s="37">
        <v>25369</v>
      </c>
      <c r="D117" s="37">
        <v>18800</v>
      </c>
    </row>
    <row r="118" spans="1:4" x14ac:dyDescent="0.3">
      <c r="A118" s="38" t="s">
        <v>126</v>
      </c>
      <c r="B118" s="33">
        <v>11588</v>
      </c>
      <c r="C118" s="33">
        <v>7061</v>
      </c>
      <c r="D118" s="33">
        <v>675</v>
      </c>
    </row>
    <row r="119" spans="1:4" x14ac:dyDescent="0.3">
      <c r="A119" s="39" t="s">
        <v>157</v>
      </c>
      <c r="B119" s="10">
        <v>2267</v>
      </c>
      <c r="C119" s="10">
        <v>5846</v>
      </c>
      <c r="D119" s="10">
        <v>3187</v>
      </c>
    </row>
    <row r="120" spans="1:4" x14ac:dyDescent="0.3">
      <c r="A120" s="39" t="s">
        <v>158</v>
      </c>
      <c r="B120" t="s">
        <v>111</v>
      </c>
      <c r="C120" s="10">
        <v>230</v>
      </c>
      <c r="D120" s="10">
        <v>5158</v>
      </c>
    </row>
  </sheetData>
  <mergeCells count="2">
    <mergeCell ref="A2:D2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zoomScale="91" zoomScaleNormal="91" workbookViewId="0">
      <selection activeCell="C17" sqref="C17"/>
    </sheetView>
  </sheetViews>
  <sheetFormatPr defaultRowHeight="14.4" x14ac:dyDescent="0.3"/>
  <cols>
    <col min="1" max="1" width="4.6640625" customWidth="1"/>
    <col min="2" max="2" width="44.88671875" customWidth="1"/>
    <col min="3" max="3" width="13.6640625" bestFit="1" customWidth="1"/>
    <col min="4" max="5" width="12.5546875" bestFit="1" customWidth="1"/>
  </cols>
  <sheetData>
    <row r="1" spans="1:10" ht="60" customHeight="1" x14ac:dyDescent="0.5">
      <c r="A1" s="7"/>
      <c r="B1" s="17" t="s">
        <v>58</v>
      </c>
      <c r="C1" s="18"/>
      <c r="D1" s="18"/>
      <c r="E1" s="18"/>
      <c r="F1" s="18"/>
      <c r="G1" s="18"/>
      <c r="H1" s="18"/>
      <c r="I1" s="18"/>
      <c r="J1" s="18"/>
    </row>
    <row r="2" spans="1:10" x14ac:dyDescent="0.3">
      <c r="C2" s="58" t="s">
        <v>59</v>
      </c>
      <c r="D2" s="58"/>
      <c r="E2" s="58"/>
    </row>
    <row r="3" spans="1:10" x14ac:dyDescent="0.3">
      <c r="C3" s="9">
        <v>2022</v>
      </c>
      <c r="D3" s="9">
        <v>2021</v>
      </c>
      <c r="E3" s="9">
        <v>2020</v>
      </c>
    </row>
    <row r="4" spans="1:10" x14ac:dyDescent="0.3">
      <c r="A4" s="19">
        <v>1</v>
      </c>
      <c r="B4" s="9" t="s">
        <v>14</v>
      </c>
    </row>
    <row r="5" spans="1:10" x14ac:dyDescent="0.3">
      <c r="A5" s="19">
        <f>+A4+0.1</f>
        <v>1.1000000000000001</v>
      </c>
      <c r="B5" s="1" t="s">
        <v>15</v>
      </c>
      <c r="C5" s="55">
        <f>'Financial Statements'!B41/'Financial Statements'!B53</f>
        <v>0.9446435811136924</v>
      </c>
      <c r="D5" s="55">
        <f>'Financial Statements'!C41/'Financial Statements'!C53</f>
        <v>1.1357597739445826</v>
      </c>
      <c r="E5" s="55">
        <f>'Financial Statements'!D41/'Financial Statements'!D53</f>
        <v>1.0502274795268425</v>
      </c>
      <c r="F5" t="s">
        <v>159</v>
      </c>
    </row>
    <row r="6" spans="1:10" x14ac:dyDescent="0.3">
      <c r="A6" s="19">
        <f t="shared" ref="A6:A13" si="0">+A5+0.1</f>
        <v>1.2000000000000002</v>
      </c>
      <c r="B6" s="1" t="s">
        <v>16</v>
      </c>
      <c r="C6" s="55">
        <f>('Financial Statements'!B37+'Financial Statements'!B38+'Financial Statements'!B40)/'Financial Statements'!B53</f>
        <v>0.72323721145740161</v>
      </c>
      <c r="D6" s="55">
        <f>('Financial Statements'!C37+'Financial Statements'!C38+'Financial Statements'!C40)/'Financial Statements'!C53</f>
        <v>0.90633039517523517</v>
      </c>
      <c r="E6" s="55">
        <f>('Financial Statements'!D37+'Financial Statements'!D38+'Financial Statements'!D40)/'Financial Statements'!D53</f>
        <v>0.86195355461486722</v>
      </c>
    </row>
    <row r="7" spans="1:10" x14ac:dyDescent="0.3">
      <c r="A7" s="19">
        <f t="shared" si="0"/>
        <v>1.3000000000000003</v>
      </c>
      <c r="B7" s="1" t="s">
        <v>17</v>
      </c>
      <c r="C7" s="55">
        <f>'Financial Statements'!B37/'Financial Statements'!B53</f>
        <v>0.34678524772673158</v>
      </c>
      <c r="D7" s="55">
        <f>'Financial Statements'!C37/'Financial Statements'!C53</f>
        <v>0.25459350793583851</v>
      </c>
      <c r="E7" s="55">
        <f>'Financial Statements'!D37/'Financial Statements'!D53</f>
        <v>0.33328322190133325</v>
      </c>
    </row>
    <row r="8" spans="1:10" x14ac:dyDescent="0.3">
      <c r="A8" s="19">
        <f t="shared" si="0"/>
        <v>1.4000000000000004</v>
      </c>
      <c r="B8" s="1" t="s">
        <v>18</v>
      </c>
      <c r="C8" s="55">
        <f>('Financial Statements'!B37)/(('Financial Statements'!B16-'Financial Statements'!B80)/365)</f>
        <v>42.776253006650514</v>
      </c>
      <c r="D8" s="55">
        <f>('Financial Statements'!C37)/(('Financial Statements'!C16-'Financial Statements'!C80)/365)</f>
        <v>32.204574797203477</v>
      </c>
      <c r="E8" s="55">
        <f>('Financial Statements'!D37)/(('Financial Statements'!D16-'Financial Statements'!D80)/365)</f>
        <v>103.47644366671153</v>
      </c>
    </row>
    <row r="9" spans="1:10" x14ac:dyDescent="0.3">
      <c r="A9" s="19">
        <f t="shared" si="0"/>
        <v>1.5000000000000004</v>
      </c>
      <c r="B9" s="1" t="s">
        <v>19</v>
      </c>
      <c r="C9" s="55">
        <f>365/('Financial Statements'!B9/'Financial Statements'!B39)</f>
        <v>43.4781065744328</v>
      </c>
      <c r="D9" s="55">
        <f>365/('Financial Statements'!C9/'Financial Statements'!C39)</f>
        <v>43.744675851129458</v>
      </c>
      <c r="E9" s="55">
        <f>365/('Financial Statements'!D9/'Financial Statements'!D39)</f>
        <v>77.591929172548106</v>
      </c>
    </row>
    <row r="10" spans="1:10" x14ac:dyDescent="0.3">
      <c r="A10" s="19">
        <f t="shared" si="0"/>
        <v>1.6000000000000005</v>
      </c>
      <c r="B10" s="1" t="s">
        <v>20</v>
      </c>
      <c r="C10" s="55">
        <f>365/(('Financial Statements'!B9+'Financial Statements'!B39-'Financial Statements'!C39)/'Financial Statements'!B50)</f>
        <v>99.980729259865939</v>
      </c>
      <c r="D10" s="55">
        <f>365/(('Financial Statements'!C9+'Financial Statements'!C39-'Financial Statements'!D39)/'Financial Statements'!C50)</f>
        <v>102.11053775218804</v>
      </c>
      <c r="E10" s="55">
        <f>365/(('Financial Statements'!D9+'Financial Statements'!D39-'Financial Statements'!E39)/'Financial Statements'!D50)</f>
        <v>195.07058182112885</v>
      </c>
    </row>
    <row r="11" spans="1:10" x14ac:dyDescent="0.3">
      <c r="A11" s="19">
        <f t="shared" si="0"/>
        <v>1.7000000000000006</v>
      </c>
      <c r="B11" s="1" t="s">
        <v>21</v>
      </c>
      <c r="C11" s="55">
        <f>365/('Financial Statements'!B8/'Financial Statements'!B40)</f>
        <v>30.081539661817612</v>
      </c>
      <c r="D11" s="55">
        <f>365/('Financial Statements'!C8/'Financial Statements'!C40)</f>
        <v>25.552688039299987</v>
      </c>
      <c r="E11" s="55">
        <f>365/('Financial Statements'!D8/'Financial Statements'!D40)</f>
        <v>50.362801209899587</v>
      </c>
    </row>
    <row r="12" spans="1:10" x14ac:dyDescent="0.3">
      <c r="A12" s="19">
        <f t="shared" si="0"/>
        <v>1.8000000000000007</v>
      </c>
      <c r="B12" s="1" t="s">
        <v>22</v>
      </c>
      <c r="C12" s="55">
        <f>C11+C9-C10</f>
        <v>-26.421083023615523</v>
      </c>
      <c r="D12" s="55">
        <f>D11+D9-D10</f>
        <v>-32.8131738617586</v>
      </c>
      <c r="E12" s="55">
        <f>E11+E9-E10</f>
        <v>-67.115851438681162</v>
      </c>
    </row>
    <row r="13" spans="1:10" x14ac:dyDescent="0.3">
      <c r="A13" s="19">
        <f t="shared" si="0"/>
        <v>1.9000000000000008</v>
      </c>
      <c r="B13" s="1" t="s">
        <v>23</v>
      </c>
      <c r="C13" s="54">
        <f>(C14/'Financial Statements'!B8)</f>
        <v>-1.6735962084349094E-2</v>
      </c>
      <c r="D13" s="54">
        <f>(D14/'Financial Statements'!C8)</f>
        <v>4.1109186032156859E-2</v>
      </c>
      <c r="E13" s="54">
        <f>(E14/'Financial Statements'!D8)</f>
        <v>3.5689788942237413E-2</v>
      </c>
    </row>
    <row r="14" spans="1:10" x14ac:dyDescent="0.3">
      <c r="A14" s="19"/>
      <c r="B14" s="16" t="s">
        <v>24</v>
      </c>
      <c r="C14">
        <f>'Financial Statements'!B41-'Financial Statements'!B53</f>
        <v>-8602</v>
      </c>
      <c r="D14">
        <f>'Financial Statements'!C41-'Financial Statements'!C53</f>
        <v>19314</v>
      </c>
      <c r="E14">
        <f>'Financial Statements'!D41-'Financial Statements'!D53</f>
        <v>6348</v>
      </c>
    </row>
    <row r="15" spans="1:10" x14ac:dyDescent="0.3">
      <c r="A15" s="19"/>
    </row>
    <row r="16" spans="1:10" x14ac:dyDescent="0.3">
      <c r="A16" s="19">
        <f>+A4+1</f>
        <v>2</v>
      </c>
      <c r="B16" s="20" t="s">
        <v>25</v>
      </c>
    </row>
    <row r="17" spans="1:5" x14ac:dyDescent="0.3">
      <c r="A17" s="19">
        <f>+A16+0.1</f>
        <v>2.1</v>
      </c>
      <c r="B17" s="1" t="s">
        <v>11</v>
      </c>
      <c r="C17" s="54">
        <f>'Financial Statements'!B10/'Financial Statements'!B8</f>
        <v>0.43805339865326287</v>
      </c>
      <c r="D17" s="54">
        <f>'Financial Statements'!C10/'Financial Statements'!C8</f>
        <v>0.42032514441639601</v>
      </c>
      <c r="E17" s="54">
        <f>'Financial Statements'!D10/'Financial Statements'!D8</f>
        <v>0.3706835482891615</v>
      </c>
    </row>
    <row r="18" spans="1:5" x14ac:dyDescent="0.3">
      <c r="A18" s="19">
        <f>+A17+0.1</f>
        <v>2.2000000000000002</v>
      </c>
      <c r="B18" s="1" t="s">
        <v>26</v>
      </c>
      <c r="C18" s="54">
        <f>C19/'Financial Statements'!B8</f>
        <v>0.10539064521589235</v>
      </c>
      <c r="D18" s="54">
        <f>D19/'Financial Statements'!C8</f>
        <v>0.12624355607017126</v>
      </c>
      <c r="E18" s="54">
        <f>E19/'Financial Statements'!D8</f>
        <v>0.16465204142444312</v>
      </c>
    </row>
    <row r="19" spans="1:5" x14ac:dyDescent="0.3">
      <c r="A19" s="19"/>
      <c r="B19" s="16" t="s">
        <v>27</v>
      </c>
      <c r="C19">
        <f>C21+'Financial Statements'!B80</f>
        <v>54169</v>
      </c>
      <c r="D19">
        <f>D21+'Financial Statements'!C80</f>
        <v>59312</v>
      </c>
      <c r="E19">
        <f>E21+'Financial Statements'!D80</f>
        <v>29286</v>
      </c>
    </row>
    <row r="20" spans="1:5" x14ac:dyDescent="0.3">
      <c r="A20" s="19">
        <f>+A18+0.1</f>
        <v>2.3000000000000003</v>
      </c>
      <c r="B20" s="1" t="s">
        <v>28</v>
      </c>
      <c r="C20" s="54">
        <f>C21/'Financial Statements'!B8</f>
        <v>2.3829581912242232E-2</v>
      </c>
      <c r="D20" s="54">
        <f>D21/'Financial Statements'!C8</f>
        <v>5.2954097509269465E-2</v>
      </c>
      <c r="E20" s="54">
        <f>E21/'Financial Statements'!D8</f>
        <v>2.3084794170892695E-2</v>
      </c>
    </row>
    <row r="21" spans="1:5" x14ac:dyDescent="0.3">
      <c r="A21" s="19"/>
      <c r="B21" s="16" t="s">
        <v>29</v>
      </c>
      <c r="C21">
        <f>'Financial Statements'!B17</f>
        <v>12248</v>
      </c>
      <c r="D21">
        <f>'Financial Statements'!C17</f>
        <v>24879</v>
      </c>
      <c r="E21">
        <f>'Financial Statements'!D17</f>
        <v>4106</v>
      </c>
    </row>
    <row r="22" spans="1:5" x14ac:dyDescent="0.3">
      <c r="A22" s="19">
        <f>+A20+0.1</f>
        <v>2.4000000000000004</v>
      </c>
      <c r="B22" s="1" t="s">
        <v>30</v>
      </c>
      <c r="C22" s="54">
        <f>'Financial Statements'!B25/'Financial Statements'!B8</f>
        <v>-4.6052106781741811E-3</v>
      </c>
      <c r="D22" s="54">
        <f>'Financial Statements'!C25/'Financial Statements'!C8</f>
        <v>7.1014128755145567E-2</v>
      </c>
      <c r="E22" s="54">
        <f>'Financial Statements'!D25/'Financial Statements'!D8</f>
        <v>0.11992736104708039</v>
      </c>
    </row>
    <row r="23" spans="1:5" x14ac:dyDescent="0.3">
      <c r="A23" s="19"/>
    </row>
    <row r="24" spans="1:5" x14ac:dyDescent="0.3">
      <c r="A24" s="19">
        <f>+A16+1</f>
        <v>3</v>
      </c>
      <c r="B24" s="9" t="s">
        <v>31</v>
      </c>
    </row>
    <row r="25" spans="1:5" x14ac:dyDescent="0.3">
      <c r="A25" s="19">
        <f>+A24+0.1</f>
        <v>3.1</v>
      </c>
      <c r="B25" s="1" t="s">
        <v>32</v>
      </c>
      <c r="C25">
        <f>'Financial Statements'!B55/'Financial Statements'!B66</f>
        <v>0.45979608745369516</v>
      </c>
      <c r="D25">
        <f>'Financial Statements'!C55/'Financial Statements'!C66</f>
        <v>0.35259141379435061</v>
      </c>
      <c r="E25">
        <f>'Financial Statements'!D55/'Financial Statements'!D66</f>
        <v>0.34062781037214679</v>
      </c>
    </row>
    <row r="26" spans="1:5" x14ac:dyDescent="0.3">
      <c r="A26" s="19">
        <f t="shared" ref="A26:A30" si="1">+A25+0.1</f>
        <v>3.2</v>
      </c>
      <c r="B26" s="1" t="s">
        <v>33</v>
      </c>
      <c r="C26">
        <f>'Financial Statements'!B55/'Financial Statements'!B47</f>
        <v>0.14513427351812827</v>
      </c>
      <c r="D26">
        <f>'Financial Statements'!C55/'Financial Statements'!C47</f>
        <v>0.11590563763081116</v>
      </c>
      <c r="E26">
        <f>'Financial Statements'!D55/'Financial Statements'!D47</f>
        <v>9.9055091144009094E-2</v>
      </c>
    </row>
    <row r="27" spans="1:5" x14ac:dyDescent="0.3">
      <c r="A27" s="19">
        <f t="shared" si="1"/>
        <v>3.3000000000000003</v>
      </c>
      <c r="B27" s="1" t="s">
        <v>34</v>
      </c>
      <c r="C27">
        <f>'Financial Statements'!B55/('Financial Statements'!B55+'Financial Statements'!B66)</f>
        <v>0.31497281805687805</v>
      </c>
      <c r="D27">
        <f>'Financial Statements'!C55/('Financial Statements'!C55+'Financial Statements'!C66)</f>
        <v>0.26067843562990334</v>
      </c>
      <c r="E27">
        <f>'Financial Statements'!D55/('Financial Statements'!D55+'Financial Statements'!D66)</f>
        <v>0.2540808177607411</v>
      </c>
    </row>
    <row r="28" spans="1:5" x14ac:dyDescent="0.3">
      <c r="A28" s="19">
        <f t="shared" si="1"/>
        <v>3.4000000000000004</v>
      </c>
      <c r="B28" s="1" t="s">
        <v>35</v>
      </c>
      <c r="C28">
        <f>C21/('Financial Statements'!B112+'Financial Statements'!B114+'Financial Statements'!B115)</f>
        <v>7.5141104294478529</v>
      </c>
      <c r="D28">
        <f>D21/('Financial Statements'!C112+'Financial Statements'!C114+'Financial Statements'!C115)</f>
        <v>14.040067720090294</v>
      </c>
      <c r="E28">
        <f>E21/('Financial Statements'!D112+'Financial Statements'!D114+'Financial Statements'!D115)</f>
        <v>1.9169000933706817</v>
      </c>
    </row>
    <row r="29" spans="1:5" x14ac:dyDescent="0.3">
      <c r="A29" s="19">
        <f t="shared" si="1"/>
        <v>3.5000000000000004</v>
      </c>
      <c r="B29" s="1" t="s">
        <v>36</v>
      </c>
      <c r="C29">
        <f>C21/('Financial Statements'!B112+'Financial Statements'!B115+'Financial Statements'!B114+'Financial Statements'!B101+'Financial Statements'!B103+'Financial Statements'!B102+'Financial Statements'!B100)</f>
        <v>0.47961780945295063</v>
      </c>
      <c r="D29">
        <f>D21/('Financial Statements'!C112+'Financial Statements'!C115+'Financial Statements'!C114+'Financial Statements'!C101+'Financial Statements'!C103+'Financial Statements'!C102+'Financial Statements'!C100)</f>
        <v>1.2832164225293996</v>
      </c>
      <c r="E29">
        <f>E21/('Financial Statements'!D112+'Financial Statements'!D115+'Financial Statements'!D114+'Financial Statements'!D101+'Financial Statements'!D103+'Financial Statements'!D102+'Financial Statements'!D100)</f>
        <v>0.34995312366828601</v>
      </c>
    </row>
    <row r="30" spans="1:5" x14ac:dyDescent="0.3">
      <c r="A30" s="19">
        <f t="shared" si="1"/>
        <v>3.6000000000000005</v>
      </c>
      <c r="B30" s="1" t="s">
        <v>37</v>
      </c>
      <c r="C30">
        <f>(C31*1000000)/('Financial Statements'!B31*1000)</f>
        <v>4497.5954460692901</v>
      </c>
      <c r="D30">
        <f>(D31*1000000)/('Financial Statements'!C31*1000)</f>
        <v>1188.1313131313132</v>
      </c>
      <c r="E30">
        <f>(E31*1000000)/('Financial Statements'!D31*1000)</f>
        <v>4240.5373602667187</v>
      </c>
    </row>
    <row r="31" spans="1:5" x14ac:dyDescent="0.3">
      <c r="A31" s="19"/>
      <c r="B31" s="16" t="s">
        <v>38</v>
      </c>
      <c r="C31">
        <f>'Financial Statements'!B90+'Financial Statements'!B92+'Financial Statements'!B100+'Financial Statements'!B102</f>
        <v>45826</v>
      </c>
      <c r="D31">
        <f>'Financial Statements'!C90+'Financial Statements'!C92+'Financial Statements'!C100+'Financial Statements'!C102</f>
        <v>12233</v>
      </c>
      <c r="E31">
        <f>'Financial Statements'!D90+'Financial Statements'!D92+'Financial Statements'!D100+'Financial Statements'!D102</f>
        <v>43245</v>
      </c>
    </row>
    <row r="32" spans="1:5" x14ac:dyDescent="0.3">
      <c r="A32" s="19"/>
    </row>
    <row r="33" spans="1:5" x14ac:dyDescent="0.3">
      <c r="A33" s="19">
        <f>+A24+1</f>
        <v>4</v>
      </c>
      <c r="B33" s="20" t="s">
        <v>39</v>
      </c>
    </row>
    <row r="34" spans="1:5" x14ac:dyDescent="0.3">
      <c r="A34" s="19">
        <f>+A33+0.1</f>
        <v>4.0999999999999996</v>
      </c>
      <c r="B34" s="1" t="s">
        <v>40</v>
      </c>
      <c r="C34">
        <f>'Financial Statements'!B8/'Financial Statements'!B47</f>
        <v>1.1108942562273734</v>
      </c>
      <c r="D34">
        <f>'Financial Statements'!C8/'Financial Statements'!C47</f>
        <v>1.1171635172120253</v>
      </c>
      <c r="E34">
        <f>'Financial Statements'!D8/'Financial Statements'!D47</f>
        <v>0.55376329021311044</v>
      </c>
    </row>
    <row r="35" spans="1:5" x14ac:dyDescent="0.3">
      <c r="A35" s="19">
        <f t="shared" ref="A35:A37" si="2">+A34+0.1</f>
        <v>4.1999999999999993</v>
      </c>
      <c r="B35" s="1" t="s">
        <v>41</v>
      </c>
      <c r="C35">
        <f>'Financial Statements'!B8/'Financial Statements'!B42</f>
        <v>2.7527675869640897</v>
      </c>
      <c r="D35">
        <f>'Financial Statements'!C8/'Financial Statements'!C42</f>
        <v>2.9312395106094922</v>
      </c>
      <c r="E35">
        <f>'Financial Statements'!D8/'Financial Statements'!D42</f>
        <v>1.5724490337181958</v>
      </c>
    </row>
    <row r="36" spans="1:5" x14ac:dyDescent="0.3">
      <c r="A36" s="19">
        <f t="shared" si="2"/>
        <v>4.2999999999999989</v>
      </c>
      <c r="B36" s="1" t="s">
        <v>42</v>
      </c>
      <c r="C36">
        <f>'Financial Statements'!B9/'Financial Statements'!B39</f>
        <v>8.3950297921813686</v>
      </c>
      <c r="D36">
        <f>'Financial Statements'!C9/'Financial Statements'!C39</f>
        <v>8.3438725490196077</v>
      </c>
      <c r="E36">
        <f>'Financial Statements'!D9/'Financial Statements'!D39</f>
        <v>4.7040974994746794</v>
      </c>
    </row>
    <row r="37" spans="1:5" x14ac:dyDescent="0.3">
      <c r="A37" s="19">
        <f t="shared" si="2"/>
        <v>4.3999999999999986</v>
      </c>
      <c r="B37" s="1" t="s">
        <v>43</v>
      </c>
      <c r="C37">
        <f>'Financial Statements'!B25/'Financial Statements'!B47</f>
        <v>-5.1159020911006646E-3</v>
      </c>
      <c r="D37">
        <f>'Financial Statements'!C25/'Financial Statements'!C47</f>
        <v>7.9334393851846041E-2</v>
      </c>
      <c r="E37">
        <f>'Financial Statements'!D25/'Financial Statements'!D47</f>
        <v>6.6411370040006856E-2</v>
      </c>
    </row>
    <row r="38" spans="1:5" x14ac:dyDescent="0.3">
      <c r="A38" s="19"/>
      <c r="C38" s="56">
        <v>84</v>
      </c>
      <c r="D38" s="56">
        <v>166.72</v>
      </c>
      <c r="E38" s="56">
        <v>162.85</v>
      </c>
    </row>
    <row r="39" spans="1:5" x14ac:dyDescent="0.3">
      <c r="A39" s="19">
        <f>+A33+1</f>
        <v>5</v>
      </c>
      <c r="B39" s="20" t="s">
        <v>44</v>
      </c>
    </row>
    <row r="40" spans="1:5" x14ac:dyDescent="0.3">
      <c r="A40" s="19">
        <f>+A39+0.1</f>
        <v>5.0999999999999996</v>
      </c>
      <c r="B40" s="1" t="s">
        <v>45</v>
      </c>
      <c r="C40">
        <f>84/'Financial Statements'!B28</f>
        <v>-311.11111111111109</v>
      </c>
      <c r="D40">
        <f>166.72/'Financial Statements'!C28</f>
        <v>51.456790123456784</v>
      </c>
      <c r="E40">
        <f>162.85/'Financial Statements'!D28</f>
        <v>77.918660287081337</v>
      </c>
    </row>
    <row r="41" spans="1:5" x14ac:dyDescent="0.3">
      <c r="A41" s="19">
        <f t="shared" ref="A41:A44" si="3">+A40+0.1</f>
        <v>5.1999999999999993</v>
      </c>
      <c r="B41" s="16" t="s">
        <v>46</v>
      </c>
      <c r="C41">
        <f>'Financial Statements'!B28</f>
        <v>-0.27</v>
      </c>
      <c r="D41">
        <f>'Financial Statements'!C28</f>
        <v>3.24</v>
      </c>
      <c r="E41">
        <f>'Financial Statements'!D28</f>
        <v>2.09</v>
      </c>
    </row>
    <row r="42" spans="1:5" x14ac:dyDescent="0.3">
      <c r="A42" s="19">
        <f t="shared" si="3"/>
        <v>5.2999999999999989</v>
      </c>
      <c r="B42" s="1" t="s">
        <v>47</v>
      </c>
      <c r="C42">
        <f>84/C43</f>
        <v>5.8604383640434663E-3</v>
      </c>
      <c r="D42">
        <f>166.72/D43</f>
        <v>1.2416717566638938E-2</v>
      </c>
      <c r="E42">
        <f>162.85/E43</f>
        <v>1.7780226756884076E-2</v>
      </c>
    </row>
    <row r="43" spans="1:5" x14ac:dyDescent="0.3">
      <c r="A43" s="19">
        <f t="shared" si="3"/>
        <v>5.3999999999999986</v>
      </c>
      <c r="B43" s="16" t="s">
        <v>48</v>
      </c>
      <c r="C43">
        <f>('Financial Statements'!B47-'Financial Statements'!B58)/('Financial Statements'!B31/1000)</f>
        <v>14333.398763372265</v>
      </c>
      <c r="D43">
        <f>('Financial Statements'!C47-'Financial Statements'!C58)/('Financial Statements'!C31/1000)</f>
        <v>13427.059052059052</v>
      </c>
      <c r="E43">
        <f>('Financial Statements'!D47-'Financial Statements'!D58)/('Financial Statements'!D31/1000)</f>
        <v>9159.0507942733857</v>
      </c>
    </row>
    <row r="44" spans="1:5" x14ac:dyDescent="0.3">
      <c r="A44" s="19">
        <f t="shared" si="3"/>
        <v>5.4999999999999982</v>
      </c>
      <c r="B44" s="1" t="s">
        <v>49</v>
      </c>
      <c r="C44" t="s">
        <v>111</v>
      </c>
      <c r="D44" t="s">
        <v>111</v>
      </c>
      <c r="E44" t="s">
        <v>111</v>
      </c>
    </row>
    <row r="45" spans="1:5" x14ac:dyDescent="0.3">
      <c r="A45" s="19"/>
      <c r="B45" s="16" t="s">
        <v>50</v>
      </c>
      <c r="C45" t="s">
        <v>111</v>
      </c>
      <c r="D45" t="s">
        <v>111</v>
      </c>
      <c r="E45" t="s">
        <v>111</v>
      </c>
    </row>
    <row r="46" spans="1:5" x14ac:dyDescent="0.3">
      <c r="A46" s="19">
        <f>+A44+0.1</f>
        <v>5.5999999999999979</v>
      </c>
      <c r="B46" s="1" t="s">
        <v>51</v>
      </c>
      <c r="C46" t="s">
        <v>111</v>
      </c>
      <c r="D46" t="s">
        <v>111</v>
      </c>
      <c r="E46" t="s">
        <v>111</v>
      </c>
    </row>
    <row r="47" spans="1:5" x14ac:dyDescent="0.3">
      <c r="A47" s="19">
        <f t="shared" ref="A47:A50" si="4">+A45+0.1</f>
        <v>0.1</v>
      </c>
      <c r="B47" s="1" t="s">
        <v>52</v>
      </c>
      <c r="C47" s="54">
        <f>'Financial Statements'!B25/'Financial Statements'!B66</f>
        <v>-1.6207555309052813E-2</v>
      </c>
      <c r="D47" s="54">
        <f>'Financial Statements'!C25/'Financial Statements'!C66</f>
        <v>0.2413396506202756</v>
      </c>
      <c r="E47" s="54">
        <f>'Financial Statements'!D25/'Financial Statements'!D66</f>
        <v>0.22837351719412444</v>
      </c>
    </row>
    <row r="48" spans="1:5" x14ac:dyDescent="0.3">
      <c r="A48" s="19">
        <f t="shared" si="4"/>
        <v>5.6999999999999975</v>
      </c>
      <c r="B48" s="1" t="s">
        <v>53</v>
      </c>
      <c r="C48" s="54">
        <f>C21/(AVERAGE('Financial Statements'!B47:C47)-'Financial Statements'!B57)</f>
        <v>4.3684662931166698E-2</v>
      </c>
      <c r="D48" s="54">
        <f>D21/(AVERAGE('Financial Statements'!C47:D47)-'Financial Statements'!C57)</f>
        <v>0.10777875009747265</v>
      </c>
      <c r="E48" s="54">
        <f>E21/(AVERAGE('Financial Statements'!D47:E47)-'Financial Statements'!D57)</f>
        <v>1.8681553671930806E-2</v>
      </c>
    </row>
    <row r="49" spans="1:5" x14ac:dyDescent="0.3">
      <c r="A49" s="19">
        <f t="shared" si="4"/>
        <v>0.2</v>
      </c>
      <c r="B49" s="1" t="s">
        <v>43</v>
      </c>
      <c r="C49" s="54">
        <f>'Financial Statements'!B25/'Financial Statements'!B47</f>
        <v>-5.1159020911006646E-3</v>
      </c>
      <c r="D49" s="54">
        <f>'Financial Statements'!C25/'Financial Statements'!C47</f>
        <v>7.9334393851846041E-2</v>
      </c>
      <c r="E49" s="54">
        <f>'Financial Statements'!D25/'Financial Statements'!D47</f>
        <v>6.6411370040006856E-2</v>
      </c>
    </row>
    <row r="50" spans="1:5" x14ac:dyDescent="0.3">
      <c r="A50" s="19">
        <f t="shared" si="4"/>
        <v>5.7999999999999972</v>
      </c>
      <c r="B50" s="1" t="s">
        <v>54</v>
      </c>
      <c r="C50">
        <f>C51/C19</f>
        <v>0.26062648378223713</v>
      </c>
      <c r="D50">
        <f>D51/D19</f>
        <v>0.24009558133261402</v>
      </c>
      <c r="E50">
        <f>E51/E19</f>
        <v>-0.2952009731612375</v>
      </c>
    </row>
    <row r="51" spans="1:5" x14ac:dyDescent="0.3">
      <c r="A51" s="19"/>
      <c r="B51" s="16" t="s">
        <v>55</v>
      </c>
      <c r="C51">
        <f>(84*'Financial Statements'!B31/1000)+'Financial Statements'!B55-'Financial Statements'!B37</f>
        <v>14117.876000000004</v>
      </c>
      <c r="D51">
        <f>(166.72*'Financial Statements'!C31/1000)+'Financial Statements'!C55-'Financial Statements'!C37</f>
        <v>14240.549120000003</v>
      </c>
      <c r="E51">
        <f>(162.85*'Financial Statements'!D31/1000)+'Financial Statements'!D55-'Financial Statements'!D37</f>
        <v>-8645.2557000000015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clywdhallasgo1@gmail.com</cp:lastModifiedBy>
  <dcterms:created xsi:type="dcterms:W3CDTF">2020-05-19T16:15:53Z</dcterms:created>
  <dcterms:modified xsi:type="dcterms:W3CDTF">2024-01-11T16:15:59Z</dcterms:modified>
</cp:coreProperties>
</file>