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5251e8feb54c0357/Desktop/BALDIP KAUR/INVESTMENT ANALYST EXPERIENCE/"/>
    </mc:Choice>
  </mc:AlternateContent>
  <xr:revisionPtr revIDLastSave="0" documentId="8_{B7602985-276E-445E-BE6E-68FCB8E2C866}" xr6:coauthVersionLast="47" xr6:coauthVersionMax="47" xr10:uidLastSave="{00000000-0000-0000-0000-000000000000}"/>
  <bookViews>
    <workbookView xWindow="-110" yWindow="-110" windowWidth="19420" windowHeight="10300" firstSheet="1" activeTab="4" xr2:uid="{00000000-000D-0000-FFFF-FFFF00000000}"/>
  </bookViews>
  <sheets>
    <sheet name="Instructions" sheetId="2" r:id="rId1"/>
    <sheet name="Financial Statements" sheetId="1" r:id="rId2"/>
    <sheet name="List of Ratios" sheetId="3" r:id="rId3"/>
    <sheet name="Growth Rates" sheetId="4" r:id="rId4"/>
    <sheet name="Additional Items" sheetId="5" r:id="rId5"/>
    <sheet name=".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D7" i="5"/>
  <c r="C14" i="4"/>
  <c r="C13" i="4"/>
  <c r="C6" i="4"/>
  <c r="C5" i="4"/>
  <c r="E14" i="4"/>
  <c r="E13" i="4"/>
  <c r="E6" i="4"/>
  <c r="E5" i="4"/>
  <c r="D40" i="3"/>
  <c r="D36" i="3"/>
  <c r="D9" i="3"/>
  <c r="B108" i="1"/>
  <c r="B17" i="1"/>
  <c r="B12" i="1"/>
  <c r="B8" i="1"/>
  <c r="C6" i="5" s="1"/>
  <c r="B13" i="1" l="1"/>
  <c r="B18" i="1" l="1"/>
  <c r="B20" i="1" s="1"/>
  <c r="B22" i="1" s="1"/>
  <c r="C5" i="5" s="1"/>
  <c r="E7" i="5"/>
  <c r="F3" i="5"/>
  <c r="E3" i="5"/>
  <c r="D3" i="5"/>
  <c r="F14" i="4"/>
  <c r="F13" i="4"/>
  <c r="F6" i="4"/>
  <c r="F5" i="4"/>
  <c r="F3" i="4"/>
  <c r="E3" i="4"/>
  <c r="D51" i="3"/>
  <c r="E51" i="3"/>
  <c r="F51" i="3"/>
  <c r="F40" i="3"/>
  <c r="E40" i="3"/>
  <c r="E36" i="3"/>
  <c r="E9" i="3"/>
  <c r="F9" i="3"/>
  <c r="E108" i="1"/>
  <c r="D108" i="1"/>
  <c r="C108" i="1"/>
  <c r="E99" i="1"/>
  <c r="D99" i="1"/>
  <c r="C99" i="1"/>
  <c r="E68" i="1" l="1"/>
  <c r="D68" i="1"/>
  <c r="C68" i="1"/>
  <c r="E61" i="1"/>
  <c r="D61" i="1"/>
  <c r="C61" i="1"/>
  <c r="E56" i="1"/>
  <c r="F7" i="3" s="1"/>
  <c r="D56" i="1"/>
  <c r="C56" i="1"/>
  <c r="E47" i="1"/>
  <c r="D47" i="1"/>
  <c r="F19" i="4" s="1"/>
  <c r="C47" i="1"/>
  <c r="E42" i="1"/>
  <c r="D42" i="1"/>
  <c r="C42" i="1"/>
  <c r="E17" i="1"/>
  <c r="D17" i="1"/>
  <c r="E32" i="4" s="1"/>
  <c r="C17" i="1"/>
  <c r="E12" i="1"/>
  <c r="D12" i="1"/>
  <c r="E28" i="4" s="1"/>
  <c r="C12" i="1"/>
  <c r="E8" i="1"/>
  <c r="D8" i="1"/>
  <c r="C8" i="1"/>
  <c r="F3" i="3"/>
  <c r="E3" i="3"/>
  <c r="D3" i="3"/>
  <c r="E33" i="1"/>
  <c r="E73" i="1" s="1"/>
  <c r="D33" i="1"/>
  <c r="D73" i="1" s="1"/>
  <c r="C33" i="1"/>
  <c r="C73" i="1" s="1"/>
  <c r="D10" i="3" l="1"/>
  <c r="D12" i="3" s="1"/>
  <c r="D8" i="3"/>
  <c r="C28" i="4"/>
  <c r="D7" i="3"/>
  <c r="E21" i="4"/>
  <c r="C21" i="4"/>
  <c r="C30" i="4"/>
  <c r="D35" i="3"/>
  <c r="D11" i="3"/>
  <c r="E7" i="4"/>
  <c r="D34" i="3"/>
  <c r="D17" i="3"/>
  <c r="D6" i="5"/>
  <c r="D21" i="3"/>
  <c r="C31" i="4"/>
  <c r="C7" i="4"/>
  <c r="C19" i="4"/>
  <c r="E19" i="4"/>
  <c r="E31" i="4"/>
  <c r="E30" i="4"/>
  <c r="E6" i="5"/>
  <c r="E18" i="4"/>
  <c r="D6" i="3"/>
  <c r="C18" i="4"/>
  <c r="D14" i="3"/>
  <c r="D13" i="3" s="1"/>
  <c r="D5" i="3"/>
  <c r="C24" i="4"/>
  <c r="E24" i="4"/>
  <c r="E15" i="4"/>
  <c r="C32" i="4"/>
  <c r="C15" i="4"/>
  <c r="E22" i="4"/>
  <c r="C22" i="4"/>
  <c r="F22" i="4"/>
  <c r="E34" i="3"/>
  <c r="E17" i="3"/>
  <c r="E21" i="3"/>
  <c r="F7" i="4"/>
  <c r="E35" i="3"/>
  <c r="E11" i="3"/>
  <c r="C48" i="1"/>
  <c r="E13" i="1"/>
  <c r="F31" i="4"/>
  <c r="F17" i="3"/>
  <c r="F30" i="4"/>
  <c r="F21" i="3"/>
  <c r="F11" i="3"/>
  <c r="E6" i="3"/>
  <c r="E5" i="3"/>
  <c r="F18" i="4"/>
  <c r="E14" i="3"/>
  <c r="E13" i="3" s="1"/>
  <c r="F24" i="4"/>
  <c r="F15" i="4"/>
  <c r="F14" i="3"/>
  <c r="F13" i="3" s="1"/>
  <c r="F5" i="3"/>
  <c r="F6" i="3"/>
  <c r="E8" i="3"/>
  <c r="E10" i="3"/>
  <c r="F32" i="4"/>
  <c r="D62" i="1"/>
  <c r="D69" i="1" s="1"/>
  <c r="F21" i="4"/>
  <c r="E7" i="3"/>
  <c r="F8" i="3"/>
  <c r="F10" i="3"/>
  <c r="F28" i="4"/>
  <c r="C13" i="1"/>
  <c r="D13" i="1"/>
  <c r="E29" i="4" s="1"/>
  <c r="C62" i="1"/>
  <c r="D48" i="1"/>
  <c r="E62" i="1"/>
  <c r="E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20" i="4" l="1"/>
  <c r="E20" i="4"/>
  <c r="C23" i="4"/>
  <c r="E23" i="4"/>
  <c r="D25" i="3"/>
  <c r="C18" i="1"/>
  <c r="E10" i="4"/>
  <c r="C29" i="4"/>
  <c r="C10" i="4"/>
  <c r="E12" i="3"/>
  <c r="D28" i="3"/>
  <c r="D20" i="3"/>
  <c r="D31" i="3"/>
  <c r="F43" i="3"/>
  <c r="F42" i="3" s="1"/>
  <c r="C69" i="1"/>
  <c r="E25" i="3"/>
  <c r="F23" i="4"/>
  <c r="E69" i="1"/>
  <c r="F25" i="3"/>
  <c r="D18" i="1"/>
  <c r="E33" i="4" s="1"/>
  <c r="F10" i="4"/>
  <c r="C20" i="1"/>
  <c r="C22" i="1" s="1"/>
  <c r="F25" i="4"/>
  <c r="E27" i="3"/>
  <c r="E26" i="3"/>
  <c r="E43" i="3"/>
  <c r="E42" i="3" s="1"/>
  <c r="F20" i="4"/>
  <c r="F48" i="3"/>
  <c r="F28" i="3"/>
  <c r="F20" i="3"/>
  <c r="E18" i="1"/>
  <c r="F29" i="4"/>
  <c r="D48" i="3"/>
  <c r="D43" i="3"/>
  <c r="D42" i="3" s="1"/>
  <c r="E28" i="3"/>
  <c r="E48" i="3"/>
  <c r="E20" i="3"/>
  <c r="E31" i="3"/>
  <c r="A24" i="3"/>
  <c r="A25" i="3" s="1"/>
  <c r="A26" i="3" s="1"/>
  <c r="A27" i="3" s="1"/>
  <c r="A28" i="3" s="1"/>
  <c r="A29" i="3" s="1"/>
  <c r="A30" i="3" s="1"/>
  <c r="C34" i="4" l="1"/>
  <c r="D45" i="3"/>
  <c r="D22" i="3"/>
  <c r="D37" i="3"/>
  <c r="D19" i="3"/>
  <c r="C33" i="4"/>
  <c r="E25" i="4"/>
  <c r="D27" i="3"/>
  <c r="D26" i="3"/>
  <c r="C25" i="4"/>
  <c r="D50" i="3"/>
  <c r="C76" i="1"/>
  <c r="C91" i="1" s="1"/>
  <c r="C109" i="1" s="1"/>
  <c r="D5" i="5"/>
  <c r="D49" i="3"/>
  <c r="D47" i="3"/>
  <c r="D41" i="3"/>
  <c r="D20" i="1"/>
  <c r="D22" i="1" s="1"/>
  <c r="E34" i="4" s="1"/>
  <c r="E19" i="3"/>
  <c r="E20" i="1"/>
  <c r="E22" i="1" s="1"/>
  <c r="F19" i="3"/>
  <c r="F33" i="4"/>
  <c r="F26" i="3"/>
  <c r="F27" i="3"/>
  <c r="A33" i="3"/>
  <c r="A34" i="3" s="1"/>
  <c r="A35" i="3" s="1"/>
  <c r="A36" i="3" s="1"/>
  <c r="A37" i="3" s="1"/>
  <c r="D18" i="3" l="1"/>
  <c r="D29" i="3"/>
  <c r="F18" i="3"/>
  <c r="F50" i="3"/>
  <c r="F29" i="3"/>
  <c r="D76" i="1"/>
  <c r="D91" i="1" s="1"/>
  <c r="D109" i="1" s="1"/>
  <c r="E5" i="5"/>
  <c r="E37" i="3"/>
  <c r="E45" i="3"/>
  <c r="E49" i="3"/>
  <c r="E47" i="3"/>
  <c r="E41" i="3"/>
  <c r="E22" i="3"/>
  <c r="D44" i="3"/>
  <c r="D46" i="3"/>
  <c r="E29" i="3"/>
  <c r="E50" i="3"/>
  <c r="E18" i="3"/>
  <c r="E76" i="1"/>
  <c r="E91" i="1" s="1"/>
  <c r="E109" i="1" s="1"/>
  <c r="F49" i="3"/>
  <c r="F47" i="3"/>
  <c r="F41" i="3"/>
  <c r="F22" i="3"/>
  <c r="F5" i="5"/>
  <c r="F34" i="4"/>
  <c r="F37" i="3"/>
  <c r="A39" i="3"/>
  <c r="A40" i="3" s="1"/>
  <c r="A41" i="3" s="1"/>
  <c r="A42" i="3" s="1"/>
  <c r="A43" i="3" s="1"/>
  <c r="A44" i="3" s="1"/>
  <c r="A46" i="3" s="1"/>
  <c r="A48" i="3" s="1"/>
  <c r="A50" i="3" s="1"/>
  <c r="E46" i="3" l="1"/>
  <c r="E44" i="3"/>
</calcChain>
</file>

<file path=xl/sharedStrings.xml><?xml version="1.0" encoding="utf-8"?>
<sst xmlns="http://schemas.openxmlformats.org/spreadsheetml/2006/main" count="228" uniqueCount="176">
  <si>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</si>
  <si>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</si>
  <si>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</si>
  <si>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</si>
  <si>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</si>
  <si>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</si>
  <si>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</si>
  <si>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</si>
  <si>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</si>
  <si>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</si>
  <si>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</si>
  <si>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</si>
  <si>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</si>
  <si>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</si>
  <si>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</si>
  <si>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</si>
  <si>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</si>
  <si>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</si>
  <si>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</si>
  <si>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</si>
  <si>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</si>
  <si>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</si>
  <si>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</si>
  <si>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</si>
  <si>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</si>
  <si>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</si>
  <si>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</si>
  <si>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</si>
  <si>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</si>
  <si>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</si>
  <si>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</si>
  <si>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</si>
  <si>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</si>
  <si>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</si>
  <si>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</si>
  <si>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</si>
  <si>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</si>
  <si>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</si>
  <si>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</si>
  <si>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</si>
  <si>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</si>
  <si>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</si>
  <si>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</si>
  <si>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</si>
  <si>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</si>
  <si>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</si>
  <si>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</si>
  <si>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</si>
  <si>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</si>
  <si>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</si>
  <si>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</si>
  <si>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</si>
  <si>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</si>
  <si>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</si>
  <si>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</si>
  <si>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</si>
  <si>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</si>
  <si>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</si>
  <si>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</si>
  <si>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</si>
  <si>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</si>
  <si>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</si>
  <si>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</si>
  <si>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</si>
  <si>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</si>
  <si>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</si>
  <si>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</si>
  <si>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</si>
  <si>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</si>
  <si>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</si>
  <si>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</si>
  <si>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</si>
  <si>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</si>
  <si>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</si>
  <si>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</si>
  <si>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</si>
  <si>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</si>
  <si>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</si>
  <si>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</si>
  <si>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</si>
  <si>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</si>
  <si>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</si>
  <si>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</si>
  <si>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</si>
  <si>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</si>
  <si>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</si>
  <si>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</si>
  <si>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</si>
  <si>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</si>
  <si>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</si>
  <si>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</si>
  <si>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</si>
  <si>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</si>
  <si>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</si>
  <si>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</si>
  <si>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</si>
  <si>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</si>
  <si>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</si>
  <si>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</si>
  <si>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</si>
  <si>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</si>
  <si>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</si>
  <si>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</si>
  <si>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</si>
  <si>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</si>
  <si>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</si>
  <si>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</si>
  <si>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</si>
  <si>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</si>
  <si>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</si>
  <si>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</si>
  <si>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</si>
  <si>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</si>
  <si>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</si>
  <si>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</si>
  <si>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</si>
  <si>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</si>
  <si>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</si>
  <si>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</si>
  <si>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</si>
  <si>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</si>
  <si>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</si>
  <si>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</si>
  <si>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</si>
  <si>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</si>
  <si>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</si>
  <si>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</si>
  <si>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</si>
  <si>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</si>
  <si>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</si>
  <si>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</si>
  <si>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</si>
  <si>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</si>
  <si>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</si>
  <si>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</si>
  <si>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</si>
  <si>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</si>
  <si>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</si>
  <si>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</si>
  <si>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</si>
  <si>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</si>
  <si>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</si>
  <si>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</si>
  <si>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</si>
  <si>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</si>
  <si>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</si>
  <si>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</si>
  <si>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</si>
  <si>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</si>
  <si>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Net</t>
  </si>
  <si>
    <t>Sales</t>
  </si>
  <si>
    <t>Gross Profit</t>
  </si>
  <si>
    <t>Operating Expenses</t>
  </si>
  <si>
    <t>Balance Sheet</t>
  </si>
  <si>
    <t>Margins as a % of net sales</t>
  </si>
  <si>
    <t>Current Assets / Daily Operational Expenses where Daily Operational Expenses = (Annual Operating Expenses - Noncash Charges) / 365</t>
  </si>
  <si>
    <t>Inventory Days + Receivable Days - Payable Days</t>
  </si>
  <si>
    <t>Operating Income</t>
  </si>
  <si>
    <t>For the numerator include only term debt (under non-current liabilities), since differed revenue is not an actual form of capital</t>
  </si>
  <si>
    <t>For the numerator include only term debt under non-current liabilities</t>
  </si>
  <si>
    <t>For the debt value consider only term debt (under non-current liabilities), since differed revenue is not an actual form of capital</t>
  </si>
  <si>
    <t>EBIT/ (Interest + Debt repayment) debt repayment can be found in cash flow statement</t>
  </si>
  <si>
    <t>FCFE/Diluted number of shares</t>
  </si>
  <si>
    <t>Cash from operations + Capex + Net debt issued</t>
  </si>
  <si>
    <t>Total Equity/Diluted number of shares</t>
  </si>
  <si>
    <t>Dividend Paid / Net Income</t>
  </si>
  <si>
    <t>Dividend Paid (in cash flow)/ Diluted number of shares</t>
  </si>
  <si>
    <t>Dividend Per Share / Share Price</t>
  </si>
  <si>
    <t>EBIT / (Term debt + total equity)</t>
  </si>
  <si>
    <t>Divide the share count by 1000 and remove the term debt value under current labilities from the formula</t>
  </si>
  <si>
    <t>Feedback</t>
  </si>
  <si>
    <t>Remove multiplication by 100 and use the % formatting instead</t>
  </si>
  <si>
    <t>Capex can be found in cash flow statement, purchase of PPE. Link it with - sign to remove the negative</t>
  </si>
  <si>
    <t>As per feedback</t>
  </si>
  <si>
    <t xml:space="preserve"> </t>
  </si>
  <si>
    <t>Retained earnings/Accumulated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</si>
</sst>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  <numFmt numFmtId="168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164" fontId="0" fillId="0" borderId="0" xfId="1" applyFont="1"/>
    <xf numFmtId="0" fontId="0" fillId="5" borderId="0" xfId="0" applyFill="1"/>
    <xf numFmtId="0" fontId="10" fillId="5" borderId="0" xfId="0" applyFont="1" applyFill="1" applyAlignment="1">
      <alignment horizontal="center"/>
    </xf>
    <xf numFmtId="0" fontId="2" fillId="5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 indent="1"/>
    </xf>
    <xf numFmtId="0" fontId="13" fillId="0" borderId="0" xfId="0" applyFont="1"/>
    <xf numFmtId="164" fontId="0" fillId="0" borderId="0" xfId="0" applyNumberFormat="1"/>
    <xf numFmtId="2" fontId="0" fillId="0" borderId="0" xfId="0" applyNumberFormat="1" applyAlignment="1">
      <alignment horizontal="right" indent="2"/>
    </xf>
    <xf numFmtId="167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1"/>
    </xf>
    <xf numFmtId="1" fontId="0" fillId="0" borderId="0" xfId="0" applyNumberFormat="1"/>
    <xf numFmtId="9" fontId="0" fillId="0" borderId="0" xfId="3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6" borderId="0" xfId="0" applyFill="1"/>
    <xf numFmtId="0" fontId="8" fillId="6" borderId="0" xfId="0" applyFont="1" applyFill="1"/>
    <xf numFmtId="0" fontId="2" fillId="6" borderId="0" xfId="0" applyFont="1" applyFill="1"/>
    <xf numFmtId="0" fontId="0" fillId="6" borderId="0" xfId="0" applyFill="1" applyAlignment="1">
      <alignment horizontal="left"/>
    </xf>
    <xf numFmtId="0" fontId="2" fillId="6" borderId="0" xfId="0" applyFont="1" applyFill="1" applyAlignment="1">
      <alignment horizontal="left"/>
    </xf>
    <xf numFmtId="0" fontId="11" fillId="6" borderId="0" xfId="0" applyFont="1" applyFill="1" applyAlignment="1">
      <alignment horizontal="center"/>
    </xf>
    <xf numFmtId="2" fontId="0" fillId="6" borderId="0" xfId="0" applyNumberFormat="1" applyFill="1"/>
    <xf numFmtId="3" fontId="0" fillId="6" borderId="0" xfId="0" applyNumberFormat="1" applyFill="1"/>
    <xf numFmtId="167" fontId="0" fillId="6" borderId="0" xfId="0" applyNumberFormat="1" applyFill="1"/>
    <xf numFmtId="168" fontId="0" fillId="6" borderId="0" xfId="0" applyNumberFormat="1" applyFill="1"/>
    <xf numFmtId="9" fontId="0" fillId="6" borderId="0" xfId="3" applyFont="1" applyFill="1" applyAlignment="1">
      <alignment horizontal="right" inden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5" sqref="A25"/>
    </sheetView>
  </sheetViews>
  <sheetFormatPr defaultColWidth="8.81640625" defaultRowHeight="14.5" x14ac:dyDescent="0.35"/>
  <cols>
    <col min="1" max="1" width="104.453125" customWidth="1"/>
  </cols>
  <sheetData>
    <row r="1" spans="1:1" ht="23.5" x14ac:dyDescent="0.55000000000000004">
      <c r="A1" s="5" t="s">
        <v>86</v>
      </c>
    </row>
    <row r="3" spans="1:1" x14ac:dyDescent="0.35">
      <c r="A3" s="7" t="s">
        <v>140</v>
      </c>
    </row>
    <row r="4" spans="1:1" x14ac:dyDescent="0.35">
      <c r="A4" s="16" t="s">
        <v>87</v>
      </c>
    </row>
    <row r="5" spans="1:1" x14ac:dyDescent="0.35">
      <c r="A5" s="25" t="s">
        <v>96</v>
      </c>
    </row>
    <row r="6" spans="1:1" x14ac:dyDescent="0.35">
      <c r="A6" s="1" t="s">
        <v>147</v>
      </c>
    </row>
    <row r="7" spans="1:1" x14ac:dyDescent="0.35">
      <c r="A7" s="1"/>
    </row>
    <row r="8" spans="1:1" x14ac:dyDescent="0.35">
      <c r="A8" s="26" t="s">
        <v>148</v>
      </c>
    </row>
    <row r="9" spans="1:1" x14ac:dyDescent="0.35">
      <c r="A9" s="1" t="s">
        <v>144</v>
      </c>
    </row>
    <row r="10" spans="1:1" x14ac:dyDescent="0.35">
      <c r="A10" s="1" t="s">
        <v>88</v>
      </c>
    </row>
    <row r="11" spans="1:1" x14ac:dyDescent="0.35">
      <c r="A11" s="1" t="s">
        <v>89</v>
      </c>
    </row>
    <row r="12" spans="1:1" x14ac:dyDescent="0.35">
      <c r="A12" s="1" t="s">
        <v>90</v>
      </c>
    </row>
    <row r="13" spans="1:1" x14ac:dyDescent="0.35">
      <c r="A13" s="1"/>
    </row>
    <row r="14" spans="1:1" x14ac:dyDescent="0.35">
      <c r="A14" s="26" t="s">
        <v>91</v>
      </c>
    </row>
    <row r="15" spans="1:1" x14ac:dyDescent="0.35">
      <c r="A15" s="1" t="s">
        <v>145</v>
      </c>
    </row>
    <row r="16" spans="1:1" x14ac:dyDescent="0.35">
      <c r="A16" s="1" t="s">
        <v>88</v>
      </c>
    </row>
    <row r="17" spans="1:1" x14ac:dyDescent="0.35">
      <c r="A17" s="1" t="s">
        <v>89</v>
      </c>
    </row>
    <row r="18" spans="1:1" x14ac:dyDescent="0.35">
      <c r="A18" s="1" t="s">
        <v>14</v>
      </c>
    </row>
    <row r="19" spans="1:1" x14ac:dyDescent="0.35">
      <c r="A19" s="1" t="s">
        <v>92</v>
      </c>
    </row>
    <row r="20" spans="1:1" x14ac:dyDescent="0.35">
      <c r="A20" s="1"/>
    </row>
    <row r="21" spans="1:1" x14ac:dyDescent="0.35">
      <c r="A21" s="17" t="s">
        <v>97</v>
      </c>
    </row>
    <row r="22" spans="1:1" x14ac:dyDescent="0.35">
      <c r="A22" s="1" t="s">
        <v>93</v>
      </c>
    </row>
    <row r="23" spans="1:1" x14ac:dyDescent="0.35">
      <c r="A23" s="1" t="s">
        <v>94</v>
      </c>
    </row>
    <row r="24" spans="1:1" x14ac:dyDescent="0.35">
      <c r="A24" s="1" t="s">
        <v>95</v>
      </c>
    </row>
    <row r="25" spans="1:1" x14ac:dyDescent="0.35">
      <c r="A25" s="1"/>
    </row>
    <row r="26" spans="1:1" x14ac:dyDescent="0.35">
      <c r="A26" s="17" t="s">
        <v>143</v>
      </c>
    </row>
    <row r="27" spans="1:1" x14ac:dyDescent="0.35">
      <c r="A27" s="16" t="s">
        <v>142</v>
      </c>
    </row>
    <row r="29" spans="1:1" x14ac:dyDescent="0.35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topLeftCell="A21" workbookViewId="0">
      <selection activeCell="C45" sqref="C45"/>
    </sheetView>
  </sheetViews>
  <sheetFormatPr defaultColWidth="8.81640625" defaultRowHeight="14.5" x14ac:dyDescent="0.35"/>
  <cols>
    <col min="1" max="1" width="59" customWidth="1"/>
    <col min="2" max="2" width="11.453125" customWidth="1"/>
    <col min="3" max="4" width="11.453125" bestFit="1" customWidth="1"/>
    <col min="5" max="5" width="11.54296875" bestFit="1" customWidth="1"/>
    <col min="11" max="11" width="13.26953125" bestFit="1" customWidth="1"/>
  </cols>
  <sheetData>
    <row r="1" spans="1:11" ht="60" customHeight="1" x14ac:dyDescent="0.35">
      <c r="A1" s="6" t="s">
        <v>0</v>
      </c>
      <c r="B1" s="4"/>
      <c r="C1" s="4" t="s">
        <v>2</v>
      </c>
      <c r="D1" s="4"/>
      <c r="E1" s="4"/>
      <c r="F1" s="4"/>
      <c r="G1" s="4"/>
      <c r="H1" s="4"/>
      <c r="I1" s="4"/>
      <c r="J1" s="4"/>
      <c r="K1" s="4"/>
    </row>
    <row r="2" spans="1:11" x14ac:dyDescent="0.35">
      <c r="A2" s="43" t="s">
        <v>1</v>
      </c>
      <c r="B2" s="43"/>
      <c r="C2" s="43"/>
      <c r="D2" s="43"/>
      <c r="E2" s="43"/>
    </row>
    <row r="3" spans="1:11" x14ac:dyDescent="0.35">
      <c r="B3" s="31"/>
      <c r="C3" s="42" t="s">
        <v>23</v>
      </c>
      <c r="D3" s="42"/>
      <c r="E3" s="42"/>
    </row>
    <row r="4" spans="1:11" x14ac:dyDescent="0.35">
      <c r="B4" s="7">
        <v>2023</v>
      </c>
      <c r="C4" s="7">
        <v>2022</v>
      </c>
      <c r="D4" s="7">
        <v>2021</v>
      </c>
      <c r="E4" s="7">
        <v>2020</v>
      </c>
    </row>
    <row r="5" spans="1:11" x14ac:dyDescent="0.35">
      <c r="A5" t="s">
        <v>3</v>
      </c>
    </row>
    <row r="6" spans="1:11" x14ac:dyDescent="0.35">
      <c r="A6" s="1" t="s">
        <v>4</v>
      </c>
      <c r="B6" s="12">
        <v>298085</v>
      </c>
      <c r="C6" s="12">
        <v>316199</v>
      </c>
      <c r="D6" s="12">
        <v>297392</v>
      </c>
      <c r="E6" s="12">
        <v>220747</v>
      </c>
    </row>
    <row r="7" spans="1:11" x14ac:dyDescent="0.35">
      <c r="A7" s="1" t="s">
        <v>5</v>
      </c>
      <c r="B7" s="12">
        <v>85200</v>
      </c>
      <c r="C7" s="12">
        <v>78129</v>
      </c>
      <c r="D7" s="12">
        <v>68425</v>
      </c>
      <c r="E7" s="12">
        <v>53768</v>
      </c>
    </row>
    <row r="8" spans="1:11" x14ac:dyDescent="0.35">
      <c r="A8" s="8" t="s">
        <v>6</v>
      </c>
      <c r="B8" s="13">
        <f>+B6+B7</f>
        <v>383285</v>
      </c>
      <c r="C8" s="13">
        <f>+C6+C7</f>
        <v>394328</v>
      </c>
      <c r="D8" s="13">
        <f t="shared" ref="D8:E8" si="0">+D6+D7</f>
        <v>365817</v>
      </c>
      <c r="E8" s="13">
        <f t="shared" si="0"/>
        <v>274515</v>
      </c>
    </row>
    <row r="9" spans="1:11" x14ac:dyDescent="0.35">
      <c r="A9" t="s">
        <v>7</v>
      </c>
      <c r="B9" s="12"/>
      <c r="C9" s="12"/>
      <c r="D9" s="12"/>
      <c r="E9" s="12"/>
    </row>
    <row r="10" spans="1:11" x14ac:dyDescent="0.35">
      <c r="A10" s="1" t="s">
        <v>4</v>
      </c>
      <c r="B10" s="12">
        <v>189282</v>
      </c>
      <c r="C10" s="12">
        <v>201471</v>
      </c>
      <c r="D10" s="12">
        <v>192266</v>
      </c>
      <c r="E10" s="12">
        <v>151286</v>
      </c>
    </row>
    <row r="11" spans="1:11" x14ac:dyDescent="0.35">
      <c r="A11" s="1" t="s">
        <v>5</v>
      </c>
      <c r="B11" s="12">
        <v>24855</v>
      </c>
      <c r="C11" s="12">
        <v>22075</v>
      </c>
      <c r="D11" s="12">
        <v>20715</v>
      </c>
      <c r="E11" s="12">
        <v>18273</v>
      </c>
    </row>
    <row r="12" spans="1:11" x14ac:dyDescent="0.35">
      <c r="A12" s="8" t="s">
        <v>8</v>
      </c>
      <c r="B12" s="13">
        <f>+B10+B11</f>
        <v>214137</v>
      </c>
      <c r="C12" s="13">
        <f>+C10+C11</f>
        <v>223546</v>
      </c>
      <c r="D12" s="13">
        <f t="shared" ref="D12:E12" si="1">+D10+D11</f>
        <v>212981</v>
      </c>
      <c r="E12" s="13">
        <f t="shared" si="1"/>
        <v>169559</v>
      </c>
    </row>
    <row r="13" spans="1:11" x14ac:dyDescent="0.35">
      <c r="A13" s="8" t="s">
        <v>9</v>
      </c>
      <c r="B13" s="13">
        <f>+B8-B12</f>
        <v>169148</v>
      </c>
      <c r="C13" s="13">
        <f>+C8-C12</f>
        <v>170782</v>
      </c>
      <c r="D13" s="13">
        <f t="shared" ref="D13:E13" si="2">+D8-D12</f>
        <v>152836</v>
      </c>
      <c r="E13" s="13">
        <f t="shared" si="2"/>
        <v>104956</v>
      </c>
    </row>
    <row r="14" spans="1:11" x14ac:dyDescent="0.35">
      <c r="A14" t="s">
        <v>10</v>
      </c>
      <c r="B14" s="12"/>
      <c r="C14" s="12"/>
      <c r="D14" s="12"/>
      <c r="E14" s="12"/>
    </row>
    <row r="15" spans="1:11" x14ac:dyDescent="0.35">
      <c r="A15" s="1" t="s">
        <v>11</v>
      </c>
      <c r="B15" s="12">
        <v>29915</v>
      </c>
      <c r="C15" s="12">
        <v>26251</v>
      </c>
      <c r="D15" s="12">
        <v>21914</v>
      </c>
      <c r="E15" s="12">
        <v>18752</v>
      </c>
    </row>
    <row r="16" spans="1:11" x14ac:dyDescent="0.35">
      <c r="A16" s="1" t="s">
        <v>12</v>
      </c>
      <c r="B16" s="12">
        <v>24932</v>
      </c>
      <c r="C16" s="12">
        <v>25094</v>
      </c>
      <c r="D16" s="12">
        <v>21973</v>
      </c>
      <c r="E16" s="12">
        <v>19916</v>
      </c>
    </row>
    <row r="17" spans="1:5" x14ac:dyDescent="0.35">
      <c r="A17" s="8" t="s">
        <v>13</v>
      </c>
      <c r="B17" s="13">
        <f>+B15+B16</f>
        <v>54847</v>
      </c>
      <c r="C17" s="13">
        <f>+C15+C16</f>
        <v>51345</v>
      </c>
      <c r="D17" s="13">
        <f t="shared" ref="D17" si="3">+D15+D16</f>
        <v>43887</v>
      </c>
      <c r="E17" s="13">
        <f t="shared" ref="E17" si="4">+E15+E16</f>
        <v>38668</v>
      </c>
    </row>
    <row r="18" spans="1:5" s="7" customFormat="1" x14ac:dyDescent="0.35">
      <c r="A18" s="8" t="s">
        <v>14</v>
      </c>
      <c r="B18" s="13">
        <f>+B13-B17</f>
        <v>114301</v>
      </c>
      <c r="C18" s="13">
        <f>+C13-C17</f>
        <v>119437</v>
      </c>
      <c r="D18" s="13">
        <f t="shared" ref="D18:E18" si="5">+D13-D17</f>
        <v>108949</v>
      </c>
      <c r="E18" s="13">
        <f t="shared" si="5"/>
        <v>66288</v>
      </c>
    </row>
    <row r="19" spans="1:5" x14ac:dyDescent="0.35">
      <c r="A19" t="s">
        <v>15</v>
      </c>
      <c r="B19" s="12">
        <v>-565</v>
      </c>
      <c r="C19" s="12">
        <v>-334</v>
      </c>
      <c r="D19" s="12">
        <v>258</v>
      </c>
      <c r="E19" s="12">
        <v>803</v>
      </c>
    </row>
    <row r="20" spans="1:5" x14ac:dyDescent="0.35">
      <c r="A20" s="8" t="s">
        <v>16</v>
      </c>
      <c r="B20" s="13">
        <f>+B18+B19</f>
        <v>113736</v>
      </c>
      <c r="C20" s="13">
        <f>+C18+C19</f>
        <v>119103</v>
      </c>
      <c r="D20" s="13">
        <f t="shared" ref="D20:E20" si="6">+D18+D19</f>
        <v>109207</v>
      </c>
      <c r="E20" s="13">
        <f t="shared" si="6"/>
        <v>67091</v>
      </c>
    </row>
    <row r="21" spans="1:5" x14ac:dyDescent="0.35">
      <c r="A21" t="s">
        <v>17</v>
      </c>
      <c r="B21" s="12">
        <v>16741</v>
      </c>
      <c r="C21" s="12">
        <v>19300</v>
      </c>
      <c r="D21" s="12">
        <v>14527</v>
      </c>
      <c r="E21" s="12">
        <v>9680</v>
      </c>
    </row>
    <row r="22" spans="1:5" ht="15" thickBot="1" x14ac:dyDescent="0.4">
      <c r="A22" s="9" t="s">
        <v>18</v>
      </c>
      <c r="B22" s="14">
        <f>+B20-B21</f>
        <v>96995</v>
      </c>
      <c r="C22" s="14">
        <f>+C20-C21</f>
        <v>99803</v>
      </c>
      <c r="D22" s="14">
        <f t="shared" ref="D22:E22" si="7">+D20-D21</f>
        <v>94680</v>
      </c>
      <c r="E22" s="14">
        <f t="shared" si="7"/>
        <v>57411</v>
      </c>
    </row>
    <row r="23" spans="1:5" ht="15" thickTop="1" x14ac:dyDescent="0.35">
      <c r="A23" t="s">
        <v>19</v>
      </c>
    </row>
    <row r="24" spans="1:5" x14ac:dyDescent="0.35">
      <c r="A24" s="1" t="s">
        <v>20</v>
      </c>
      <c r="B24" s="10">
        <v>6.16</v>
      </c>
      <c r="C24" s="10">
        <v>6.15</v>
      </c>
      <c r="D24" s="10">
        <v>5.67</v>
      </c>
      <c r="E24" s="10">
        <v>3.31</v>
      </c>
    </row>
    <row r="25" spans="1:5" x14ac:dyDescent="0.35">
      <c r="A25" s="1" t="s">
        <v>21</v>
      </c>
      <c r="B25" s="10">
        <v>6.13</v>
      </c>
      <c r="C25" s="10">
        <v>6.11</v>
      </c>
      <c r="D25" s="10">
        <v>5.61</v>
      </c>
      <c r="E25" s="10">
        <v>3.28</v>
      </c>
    </row>
    <row r="26" spans="1:5" x14ac:dyDescent="0.35">
      <c r="A26" t="s">
        <v>22</v>
      </c>
      <c r="B26" s="2"/>
    </row>
    <row r="27" spans="1:5" x14ac:dyDescent="0.35">
      <c r="A27" s="1" t="s">
        <v>20</v>
      </c>
      <c r="B27" s="2">
        <v>15744231</v>
      </c>
      <c r="C27" s="2">
        <v>16215963</v>
      </c>
      <c r="D27" s="2">
        <v>16701272</v>
      </c>
      <c r="E27" s="2">
        <v>17352119</v>
      </c>
    </row>
    <row r="28" spans="1:5" x14ac:dyDescent="0.35">
      <c r="A28" s="1" t="s">
        <v>21</v>
      </c>
      <c r="B28" s="2">
        <v>15812547</v>
      </c>
      <c r="C28" s="2">
        <v>16325819</v>
      </c>
      <c r="D28" s="2">
        <v>16864919</v>
      </c>
      <c r="E28" s="2">
        <v>17528214</v>
      </c>
    </row>
    <row r="31" spans="1:5" x14ac:dyDescent="0.35">
      <c r="A31" s="43" t="s">
        <v>24</v>
      </c>
      <c r="B31" s="43"/>
      <c r="C31" s="43"/>
      <c r="D31" s="43"/>
      <c r="E31" s="43"/>
    </row>
    <row r="32" spans="1:5" x14ac:dyDescent="0.35">
      <c r="B32" s="31"/>
      <c r="C32" s="42" t="s">
        <v>141</v>
      </c>
      <c r="D32" s="42"/>
      <c r="E32" s="42"/>
    </row>
    <row r="33" spans="1:5" x14ac:dyDescent="0.35">
      <c r="B33" s="7">
        <v>2023</v>
      </c>
      <c r="C33" s="7">
        <f>+C4</f>
        <v>2022</v>
      </c>
      <c r="D33" s="7">
        <f t="shared" ref="D33:E33" si="8">+D4</f>
        <v>2021</v>
      </c>
      <c r="E33" s="7">
        <f t="shared" si="8"/>
        <v>2020</v>
      </c>
    </row>
    <row r="35" spans="1:5" x14ac:dyDescent="0.35">
      <c r="A35" t="s">
        <v>25</v>
      </c>
    </row>
    <row r="36" spans="1:5" x14ac:dyDescent="0.35">
      <c r="A36" s="1" t="s">
        <v>26</v>
      </c>
      <c r="B36" s="12">
        <v>29965</v>
      </c>
      <c r="C36" s="12">
        <v>23646</v>
      </c>
      <c r="D36" s="12">
        <v>34940</v>
      </c>
      <c r="E36" s="12">
        <v>38016</v>
      </c>
    </row>
    <row r="37" spans="1:5" x14ac:dyDescent="0.35">
      <c r="A37" s="1" t="s">
        <v>27</v>
      </c>
      <c r="B37" s="12">
        <v>31590</v>
      </c>
      <c r="C37" s="12">
        <v>24658</v>
      </c>
      <c r="D37" s="12">
        <v>27699</v>
      </c>
      <c r="E37" s="12">
        <v>52927</v>
      </c>
    </row>
    <row r="38" spans="1:5" x14ac:dyDescent="0.35">
      <c r="A38" s="1" t="s">
        <v>28</v>
      </c>
      <c r="B38" s="12">
        <v>29508</v>
      </c>
      <c r="C38" s="12">
        <v>28184</v>
      </c>
      <c r="D38" s="12">
        <v>26278</v>
      </c>
      <c r="E38" s="12">
        <v>16120</v>
      </c>
    </row>
    <row r="39" spans="1:5" x14ac:dyDescent="0.35">
      <c r="A39" s="1" t="s">
        <v>29</v>
      </c>
      <c r="B39" s="12">
        <v>6331</v>
      </c>
      <c r="C39" s="12">
        <v>4946</v>
      </c>
      <c r="D39" s="12">
        <v>6580</v>
      </c>
      <c r="E39" s="12">
        <v>4061</v>
      </c>
    </row>
    <row r="40" spans="1:5" x14ac:dyDescent="0.35">
      <c r="A40" s="1" t="s">
        <v>46</v>
      </c>
      <c r="B40" s="12">
        <v>31477</v>
      </c>
      <c r="C40" s="12">
        <v>32748</v>
      </c>
      <c r="D40" s="12">
        <v>25228</v>
      </c>
      <c r="E40" s="12">
        <v>21325</v>
      </c>
    </row>
    <row r="41" spans="1:5" x14ac:dyDescent="0.35">
      <c r="A41" s="1" t="s">
        <v>30</v>
      </c>
      <c r="B41" s="12">
        <v>14695</v>
      </c>
      <c r="C41" s="12">
        <v>21223</v>
      </c>
      <c r="D41" s="12">
        <v>14111</v>
      </c>
      <c r="E41" s="12">
        <v>11264</v>
      </c>
    </row>
    <row r="42" spans="1:5" x14ac:dyDescent="0.35">
      <c r="A42" s="8" t="s">
        <v>31</v>
      </c>
      <c r="B42" s="13">
        <v>143566</v>
      </c>
      <c r="C42" s="13">
        <f>+SUM(C36:C41)</f>
        <v>135405</v>
      </c>
      <c r="D42" s="13">
        <f t="shared" ref="D42:E42" si="9">+SUM(D36:D41)</f>
        <v>134836</v>
      </c>
      <c r="E42" s="13">
        <f t="shared" si="9"/>
        <v>143713</v>
      </c>
    </row>
    <row r="43" spans="1:5" x14ac:dyDescent="0.35">
      <c r="A43" t="s">
        <v>47</v>
      </c>
      <c r="B43" s="12"/>
      <c r="C43" s="12"/>
      <c r="D43" s="12"/>
      <c r="E43" s="12"/>
    </row>
    <row r="44" spans="1:5" x14ac:dyDescent="0.35">
      <c r="A44" s="1" t="s">
        <v>27</v>
      </c>
      <c r="B44" s="12">
        <v>100544</v>
      </c>
      <c r="C44" s="12">
        <v>120805</v>
      </c>
      <c r="D44" s="12">
        <v>127877</v>
      </c>
      <c r="E44" s="12">
        <v>100887</v>
      </c>
    </row>
    <row r="45" spans="1:5" x14ac:dyDescent="0.35">
      <c r="A45" s="1" t="s">
        <v>32</v>
      </c>
      <c r="B45" s="12">
        <v>43715</v>
      </c>
      <c r="C45" s="12">
        <v>42117</v>
      </c>
      <c r="D45" s="12">
        <v>39440</v>
      </c>
      <c r="E45" s="12">
        <v>36766</v>
      </c>
    </row>
    <row r="46" spans="1:5" x14ac:dyDescent="0.35">
      <c r="A46" s="1" t="s">
        <v>48</v>
      </c>
      <c r="B46" s="12">
        <v>64758</v>
      </c>
      <c r="C46" s="12">
        <v>54428</v>
      </c>
      <c r="D46" s="12">
        <v>48849</v>
      </c>
      <c r="E46" s="12">
        <v>42522</v>
      </c>
    </row>
    <row r="47" spans="1:5" x14ac:dyDescent="0.35">
      <c r="A47" s="8" t="s">
        <v>49</v>
      </c>
      <c r="B47" s="13">
        <v>209017</v>
      </c>
      <c r="C47" s="13">
        <f>+SUM(C44:C46)</f>
        <v>217350</v>
      </c>
      <c r="D47" s="13">
        <f t="shared" ref="D47:E47" si="10">+SUM(D44:D46)</f>
        <v>216166</v>
      </c>
      <c r="E47" s="13">
        <f t="shared" si="10"/>
        <v>180175</v>
      </c>
    </row>
    <row r="48" spans="1:5" ht="15" thickBot="1" x14ac:dyDescent="0.4">
      <c r="A48" s="9" t="s">
        <v>33</v>
      </c>
      <c r="B48" s="14">
        <v>352583</v>
      </c>
      <c r="C48" s="14">
        <f>+C42+C47</f>
        <v>352755</v>
      </c>
      <c r="D48" s="14">
        <f t="shared" ref="D48:E48" si="11">+D42+D47</f>
        <v>351002</v>
      </c>
      <c r="E48" s="14">
        <f t="shared" si="11"/>
        <v>323888</v>
      </c>
    </row>
    <row r="49" spans="1:5" ht="15" thickTop="1" x14ac:dyDescent="0.35"/>
    <row r="50" spans="1:5" x14ac:dyDescent="0.35">
      <c r="A50" t="s">
        <v>34</v>
      </c>
    </row>
    <row r="51" spans="1:5" x14ac:dyDescent="0.35">
      <c r="A51" s="1" t="s">
        <v>35</v>
      </c>
      <c r="B51" s="12">
        <v>62611</v>
      </c>
      <c r="C51" s="12">
        <v>64115</v>
      </c>
      <c r="D51" s="12">
        <v>54763</v>
      </c>
      <c r="E51" s="12">
        <v>42296</v>
      </c>
    </row>
    <row r="52" spans="1:5" x14ac:dyDescent="0.35">
      <c r="A52" s="1" t="s">
        <v>36</v>
      </c>
      <c r="B52" s="12">
        <v>58829</v>
      </c>
      <c r="C52" s="12">
        <v>60845</v>
      </c>
      <c r="D52" s="12">
        <v>47493</v>
      </c>
      <c r="E52" s="12">
        <v>42684</v>
      </c>
    </row>
    <row r="53" spans="1:5" x14ac:dyDescent="0.35">
      <c r="A53" s="1" t="s">
        <v>37</v>
      </c>
      <c r="B53" s="12">
        <v>8061</v>
      </c>
      <c r="C53" s="12">
        <v>7912</v>
      </c>
      <c r="D53" s="12">
        <v>7612</v>
      </c>
      <c r="E53" s="12">
        <v>6643</v>
      </c>
    </row>
    <row r="54" spans="1:5" x14ac:dyDescent="0.35">
      <c r="A54" s="1" t="s">
        <v>38</v>
      </c>
      <c r="B54" s="12">
        <v>5985</v>
      </c>
      <c r="C54" s="12">
        <v>9982</v>
      </c>
      <c r="D54" s="12">
        <v>6000</v>
      </c>
      <c r="E54" s="12">
        <v>4996</v>
      </c>
    </row>
    <row r="55" spans="1:5" x14ac:dyDescent="0.35">
      <c r="A55" s="1" t="s">
        <v>39</v>
      </c>
      <c r="B55" s="12">
        <v>9822</v>
      </c>
      <c r="C55" s="12">
        <v>11128</v>
      </c>
      <c r="D55" s="12">
        <v>9613</v>
      </c>
      <c r="E55" s="12">
        <v>8773</v>
      </c>
    </row>
    <row r="56" spans="1:5" x14ac:dyDescent="0.35">
      <c r="A56" s="8" t="s">
        <v>40</v>
      </c>
      <c r="B56" s="13">
        <v>145308</v>
      </c>
      <c r="C56" s="13">
        <f>+SUM(C51:C55)</f>
        <v>153982</v>
      </c>
      <c r="D56" s="13">
        <f t="shared" ref="D56:E56" si="12">+SUM(D51:D55)</f>
        <v>125481</v>
      </c>
      <c r="E56" s="13">
        <f t="shared" si="12"/>
        <v>105392</v>
      </c>
    </row>
    <row r="57" spans="1:5" x14ac:dyDescent="0.35">
      <c r="A57" t="s">
        <v>50</v>
      </c>
      <c r="B57" s="12"/>
      <c r="C57" s="12"/>
      <c r="D57" s="12"/>
      <c r="E57" s="12"/>
    </row>
    <row r="58" spans="1:5" x14ac:dyDescent="0.35">
      <c r="A58" s="1" t="s">
        <v>37</v>
      </c>
      <c r="B58" s="12"/>
      <c r="C58" s="12"/>
      <c r="D58" s="12"/>
      <c r="E58" s="12"/>
    </row>
    <row r="59" spans="1:5" x14ac:dyDescent="0.35">
      <c r="A59" s="1" t="s">
        <v>39</v>
      </c>
      <c r="B59" s="12">
        <v>95281</v>
      </c>
      <c r="C59" s="12">
        <v>98959</v>
      </c>
      <c r="D59" s="12">
        <v>109106</v>
      </c>
      <c r="E59" s="12">
        <v>98667</v>
      </c>
    </row>
    <row r="60" spans="1:5" x14ac:dyDescent="0.35">
      <c r="A60" s="1" t="s">
        <v>51</v>
      </c>
      <c r="B60" s="12">
        <v>49848</v>
      </c>
      <c r="C60" s="12">
        <v>49142</v>
      </c>
      <c r="D60" s="12">
        <v>53325</v>
      </c>
      <c r="E60" s="12">
        <v>54490</v>
      </c>
    </row>
    <row r="61" spans="1:5" x14ac:dyDescent="0.35">
      <c r="A61" s="22" t="s">
        <v>52</v>
      </c>
      <c r="B61" s="21">
        <v>145129</v>
      </c>
      <c r="C61" s="21">
        <f>+C59+C60</f>
        <v>148101</v>
      </c>
      <c r="D61" s="21">
        <f t="shared" ref="D61:E61" si="13">+D59+D60</f>
        <v>162431</v>
      </c>
      <c r="E61" s="21">
        <f t="shared" si="13"/>
        <v>153157</v>
      </c>
    </row>
    <row r="62" spans="1:5" x14ac:dyDescent="0.35">
      <c r="A62" s="8" t="s">
        <v>41</v>
      </c>
      <c r="B62" s="13">
        <v>290437</v>
      </c>
      <c r="C62" s="13">
        <f>+C56+C61</f>
        <v>302083</v>
      </c>
      <c r="D62" s="13">
        <f t="shared" ref="D62:E62" si="14">+D56+D61</f>
        <v>287912</v>
      </c>
      <c r="E62" s="13">
        <f t="shared" si="14"/>
        <v>258549</v>
      </c>
    </row>
    <row r="63" spans="1:5" x14ac:dyDescent="0.35">
      <c r="B63" s="12"/>
      <c r="C63" s="12"/>
      <c r="D63" s="12"/>
      <c r="E63" s="12"/>
    </row>
    <row r="64" spans="1:5" x14ac:dyDescent="0.35">
      <c r="A64" t="s">
        <v>42</v>
      </c>
      <c r="B64" s="12"/>
      <c r="C64" s="12"/>
      <c r="D64" s="12"/>
      <c r="E64" s="12"/>
    </row>
    <row r="65" spans="1:11" x14ac:dyDescent="0.35">
      <c r="A65" s="1" t="s">
        <v>53</v>
      </c>
      <c r="B65" s="12">
        <v>73812</v>
      </c>
      <c r="C65" s="12">
        <v>64849</v>
      </c>
      <c r="D65" s="12">
        <v>57365</v>
      </c>
      <c r="E65" s="12">
        <v>50779</v>
      </c>
    </row>
    <row r="66" spans="1:11" x14ac:dyDescent="0.35">
      <c r="A66" s="1" t="s">
        <v>175</v>
      </c>
      <c r="B66" s="12">
        <v>-214</v>
      </c>
      <c r="C66" s="12">
        <v>-3068</v>
      </c>
      <c r="D66" s="12">
        <v>5562</v>
      </c>
      <c r="E66" s="12">
        <v>14966</v>
      </c>
    </row>
    <row r="67" spans="1:11" x14ac:dyDescent="0.35">
      <c r="A67" s="1" t="s">
        <v>43</v>
      </c>
      <c r="B67" s="12">
        <v>-11452</v>
      </c>
      <c r="C67" s="12">
        <v>-11109</v>
      </c>
      <c r="D67" s="12">
        <v>163</v>
      </c>
      <c r="E67" s="12">
        <v>-406</v>
      </c>
    </row>
    <row r="68" spans="1:11" x14ac:dyDescent="0.35">
      <c r="A68" s="8" t="s">
        <v>44</v>
      </c>
      <c r="B68" s="13">
        <v>62146</v>
      </c>
      <c r="C68" s="13">
        <f>+SUM(C65:C67)</f>
        <v>50672</v>
      </c>
      <c r="D68" s="13">
        <f t="shared" ref="D68:E68" si="15">+SUM(D65:D67)</f>
        <v>63090</v>
      </c>
      <c r="E68" s="13">
        <f t="shared" si="15"/>
        <v>65339</v>
      </c>
      <c r="K68" s="36"/>
    </row>
    <row r="69" spans="1:11" ht="15" thickBot="1" x14ac:dyDescent="0.4">
      <c r="A69" s="9" t="s">
        <v>45</v>
      </c>
      <c r="B69" s="14">
        <v>352583</v>
      </c>
      <c r="C69" s="14">
        <f>+C68+C62</f>
        <v>352755</v>
      </c>
      <c r="D69" s="14">
        <f t="shared" ref="D69:E69" si="16">+D68+D62</f>
        <v>351002</v>
      </c>
      <c r="E69" s="14">
        <f t="shared" si="16"/>
        <v>323888</v>
      </c>
    </row>
    <row r="70" spans="1:11" ht="15" thickTop="1" x14ac:dyDescent="0.35"/>
    <row r="71" spans="1:11" x14ac:dyDescent="0.35">
      <c r="A71" s="43" t="s">
        <v>54</v>
      </c>
      <c r="B71" s="43"/>
      <c r="C71" s="43"/>
      <c r="D71" s="43"/>
      <c r="E71" s="43"/>
    </row>
    <row r="72" spans="1:11" x14ac:dyDescent="0.35">
      <c r="B72" s="31"/>
      <c r="C72" s="42" t="s">
        <v>23</v>
      </c>
      <c r="D72" s="42"/>
      <c r="E72" s="42"/>
    </row>
    <row r="73" spans="1:11" x14ac:dyDescent="0.35">
      <c r="B73" s="7">
        <v>2023</v>
      </c>
      <c r="C73" s="7">
        <f>+C33</f>
        <v>2022</v>
      </c>
      <c r="D73" s="7">
        <f t="shared" ref="D73:E73" si="17">+D33</f>
        <v>2021</v>
      </c>
      <c r="E73" s="7">
        <f t="shared" si="17"/>
        <v>2020</v>
      </c>
    </row>
    <row r="75" spans="1:11" x14ac:dyDescent="0.35">
      <c r="A75" s="7" t="s">
        <v>55</v>
      </c>
      <c r="B75" s="15"/>
      <c r="C75" s="15"/>
      <c r="D75" s="15"/>
      <c r="E75" s="15"/>
    </row>
    <row r="76" spans="1:11" x14ac:dyDescent="0.35">
      <c r="A76" t="s">
        <v>56</v>
      </c>
      <c r="B76" s="12">
        <v>96995</v>
      </c>
      <c r="C76" s="12">
        <f>+C22</f>
        <v>99803</v>
      </c>
      <c r="D76" s="12">
        <f t="shared" ref="D76:E76" si="18">+D22</f>
        <v>94680</v>
      </c>
      <c r="E76" s="12">
        <f t="shared" si="18"/>
        <v>57411</v>
      </c>
    </row>
    <row r="77" spans="1:11" x14ac:dyDescent="0.35">
      <c r="A77" s="11" t="s">
        <v>18</v>
      </c>
      <c r="B77" s="15"/>
      <c r="C77" s="15"/>
      <c r="D77" s="15"/>
      <c r="E77" s="15"/>
    </row>
    <row r="78" spans="1:11" x14ac:dyDescent="0.35">
      <c r="A78" s="1" t="s">
        <v>57</v>
      </c>
      <c r="B78" s="12"/>
      <c r="C78" s="12"/>
      <c r="D78" s="12"/>
      <c r="E78" s="12"/>
    </row>
    <row r="79" spans="1:11" x14ac:dyDescent="0.35">
      <c r="A79" s="3" t="s">
        <v>58</v>
      </c>
      <c r="B79" s="12">
        <v>11519</v>
      </c>
      <c r="C79" s="12">
        <v>11104</v>
      </c>
      <c r="D79" s="12">
        <v>11284</v>
      </c>
      <c r="E79" s="12">
        <v>11056</v>
      </c>
    </row>
    <row r="80" spans="1:11" x14ac:dyDescent="0.35">
      <c r="A80" s="3" t="s">
        <v>82</v>
      </c>
      <c r="B80" s="12">
        <v>10833</v>
      </c>
      <c r="C80" s="12">
        <v>9038</v>
      </c>
      <c r="D80" s="12">
        <v>7906</v>
      </c>
      <c r="E80" s="12">
        <v>6829</v>
      </c>
    </row>
    <row r="81" spans="1:5" x14ac:dyDescent="0.35">
      <c r="A81" s="3" t="s">
        <v>59</v>
      </c>
      <c r="B81" s="12"/>
      <c r="C81" s="12">
        <v>895</v>
      </c>
      <c r="D81" s="12">
        <v>-4774</v>
      </c>
      <c r="E81" s="12">
        <v>-215</v>
      </c>
    </row>
    <row r="82" spans="1:5" x14ac:dyDescent="0.35">
      <c r="A82" s="3" t="s">
        <v>60</v>
      </c>
      <c r="B82" s="12">
        <v>-2227</v>
      </c>
      <c r="C82" s="12">
        <v>111</v>
      </c>
      <c r="D82" s="12">
        <v>-147</v>
      </c>
      <c r="E82" s="12">
        <v>-97</v>
      </c>
    </row>
    <row r="83" spans="1:5" x14ac:dyDescent="0.35">
      <c r="A83" t="s">
        <v>61</v>
      </c>
      <c r="B83" s="12"/>
      <c r="C83" s="12"/>
      <c r="D83" s="12"/>
      <c r="E83" s="12"/>
    </row>
    <row r="84" spans="1:5" x14ac:dyDescent="0.35">
      <c r="A84" s="1" t="s">
        <v>28</v>
      </c>
      <c r="B84" s="12">
        <v>-1688</v>
      </c>
      <c r="C84" s="12">
        <v>-1823</v>
      </c>
      <c r="D84" s="12">
        <v>-10125</v>
      </c>
      <c r="E84" s="12">
        <v>6917</v>
      </c>
    </row>
    <row r="85" spans="1:5" x14ac:dyDescent="0.35">
      <c r="A85" s="1" t="s">
        <v>29</v>
      </c>
      <c r="B85" s="12">
        <v>-1618</v>
      </c>
      <c r="C85" s="12">
        <v>1484</v>
      </c>
      <c r="D85" s="12">
        <v>-2642</v>
      </c>
      <c r="E85" s="12">
        <v>-127</v>
      </c>
    </row>
    <row r="86" spans="1:5" x14ac:dyDescent="0.35">
      <c r="A86" s="1" t="s">
        <v>46</v>
      </c>
      <c r="B86" s="12">
        <v>1271</v>
      </c>
      <c r="C86" s="12">
        <v>-7520</v>
      </c>
      <c r="D86" s="12">
        <v>-3903</v>
      </c>
      <c r="E86" s="12">
        <v>1553</v>
      </c>
    </row>
    <row r="87" spans="1:5" x14ac:dyDescent="0.35">
      <c r="A87" s="1" t="s">
        <v>83</v>
      </c>
      <c r="B87" s="12">
        <v>-5684</v>
      </c>
      <c r="C87" s="12">
        <v>-6499</v>
      </c>
      <c r="D87" s="12">
        <v>-8042</v>
      </c>
      <c r="E87" s="12">
        <v>-9588</v>
      </c>
    </row>
    <row r="88" spans="1:5" x14ac:dyDescent="0.35">
      <c r="A88" s="1" t="s">
        <v>35</v>
      </c>
      <c r="B88" s="12">
        <v>-1889</v>
      </c>
      <c r="C88" s="12">
        <v>9448</v>
      </c>
      <c r="D88" s="12">
        <v>12326</v>
      </c>
      <c r="E88" s="12">
        <v>-4062</v>
      </c>
    </row>
    <row r="89" spans="1:5" x14ac:dyDescent="0.35">
      <c r="A89" s="1" t="s">
        <v>37</v>
      </c>
      <c r="B89" s="12"/>
      <c r="C89" s="12">
        <v>478</v>
      </c>
      <c r="D89" s="12">
        <v>1676</v>
      </c>
      <c r="E89" s="12">
        <v>2081</v>
      </c>
    </row>
    <row r="90" spans="1:5" x14ac:dyDescent="0.35">
      <c r="A90" s="1" t="s">
        <v>84</v>
      </c>
      <c r="B90" s="12">
        <v>3031</v>
      </c>
      <c r="C90" s="12">
        <v>5632</v>
      </c>
      <c r="D90" s="12">
        <v>5799</v>
      </c>
      <c r="E90" s="12">
        <v>8916</v>
      </c>
    </row>
    <row r="91" spans="1:5" x14ac:dyDescent="0.35">
      <c r="A91" s="8" t="s">
        <v>62</v>
      </c>
      <c r="B91" s="13"/>
      <c r="C91" s="13">
        <f>+SUM(C76:C90)</f>
        <v>122151</v>
      </c>
      <c r="D91" s="13">
        <f t="shared" ref="D91:E91" si="19">+SUM(D76:D90)</f>
        <v>104038</v>
      </c>
      <c r="E91" s="13">
        <f t="shared" si="19"/>
        <v>80674</v>
      </c>
    </row>
    <row r="92" spans="1:5" x14ac:dyDescent="0.35">
      <c r="A92" s="7" t="s">
        <v>63</v>
      </c>
      <c r="B92" s="12"/>
      <c r="C92" s="12"/>
      <c r="D92" s="12"/>
      <c r="E92" s="12"/>
    </row>
    <row r="93" spans="1:5" x14ac:dyDescent="0.35">
      <c r="A93" s="1" t="s">
        <v>64</v>
      </c>
      <c r="B93" s="12">
        <v>-29513</v>
      </c>
      <c r="C93" s="12">
        <v>-76923</v>
      </c>
      <c r="D93" s="12">
        <v>-109558</v>
      </c>
      <c r="E93" s="12">
        <v>-114938</v>
      </c>
    </row>
    <row r="94" spans="1:5" x14ac:dyDescent="0.35">
      <c r="A94" s="1" t="s">
        <v>65</v>
      </c>
      <c r="B94" s="12">
        <v>39686</v>
      </c>
      <c r="C94" s="12">
        <v>29917</v>
      </c>
      <c r="D94" s="12">
        <v>59023</v>
      </c>
      <c r="E94" s="12">
        <v>69918</v>
      </c>
    </row>
    <row r="95" spans="1:5" x14ac:dyDescent="0.35">
      <c r="A95" s="1" t="s">
        <v>66</v>
      </c>
      <c r="B95" s="12">
        <v>5828</v>
      </c>
      <c r="C95" s="12">
        <v>37446</v>
      </c>
      <c r="D95" s="12">
        <v>47460</v>
      </c>
      <c r="E95" s="12">
        <v>50473</v>
      </c>
    </row>
    <row r="96" spans="1:5" x14ac:dyDescent="0.35">
      <c r="A96" s="1" t="s">
        <v>67</v>
      </c>
      <c r="B96" s="12">
        <v>-10959</v>
      </c>
      <c r="C96" s="12">
        <v>-10708</v>
      </c>
      <c r="D96" s="12">
        <v>-11085</v>
      </c>
      <c r="E96" s="12">
        <v>-7309</v>
      </c>
    </row>
    <row r="97" spans="1:5" x14ac:dyDescent="0.35">
      <c r="A97" s="1" t="s">
        <v>68</v>
      </c>
      <c r="B97" s="12"/>
      <c r="C97" s="12">
        <v>-306</v>
      </c>
      <c r="D97" s="12">
        <v>-33</v>
      </c>
      <c r="E97" s="12">
        <v>-1524</v>
      </c>
    </row>
    <row r="98" spans="1:5" x14ac:dyDescent="0.35">
      <c r="A98" s="1" t="s">
        <v>60</v>
      </c>
      <c r="B98" s="12">
        <v>-1337</v>
      </c>
      <c r="C98" s="12">
        <v>-1780</v>
      </c>
      <c r="D98" s="12">
        <v>-352</v>
      </c>
      <c r="E98" s="12">
        <v>-909</v>
      </c>
    </row>
    <row r="99" spans="1:5" x14ac:dyDescent="0.35">
      <c r="A99" s="8" t="s">
        <v>69</v>
      </c>
      <c r="B99" s="13"/>
      <c r="C99" s="13">
        <f>+SUM(C93:C98)</f>
        <v>-22354</v>
      </c>
      <c r="D99" s="13">
        <f t="shared" ref="D99:E99" si="20">+SUM(D93:D98)</f>
        <v>-14545</v>
      </c>
      <c r="E99" s="13">
        <f t="shared" si="20"/>
        <v>-4289</v>
      </c>
    </row>
    <row r="100" spans="1:5" x14ac:dyDescent="0.35">
      <c r="A100" s="7" t="s">
        <v>70</v>
      </c>
      <c r="B100" s="12"/>
      <c r="C100" s="12"/>
      <c r="D100" s="12"/>
      <c r="E100" s="12"/>
    </row>
    <row r="101" spans="1:5" x14ac:dyDescent="0.35">
      <c r="A101" s="1" t="s">
        <v>85</v>
      </c>
      <c r="B101" s="12">
        <v>-5431</v>
      </c>
      <c r="C101" s="12">
        <v>-6223</v>
      </c>
      <c r="D101" s="12">
        <v>-6556</v>
      </c>
      <c r="E101" s="12">
        <v>-3634</v>
      </c>
    </row>
    <row r="102" spans="1:5" x14ac:dyDescent="0.35">
      <c r="A102" s="1" t="s">
        <v>71</v>
      </c>
      <c r="B102" s="12">
        <v>-15025</v>
      </c>
      <c r="C102" s="12">
        <v>-14841</v>
      </c>
      <c r="D102" s="12">
        <v>-14467</v>
      </c>
      <c r="E102" s="12">
        <v>-14081</v>
      </c>
    </row>
    <row r="103" spans="1:5" x14ac:dyDescent="0.35">
      <c r="A103" s="1" t="s">
        <v>72</v>
      </c>
      <c r="B103" s="12">
        <v>-77550</v>
      </c>
      <c r="C103" s="12">
        <v>-89402</v>
      </c>
      <c r="D103" s="12">
        <v>-85971</v>
      </c>
      <c r="E103" s="12">
        <v>-72358</v>
      </c>
    </row>
    <row r="104" spans="1:5" x14ac:dyDescent="0.35">
      <c r="A104" s="1" t="s">
        <v>73</v>
      </c>
      <c r="B104" s="12">
        <v>5228</v>
      </c>
      <c r="C104" s="12">
        <v>5465</v>
      </c>
      <c r="D104" s="12">
        <v>20393</v>
      </c>
      <c r="E104" s="12">
        <v>16091</v>
      </c>
    </row>
    <row r="105" spans="1:5" x14ac:dyDescent="0.35">
      <c r="A105" s="1" t="s">
        <v>74</v>
      </c>
      <c r="B105" s="12">
        <v>-11151</v>
      </c>
      <c r="C105" s="12">
        <v>-9543</v>
      </c>
      <c r="D105" s="12">
        <v>-8750</v>
      </c>
      <c r="E105" s="12">
        <v>-12629</v>
      </c>
    </row>
    <row r="106" spans="1:5" x14ac:dyDescent="0.35">
      <c r="A106" s="1" t="s">
        <v>75</v>
      </c>
      <c r="B106" s="12">
        <v>-3978</v>
      </c>
      <c r="C106" s="12">
        <v>3955</v>
      </c>
      <c r="D106" s="12">
        <v>1022</v>
      </c>
      <c r="E106" s="12">
        <v>-963</v>
      </c>
    </row>
    <row r="107" spans="1:5" x14ac:dyDescent="0.35">
      <c r="A107" s="1" t="s">
        <v>60</v>
      </c>
      <c r="B107" s="12">
        <v>-581</v>
      </c>
      <c r="C107" s="12">
        <v>-160</v>
      </c>
      <c r="D107" s="12">
        <v>976</v>
      </c>
      <c r="E107" s="12">
        <v>754</v>
      </c>
    </row>
    <row r="108" spans="1:5" x14ac:dyDescent="0.35">
      <c r="A108" s="8" t="s">
        <v>76</v>
      </c>
      <c r="B108" s="13">
        <f>+B101+B102+B103+B104+B105+B106+B107</f>
        <v>-108488</v>
      </c>
      <c r="C108" s="13">
        <f>+SUM(C101:C107)</f>
        <v>-110749</v>
      </c>
      <c r="D108" s="13">
        <f t="shared" ref="D108:E108" si="21">+SUM(D101:D107)</f>
        <v>-93353</v>
      </c>
      <c r="E108" s="13">
        <f t="shared" si="21"/>
        <v>-86820</v>
      </c>
    </row>
    <row r="109" spans="1:5" x14ac:dyDescent="0.35">
      <c r="A109" s="8" t="s">
        <v>77</v>
      </c>
      <c r="B109" s="13">
        <v>5760</v>
      </c>
      <c r="C109" s="13">
        <f>+C91+C99+C108</f>
        <v>-10952</v>
      </c>
      <c r="D109" s="13">
        <f t="shared" ref="D109:E109" si="22">+D91+D99+D108</f>
        <v>-3860</v>
      </c>
      <c r="E109" s="13">
        <f t="shared" si="22"/>
        <v>-10435</v>
      </c>
    </row>
    <row r="110" spans="1:5" ht="15" thickBot="1" x14ac:dyDescent="0.4">
      <c r="A110" s="9" t="s">
        <v>78</v>
      </c>
      <c r="B110" s="13">
        <v>30737</v>
      </c>
      <c r="C110" s="14">
        <v>24977</v>
      </c>
      <c r="D110" s="14">
        <v>35929</v>
      </c>
      <c r="E110" s="14">
        <v>39789</v>
      </c>
    </row>
    <row r="111" spans="1:5" ht="15" thickTop="1" x14ac:dyDescent="0.35">
      <c r="B111" s="12"/>
      <c r="C111" s="12"/>
      <c r="D111" s="12"/>
      <c r="E111" s="12"/>
    </row>
    <row r="112" spans="1:5" x14ac:dyDescent="0.35">
      <c r="A112" t="s">
        <v>79</v>
      </c>
      <c r="B112" s="12"/>
      <c r="C112" s="12"/>
      <c r="D112" s="12"/>
      <c r="E112" s="12"/>
    </row>
    <row r="113" spans="1:5" x14ac:dyDescent="0.35">
      <c r="A113" t="s">
        <v>80</v>
      </c>
      <c r="B113" s="12">
        <v>18679</v>
      </c>
      <c r="C113" s="12">
        <v>19573</v>
      </c>
      <c r="D113" s="12">
        <v>25385</v>
      </c>
      <c r="E113" s="12">
        <v>9501</v>
      </c>
    </row>
    <row r="114" spans="1:5" x14ac:dyDescent="0.35">
      <c r="A114" t="s">
        <v>81</v>
      </c>
      <c r="B114" s="12">
        <v>3803</v>
      </c>
      <c r="C114" s="12">
        <v>2865</v>
      </c>
      <c r="D114" s="12">
        <v>2687</v>
      </c>
      <c r="E114" s="12">
        <v>3002</v>
      </c>
    </row>
  </sheetData>
  <mergeCells count="6">
    <mergeCell ref="C3:E3"/>
    <mergeCell ref="C32:E32"/>
    <mergeCell ref="C72:E72"/>
    <mergeCell ref="A2:E2"/>
    <mergeCell ref="A31:E31"/>
    <mergeCell ref="A71:E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topLeftCell="C43" workbookViewId="0">
      <selection activeCell="J43" sqref="J1:J1048576"/>
    </sheetView>
  </sheetViews>
  <sheetFormatPr defaultColWidth="8.81640625" defaultRowHeight="14.5" x14ac:dyDescent="0.35"/>
  <cols>
    <col min="1" max="1" width="4.54296875" customWidth="1"/>
    <col min="2" max="2" width="44.81640625" customWidth="1"/>
    <col min="3" max="3" width="16.54296875" customWidth="1"/>
    <col min="4" max="4" width="16.1796875" bestFit="1" customWidth="1"/>
    <col min="5" max="5" width="15.453125" customWidth="1"/>
    <col min="6" max="6" width="16.1796875" bestFit="1" customWidth="1"/>
    <col min="7" max="7" width="28.1796875" style="28" customWidth="1"/>
    <col min="9" max="9" width="19" customWidth="1"/>
    <col min="10" max="10" width="20.453125" style="46" customWidth="1"/>
  </cols>
  <sheetData>
    <row r="1" spans="1:12" ht="60" customHeight="1" x14ac:dyDescent="0.6">
      <c r="A1" s="6"/>
      <c r="B1" s="20" t="s">
        <v>0</v>
      </c>
      <c r="C1" s="20"/>
      <c r="D1" s="19"/>
      <c r="E1" s="19"/>
      <c r="F1" s="19"/>
      <c r="G1" s="29" t="s">
        <v>170</v>
      </c>
      <c r="H1" s="19"/>
      <c r="I1" s="20"/>
      <c r="J1" s="51" t="s">
        <v>173</v>
      </c>
      <c r="K1" s="19"/>
      <c r="L1" s="19"/>
    </row>
    <row r="2" spans="1:12" x14ac:dyDescent="0.35">
      <c r="C2" t="s">
        <v>174</v>
      </c>
      <c r="D2" s="7" t="s">
        <v>23</v>
      </c>
      <c r="E2" s="7"/>
      <c r="F2" s="7"/>
    </row>
    <row r="3" spans="1:12" x14ac:dyDescent="0.35">
      <c r="D3" s="7">
        <f>+'Financial Statements'!C4</f>
        <v>2022</v>
      </c>
      <c r="E3" s="7">
        <f>+'Financial Statements'!D4</f>
        <v>2021</v>
      </c>
      <c r="F3" s="7">
        <f>+'Financial Statements'!E4</f>
        <v>2020</v>
      </c>
      <c r="I3" s="24">
        <v>2023</v>
      </c>
      <c r="J3" s="46">
        <v>2023</v>
      </c>
    </row>
    <row r="4" spans="1:12" x14ac:dyDescent="0.35">
      <c r="A4" s="18">
        <v>1</v>
      </c>
      <c r="B4" s="7" t="s">
        <v>98</v>
      </c>
      <c r="C4" s="32"/>
      <c r="I4" s="7"/>
    </row>
    <row r="5" spans="1:12" x14ac:dyDescent="0.35">
      <c r="A5" s="18">
        <f>+A4+0.1</f>
        <v>1.1000000000000001</v>
      </c>
      <c r="B5" s="1" t="s">
        <v>99</v>
      </c>
      <c r="C5" s="39"/>
      <c r="D5" s="27">
        <f>'Financial Statements'!C42/'Financial Statements'!C56</f>
        <v>0.87935602862672257</v>
      </c>
      <c r="E5" s="27">
        <f>'Financial Statements'!D42/'Financial Statements'!D56</f>
        <v>1.0745531195957954</v>
      </c>
      <c r="F5" s="27">
        <f>'Financial Statements'!E42/'Financial Statements'!E56</f>
        <v>1.3636044481554577</v>
      </c>
      <c r="I5" s="23">
        <v>0.98801167000000001</v>
      </c>
      <c r="J5" s="52"/>
    </row>
    <row r="6" spans="1:12" x14ac:dyDescent="0.35">
      <c r="A6" s="18">
        <f t="shared" ref="A6:A13" si="0">+A5+0.1</f>
        <v>1.2000000000000002</v>
      </c>
      <c r="B6" s="1" t="s">
        <v>100</v>
      </c>
      <c r="C6" s="39"/>
      <c r="D6" s="27">
        <f>('Financial Statements'!C42-'Financial Statements'!C39)/'Financial Statements'!C56</f>
        <v>0.84723539114961488</v>
      </c>
      <c r="E6" s="27">
        <f>('Financial Statements'!D42-'Financial Statements'!D39)/'Financial Statements'!D56</f>
        <v>1.0221149018576519</v>
      </c>
      <c r="F6" s="27">
        <f>('Financial Statements'!E42-'Financial Statements'!E39)/'Financial Statements'!E56</f>
        <v>1.325072111735236</v>
      </c>
      <c r="I6" s="23">
        <v>0.94444214999999998</v>
      </c>
      <c r="J6" s="52"/>
    </row>
    <row r="7" spans="1:12" x14ac:dyDescent="0.35">
      <c r="A7" s="18">
        <f t="shared" si="0"/>
        <v>1.3000000000000003</v>
      </c>
      <c r="B7" s="1" t="s">
        <v>101</v>
      </c>
      <c r="C7" s="39"/>
      <c r="D7" s="27">
        <f>'Financial Statements'!C36/'Financial Statements'!C56</f>
        <v>0.15356340351469652</v>
      </c>
      <c r="E7" s="27">
        <f>'Financial Statements'!D36/'Financial Statements'!D56</f>
        <v>0.27844853005634318</v>
      </c>
      <c r="F7" s="27">
        <f>'Financial Statements'!E36/'Financial Statements'!E56</f>
        <v>0.36071049035979963</v>
      </c>
      <c r="I7" s="23">
        <v>0.20621713999999999</v>
      </c>
      <c r="J7" s="52"/>
    </row>
    <row r="8" spans="1:12" x14ac:dyDescent="0.35">
      <c r="A8" s="18">
        <f t="shared" si="0"/>
        <v>1.4000000000000004</v>
      </c>
      <c r="B8" s="1" t="s">
        <v>102</v>
      </c>
      <c r="C8" s="39"/>
      <c r="D8" s="27">
        <f>('Financial Statements'!C36+'Financial Statements'!C37+'Financial Statements'!C38)/(('Financial Statements'!C12+'Financial Statements'!C17-'Financial Statements'!C79)/365)</f>
        <v>105.83584482935096</v>
      </c>
      <c r="E8" s="27">
        <f>('Financial Statements'!D36+'Financial Statements'!D37+'Financial Statements'!D38)/(('Financial Statements'!D12+'Financial Statements'!D17-'Financial Statements'!D79)/365)</f>
        <v>132.1531736595218</v>
      </c>
      <c r="F8" s="27">
        <f>('Financial Statements'!E36+'Financial Statements'!E37+'Financial Statements'!E38)/(('Financial Statements'!E12+'Financial Statements'!E17-'Financial Statements'!E79)/365)</f>
        <v>198.19342093918476</v>
      </c>
      <c r="G8" s="28" t="s">
        <v>155</v>
      </c>
      <c r="I8" s="23"/>
      <c r="J8" s="52">
        <v>767.12506923929095</v>
      </c>
    </row>
    <row r="9" spans="1:12" x14ac:dyDescent="0.35">
      <c r="A9" s="18">
        <f t="shared" si="0"/>
        <v>1.5000000000000004</v>
      </c>
      <c r="B9" s="1" t="s">
        <v>103</v>
      </c>
      <c r="C9" s="39"/>
      <c r="D9" s="27">
        <f>365/('Financial Statements'!C10/'Financial Statements'!C39)</f>
        <v>8.9605451901266182</v>
      </c>
      <c r="E9" s="27">
        <f>365/('Financial Statements'!D10/'Financial Statements'!D39)</f>
        <v>12.491548167642746</v>
      </c>
      <c r="F9" s="27">
        <f>365/('Financial Statements'!E10/'Financial Statements'!E39)</f>
        <v>9.797767143027114</v>
      </c>
      <c r="I9" s="23">
        <v>54.262316300000002</v>
      </c>
      <c r="J9" s="52"/>
    </row>
    <row r="10" spans="1:12" x14ac:dyDescent="0.35">
      <c r="A10" s="18">
        <f t="shared" si="0"/>
        <v>1.6000000000000005</v>
      </c>
      <c r="B10" s="1" t="s">
        <v>104</v>
      </c>
      <c r="C10" s="39"/>
      <c r="D10" s="27">
        <f>('Financial Statements'!C51*365)/'Financial Statements'!C12</f>
        <v>104.68527730310539</v>
      </c>
      <c r="E10" s="27">
        <f>('Financial Statements'!D51*365)/'Financial Statements'!D12</f>
        <v>93.85107122231561</v>
      </c>
      <c r="F10" s="27">
        <f>('Financial Statements'!E51*365)/'Financial Statements'!E12</f>
        <v>91.048189715674184</v>
      </c>
      <c r="I10" s="23">
        <v>465.71325200000001</v>
      </c>
      <c r="J10" s="52"/>
    </row>
    <row r="11" spans="1:12" x14ac:dyDescent="0.35">
      <c r="A11" s="18">
        <f t="shared" si="0"/>
        <v>1.7000000000000006</v>
      </c>
      <c r="B11" s="1" t="s">
        <v>105</v>
      </c>
      <c r="C11" s="39"/>
      <c r="D11" s="27">
        <f>('Financial Statements'!C38/'Financial Statements'!C8)*365</f>
        <v>26.087825363656648</v>
      </c>
      <c r="E11" s="27">
        <f>('Financial Statements'!D38/'Financial Statements'!D8)*365</f>
        <v>26.219311841713207</v>
      </c>
      <c r="F11" s="27">
        <f>('Financial Statements'!E38/'Financial Statements'!E8)*365</f>
        <v>21.433437152796749</v>
      </c>
      <c r="I11" s="23">
        <v>120.342578</v>
      </c>
      <c r="J11" s="52"/>
    </row>
    <row r="12" spans="1:12" x14ac:dyDescent="0.35">
      <c r="A12" s="18">
        <f t="shared" si="0"/>
        <v>1.8000000000000007</v>
      </c>
      <c r="B12" s="1" t="s">
        <v>106</v>
      </c>
      <c r="C12" s="39"/>
      <c r="D12" s="27">
        <f>(('Financial Statements'!D39+'Financial Statements'!C39)/2)+D10+D11</f>
        <v>5893.7731026667616</v>
      </c>
      <c r="E12" s="27">
        <f>(('Financial Statements'!E39+'Financial Statements'!D39)/2)+E10+E11</f>
        <v>5440.5703830640296</v>
      </c>
      <c r="F12" s="27"/>
      <c r="G12" s="28" t="s">
        <v>156</v>
      </c>
      <c r="I12" s="23"/>
      <c r="J12" s="52">
        <v>-66.412858321156591</v>
      </c>
    </row>
    <row r="13" spans="1:12" x14ac:dyDescent="0.35">
      <c r="A13" s="18">
        <f t="shared" si="0"/>
        <v>1.9000000000000008</v>
      </c>
      <c r="B13" s="1" t="s">
        <v>107</v>
      </c>
      <c r="C13" s="39"/>
      <c r="D13" s="27">
        <f>(D14/'Financial Statements'!C8)*100</f>
        <v>-4.7110527276784806</v>
      </c>
      <c r="E13" s="27">
        <f>(E14/'Financial Statements'!D8)*100</f>
        <v>2.5572895737486232</v>
      </c>
      <c r="F13" s="27">
        <f>(F14/'Financial Statements'!E8)*100</f>
        <v>13.959528623208204</v>
      </c>
      <c r="I13" s="23">
        <v>-1.9464122100000001</v>
      </c>
      <c r="J13" s="52"/>
    </row>
    <row r="14" spans="1:12" x14ac:dyDescent="0.35">
      <c r="A14" s="18"/>
      <c r="B14" s="3" t="s">
        <v>108</v>
      </c>
      <c r="D14">
        <f>'Financial Statements'!C42-'Financial Statements'!C56</f>
        <v>-18577</v>
      </c>
      <c r="E14">
        <f>'Financial Statements'!D42-'Financial Statements'!D56</f>
        <v>9355</v>
      </c>
      <c r="F14">
        <f>'Financial Statements'!E42-'Financial Statements'!E56</f>
        <v>38321</v>
      </c>
      <c r="I14" s="23">
        <v>-1742</v>
      </c>
    </row>
    <row r="15" spans="1:12" x14ac:dyDescent="0.35">
      <c r="A15" s="18"/>
      <c r="C15" s="33"/>
    </row>
    <row r="16" spans="1:12" x14ac:dyDescent="0.35">
      <c r="A16" s="18">
        <f>+A4+1</f>
        <v>2</v>
      </c>
      <c r="B16" s="17" t="s">
        <v>109</v>
      </c>
      <c r="C16" s="32"/>
      <c r="I16" s="17"/>
    </row>
    <row r="17" spans="1:10" x14ac:dyDescent="0.35">
      <c r="A17" s="18">
        <f>+A16+0.1</f>
        <v>2.1</v>
      </c>
      <c r="B17" s="1" t="s">
        <v>9</v>
      </c>
      <c r="C17" s="39"/>
      <c r="D17" s="27">
        <f>('Financial Statements'!C8-'Financial Statements'!C12)/'Financial Statements'!C8</f>
        <v>0.43309630561360085</v>
      </c>
      <c r="E17" s="27">
        <f>('Financial Statements'!D8-'Financial Statements'!D12)/'Financial Statements'!D8</f>
        <v>0.41779359625167778</v>
      </c>
      <c r="F17" s="27">
        <f>('Financial Statements'!E8-'Financial Statements'!E12)/'Financial Statements'!E8</f>
        <v>0.38233247727810865</v>
      </c>
      <c r="I17" s="23">
        <v>0.45170841810000001</v>
      </c>
      <c r="J17" s="52"/>
    </row>
    <row r="18" spans="1:10" x14ac:dyDescent="0.35">
      <c r="A18" s="18">
        <f>+A17+0.1</f>
        <v>2.2000000000000002</v>
      </c>
      <c r="B18" s="1" t="s">
        <v>110</v>
      </c>
      <c r="C18" s="39"/>
      <c r="D18" s="27">
        <f>D19/'Financial Statements'!C8</f>
        <v>0.3310467428130896</v>
      </c>
      <c r="E18" s="27">
        <f>E19/'Financial Statements'!D8</f>
        <v>0.32866979938056462</v>
      </c>
      <c r="F18" s="27">
        <f>F19/'Financial Statements'!E8</f>
        <v>0.2817478097736007</v>
      </c>
      <c r="I18" s="23">
        <v>0.7843329054</v>
      </c>
      <c r="J18" s="52"/>
    </row>
    <row r="19" spans="1:10" x14ac:dyDescent="0.35">
      <c r="A19" s="18"/>
      <c r="B19" s="3" t="s">
        <v>111</v>
      </c>
      <c r="C19" s="40"/>
      <c r="D19">
        <f>'Financial Statements'!C18+'Financial Statements'!C79</f>
        <v>130541</v>
      </c>
      <c r="E19">
        <f>'Financial Statements'!D18+'Financial Statements'!D79</f>
        <v>120233</v>
      </c>
      <c r="F19">
        <f>'Financial Statements'!E18+'Financial Statements'!E79</f>
        <v>77344</v>
      </c>
      <c r="I19" s="23">
        <v>38488</v>
      </c>
    </row>
    <row r="20" spans="1:10" x14ac:dyDescent="0.35">
      <c r="A20" s="18">
        <f>+A18+0.1</f>
        <v>2.3000000000000003</v>
      </c>
      <c r="B20" s="1" t="s">
        <v>112</v>
      </c>
      <c r="C20" s="39"/>
      <c r="D20" s="27">
        <f>D21/'Financial Statements'!C8</f>
        <v>0.36945892759327259</v>
      </c>
      <c r="E20" s="27">
        <f>E21/'Financial Statements'!D8</f>
        <v>0.35772804435004385</v>
      </c>
      <c r="F20" s="27">
        <f>F21/'Financial Statements'!E8</f>
        <v>0.3097827076844617</v>
      </c>
      <c r="I20" s="23">
        <v>0.38298062500000002</v>
      </c>
      <c r="J20" s="52"/>
    </row>
    <row r="21" spans="1:10" x14ac:dyDescent="0.35">
      <c r="A21" s="18"/>
      <c r="B21" s="3" t="s">
        <v>113</v>
      </c>
      <c r="C21" s="40"/>
      <c r="D21">
        <f>'Financial Statements'!C8-'Financial Statements'!C12-'Financial Statements'!C16</f>
        <v>145688</v>
      </c>
      <c r="E21">
        <f>'Financial Statements'!D8-'Financial Statements'!D12-'Financial Statements'!D16</f>
        <v>130863</v>
      </c>
      <c r="F21">
        <f>'Financial Statements'!E8-'Financial Statements'!E12-'Financial Statements'!E16</f>
        <v>85040</v>
      </c>
      <c r="G21" s="28" t="s">
        <v>157</v>
      </c>
      <c r="I21" s="23">
        <v>34276</v>
      </c>
      <c r="J21" s="53">
        <v>144216</v>
      </c>
    </row>
    <row r="22" spans="1:10" x14ac:dyDescent="0.35">
      <c r="A22" s="18">
        <f>+A20+0.1</f>
        <v>2.4000000000000004</v>
      </c>
      <c r="B22" s="1" t="s">
        <v>114</v>
      </c>
      <c r="C22" s="39"/>
      <c r="D22" s="27">
        <f>'Financial Statements'!C22/'Financial Statements'!C8</f>
        <v>0.25309640705199732</v>
      </c>
      <c r="E22" s="27">
        <f>'Financial Statements'!D22/'Financial Statements'!D8</f>
        <v>0.25881793355694238</v>
      </c>
      <c r="F22" s="27">
        <f>'Financial Statements'!E22/'Financial Statements'!E8</f>
        <v>0.20913611278072236</v>
      </c>
      <c r="I22" s="23">
        <v>0.25649735099999998</v>
      </c>
      <c r="J22" s="52"/>
    </row>
    <row r="23" spans="1:10" x14ac:dyDescent="0.35">
      <c r="A23" s="18"/>
      <c r="C23" s="33"/>
      <c r="I23" s="23"/>
    </row>
    <row r="24" spans="1:10" x14ac:dyDescent="0.35">
      <c r="A24" s="18">
        <f>+A16+1</f>
        <v>3</v>
      </c>
      <c r="B24" s="7" t="s">
        <v>115</v>
      </c>
      <c r="C24" s="32"/>
      <c r="I24" s="17"/>
    </row>
    <row r="25" spans="1:10" x14ac:dyDescent="0.35">
      <c r="A25" s="18">
        <f>+A24+0.1</f>
        <v>3.1</v>
      </c>
      <c r="B25" s="1" t="s">
        <v>116</v>
      </c>
      <c r="C25" s="39"/>
      <c r="D25" s="27">
        <f>'Financial Statements'!C62/'Financial Statements'!C68</f>
        <v>5.9615369434796337</v>
      </c>
      <c r="E25" s="27">
        <f>'Financial Statements'!D62/'Financial Statements'!D68</f>
        <v>4.5635124425423994</v>
      </c>
      <c r="F25" s="27">
        <f>'Financial Statements'!E62/'Financial Statements'!E68</f>
        <v>3.9570394404566951</v>
      </c>
      <c r="G25" s="28" t="s">
        <v>158</v>
      </c>
      <c r="I25" s="23">
        <v>4.6734624919999996</v>
      </c>
      <c r="J25" s="52">
        <v>1.5331799311299199</v>
      </c>
    </row>
    <row r="26" spans="1:10" x14ac:dyDescent="0.35">
      <c r="A26" s="18">
        <f t="shared" ref="A26:A30" si="1">+A25+0.1</f>
        <v>3.2</v>
      </c>
      <c r="B26" s="1" t="s">
        <v>117</v>
      </c>
      <c r="C26" s="39"/>
      <c r="D26" s="27">
        <f>('Financial Statements'!C55+'Financial Statements'!C59)/'Financial Statements'!C69</f>
        <v>0.31207778769967826</v>
      </c>
      <c r="E26" s="27">
        <f>('Financial Statements'!D55+'Financial Statements'!D59)/'Financial Statements'!D69</f>
        <v>0.33822884200090025</v>
      </c>
      <c r="F26" s="27">
        <f>('Financial Statements'!E55+'Financial Statements'!E59)/'Financial Statements'!E69</f>
        <v>0.33171960677765155</v>
      </c>
      <c r="G26" s="28" t="s">
        <v>159</v>
      </c>
      <c r="I26" s="23">
        <v>0.29809434899999998</v>
      </c>
      <c r="J26" s="52">
        <v>0.27023707892893306</v>
      </c>
    </row>
    <row r="27" spans="1:10" x14ac:dyDescent="0.35">
      <c r="A27" s="18">
        <f t="shared" si="1"/>
        <v>3.3000000000000003</v>
      </c>
      <c r="B27" s="1" t="s">
        <v>118</v>
      </c>
      <c r="C27" s="39"/>
      <c r="D27" s="27">
        <f>('Financial Statements'!C55+'Financial Statements'!C59)/('Financial Statements'!C55+'Financial Statements'!C59+'Financial Statements'!C69)</f>
        <v>0.23785006546510473</v>
      </c>
      <c r="E27" s="27">
        <f>('Financial Statements'!D55+'Financial Statements'!D59)/('Financial Statements'!D55+'Financial Statements'!D59+'Financial Statements'!D69)</f>
        <v>0.2527436499539088</v>
      </c>
      <c r="F27" s="27">
        <f>('Financial Statements'!E55+'Financial Statements'!E59)/('Financial Statements'!E55+'Financial Statements'!E59+'Financial Statements'!E69)</f>
        <v>0.24909117887083612</v>
      </c>
      <c r="G27" s="28" t="s">
        <v>160</v>
      </c>
      <c r="I27" s="23">
        <v>0.229639971</v>
      </c>
      <c r="J27" s="52">
        <v>0.20817984382305774</v>
      </c>
    </row>
    <row r="28" spans="1:10" x14ac:dyDescent="0.35">
      <c r="A28" s="18">
        <f t="shared" si="1"/>
        <v>3.4000000000000004</v>
      </c>
      <c r="B28" s="1" t="s">
        <v>119</v>
      </c>
      <c r="C28" s="39"/>
      <c r="D28" s="27">
        <f>D21/'Financial Statements'!C114</f>
        <v>50.850959860383945</v>
      </c>
      <c r="E28" s="27">
        <f>E21/'Financial Statements'!D114</f>
        <v>48.702270189802753</v>
      </c>
      <c r="F28" s="27">
        <f>F21/'Financial Statements'!E114</f>
        <v>28.327781479013989</v>
      </c>
      <c r="I28" s="23">
        <v>9.0128845650000002</v>
      </c>
      <c r="J28" s="52"/>
    </row>
    <row r="29" spans="1:10" x14ac:dyDescent="0.35">
      <c r="A29" s="18">
        <f t="shared" si="1"/>
        <v>3.5000000000000004</v>
      </c>
      <c r="B29" s="1" t="s">
        <v>120</v>
      </c>
      <c r="C29" s="39"/>
      <c r="D29" s="27">
        <f>(D19-'Financial Statements'!C113)/('Financial Statements'!C114-'Financial Statements'!C55)</f>
        <v>-13.429505022388962</v>
      </c>
      <c r="E29" s="27">
        <f>(E19-'Financial Statements'!D113)/('Financial Statements'!D114-'Financial Statements'!D55)</f>
        <v>-13.694484550967369</v>
      </c>
      <c r="F29" s="27">
        <f>(F19-'Financial Statements'!E113)/('Financial Statements'!E114-'Financial Statements'!E55)</f>
        <v>-11.755848206549992</v>
      </c>
      <c r="G29" s="28" t="s">
        <v>161</v>
      </c>
      <c r="I29" s="23">
        <v>-3.29107825</v>
      </c>
      <c r="J29" s="52">
        <v>-19.626565051714753</v>
      </c>
    </row>
    <row r="30" spans="1:10" x14ac:dyDescent="0.35">
      <c r="A30" s="18">
        <f t="shared" si="1"/>
        <v>3.6000000000000005</v>
      </c>
      <c r="B30" s="1" t="s">
        <v>121</v>
      </c>
      <c r="C30" s="38"/>
      <c r="G30" s="28" t="s">
        <v>162</v>
      </c>
      <c r="I30" s="23"/>
      <c r="J30" s="54">
        <v>8.7139029531422101E-3</v>
      </c>
    </row>
    <row r="31" spans="1:10" x14ac:dyDescent="0.35">
      <c r="A31" s="18"/>
      <c r="B31" s="3" t="s">
        <v>122</v>
      </c>
      <c r="C31" s="33"/>
      <c r="D31">
        <f>D21-'Financial Statements'!C114-'Financial Statements'!C113+'Financial Statements'!C79-'Financial Statements'!C96-(('Financial Statements'!C85+'Financial Statements'!C87-'Financial Statements'!C88-'Financial Statements'!C90)-('Financial Statements'!D85+'Financial Statements'!D87-'Financial Statements'!D88-'Financial Statements'!D90))+'Financial Statements'!C104</f>
        <v>141813</v>
      </c>
      <c r="E31">
        <f>E21-'Financial Statements'!D114-'Financial Statements'!D113+'Financial Statements'!D79-'Financial Statements'!D96-(('Financial Statements'!D85+'Financial Statements'!D87-'Financial Statements'!D88-'Financial Statements'!D90)-('Financial Statements'!E85+'Financial Statements'!E87-'Financial Statements'!E88-'Financial Statements'!E90))+'Financial Statements'!D104</f>
        <v>159793</v>
      </c>
      <c r="G31" s="28" t="s">
        <v>163</v>
      </c>
      <c r="I31" s="23">
        <v>16932</v>
      </c>
      <c r="J31" s="46">
        <v>137789</v>
      </c>
    </row>
    <row r="32" spans="1:10" x14ac:dyDescent="0.35">
      <c r="A32" s="18"/>
      <c r="C32" s="33"/>
      <c r="I32" s="23"/>
    </row>
    <row r="33" spans="1:10" x14ac:dyDescent="0.35">
      <c r="A33" s="18">
        <f>+A24+1</f>
        <v>4</v>
      </c>
      <c r="B33" s="17" t="s">
        <v>123</v>
      </c>
      <c r="C33" s="32"/>
      <c r="I33" s="17"/>
    </row>
    <row r="34" spans="1:10" x14ac:dyDescent="0.35">
      <c r="A34" s="18">
        <f>+A33+0.1</f>
        <v>4.0999999999999996</v>
      </c>
      <c r="B34" s="1" t="s">
        <v>124</v>
      </c>
      <c r="C34" s="39"/>
      <c r="D34" s="27">
        <f>'Financial Statements'!C8/(('Financial Statements'!C42+'Financial Statements'!D42)/2)</f>
        <v>2.918343256574687</v>
      </c>
      <c r="E34" s="27">
        <f>'Financial Statements'!D8/(('Financial Statements'!D42+'Financial Statements'!E42)/2)</f>
        <v>2.6265899357025155</v>
      </c>
      <c r="F34" s="27"/>
      <c r="I34" s="23">
        <v>0.64162941669999995</v>
      </c>
      <c r="J34" s="52"/>
    </row>
    <row r="35" spans="1:10" x14ac:dyDescent="0.35">
      <c r="A35" s="18">
        <f t="shared" ref="A35:A37" si="2">+A34+0.1</f>
        <v>4.1999999999999993</v>
      </c>
      <c r="B35" s="1" t="s">
        <v>125</v>
      </c>
      <c r="C35" s="39"/>
      <c r="D35" s="27">
        <f>'Financial Statements'!C8/(('Financial Statements'!C45+'Financial Statements'!D45)/2)</f>
        <v>9.6699976703409884</v>
      </c>
      <c r="E35" s="27">
        <f>'Financial Statements'!D8/(('Financial Statements'!D45+'Financial Statements'!E45)/2)</f>
        <v>9.6007400992047867</v>
      </c>
      <c r="F35" s="27"/>
      <c r="I35" s="23">
        <v>2.0854226859999998</v>
      </c>
      <c r="J35" s="52"/>
    </row>
    <row r="36" spans="1:10" x14ac:dyDescent="0.35">
      <c r="A36" s="18">
        <f t="shared" si="2"/>
        <v>4.2999999999999989</v>
      </c>
      <c r="B36" s="1" t="s">
        <v>126</v>
      </c>
      <c r="C36" s="39"/>
      <c r="D36" s="27">
        <f>'Financial Statements'!C10/(('Financial Statements'!C39+'Financial Statements'!D39)/2)</f>
        <v>34.959396147839669</v>
      </c>
      <c r="E36" s="27">
        <f>'Financial Statements'!D10/(('Financial Statements'!D39+'Financial Statements'!E39)/2)</f>
        <v>36.136829245371679</v>
      </c>
      <c r="F36" s="27"/>
      <c r="I36" s="23">
        <v>11.915225680000001</v>
      </c>
      <c r="J36" s="52"/>
    </row>
    <row r="37" spans="1:10" x14ac:dyDescent="0.35">
      <c r="A37" s="18">
        <f t="shared" si="2"/>
        <v>4.3999999999999986</v>
      </c>
      <c r="B37" s="1" t="s">
        <v>127</v>
      </c>
      <c r="C37" s="39"/>
      <c r="D37" s="27">
        <f>'Financial Statements'!C22/'Financial Statements'!C48</f>
        <v>0.28292440929256851</v>
      </c>
      <c r="E37" s="27">
        <f>'Financial Statements'!D22/'Financial Statements'!D48</f>
        <v>0.26974205275183616</v>
      </c>
      <c r="F37" s="27">
        <f>'Financial Statements'!E22/'Financial Statements'!E48</f>
        <v>0.1772557180259843</v>
      </c>
      <c r="I37" s="23">
        <v>6.5108073000000002E-2</v>
      </c>
      <c r="J37" s="52"/>
    </row>
    <row r="38" spans="1:10" x14ac:dyDescent="0.35">
      <c r="A38" s="18"/>
      <c r="C38" s="33"/>
    </row>
    <row r="39" spans="1:10" x14ac:dyDescent="0.35">
      <c r="A39" s="18">
        <f>+A33+1</f>
        <v>5</v>
      </c>
      <c r="B39" s="17" t="s">
        <v>128</v>
      </c>
      <c r="C39" s="32"/>
      <c r="I39" s="17"/>
    </row>
    <row r="40" spans="1:10" x14ac:dyDescent="0.35">
      <c r="A40" s="18">
        <f>+A39+0.1</f>
        <v>5.0999999999999996</v>
      </c>
      <c r="B40" s="1" t="s">
        <v>129</v>
      </c>
      <c r="C40" s="39"/>
      <c r="D40" s="27">
        <f>138.2/'Financial Statements'!C25</f>
        <v>22.618657937806869</v>
      </c>
      <c r="E40" s="27">
        <f>141.5/'Financial Statements'!D25</f>
        <v>25.222816399286987</v>
      </c>
      <c r="F40" s="27">
        <f>115.81/'Financial Statements'!E25</f>
        <v>35.307926829268297</v>
      </c>
      <c r="I40" s="23">
        <v>129.93150684</v>
      </c>
    </row>
    <row r="41" spans="1:10" x14ac:dyDescent="0.35">
      <c r="A41" s="18">
        <f t="shared" ref="A41:A44" si="3">+A40+0.1</f>
        <v>5.1999999999999993</v>
      </c>
      <c r="B41" s="3" t="s">
        <v>130</v>
      </c>
      <c r="C41" s="37"/>
      <c r="D41" s="27">
        <f>('Financial Statements'!C22*1000)/'Financial Statements'!C28</f>
        <v>6.1132002014722815</v>
      </c>
      <c r="E41" s="27">
        <f>('Financial Statements'!D22*1000)/'Financial Statements'!D28</f>
        <v>5.6140204408927197</v>
      </c>
      <c r="F41" s="27">
        <f>('Financial Statements'!E22*1000)/'Financial Statements'!E28</f>
        <v>3.2753479618630856</v>
      </c>
      <c r="I41" s="23">
        <v>1.4647406300000001</v>
      </c>
    </row>
    <row r="42" spans="1:10" x14ac:dyDescent="0.35">
      <c r="A42" s="18">
        <f t="shared" si="3"/>
        <v>5.2999999999999989</v>
      </c>
      <c r="B42" s="1" t="s">
        <v>131</v>
      </c>
      <c r="C42" s="39"/>
      <c r="D42" s="27">
        <f>138.2/D43</f>
        <v>44.526132495263653</v>
      </c>
      <c r="E42" s="27">
        <f>141.5/E43</f>
        <v>37.82510760025361</v>
      </c>
      <c r="F42" s="27">
        <f>115.81/F43</f>
        <v>31.067853247524447</v>
      </c>
      <c r="I42" s="23">
        <v>9.2003437469999998</v>
      </c>
    </row>
    <row r="43" spans="1:10" x14ac:dyDescent="0.35">
      <c r="A43" s="18">
        <f t="shared" si="3"/>
        <v>5.3999999999999986</v>
      </c>
      <c r="B43" s="3" t="s">
        <v>132</v>
      </c>
      <c r="C43" s="37"/>
      <c r="D43" s="27">
        <f>(('Financial Statements'!C48-'Financial Statements'!C62)*1000)/'Financial Statements'!C28</f>
        <v>3.1037952827971447</v>
      </c>
      <c r="E43" s="27">
        <f>(('Financial Statements'!D48-'Financial Statements'!D62)*1000)/'Financial Statements'!D28</f>
        <v>3.740901453484597</v>
      </c>
      <c r="F43" s="27">
        <f>(('Financial Statements'!E48-'Financial Statements'!E62)*1000)/'Financial Statements'!E28</f>
        <v>3.7276473233382479</v>
      </c>
      <c r="G43" s="28" t="s">
        <v>164</v>
      </c>
      <c r="I43" s="23">
        <v>20.618794820000002</v>
      </c>
      <c r="J43" s="52">
        <v>3.9301701364112938</v>
      </c>
    </row>
    <row r="44" spans="1:10" x14ac:dyDescent="0.35">
      <c r="A44" s="18">
        <f t="shared" si="3"/>
        <v>5.4999999999999982</v>
      </c>
      <c r="B44" s="1" t="s">
        <v>133</v>
      </c>
      <c r="C44" s="39"/>
      <c r="D44" s="27">
        <f>D45/'Financial Statements'!C25</f>
        <v>1.000522897697659</v>
      </c>
      <c r="E44" s="27">
        <f>E45/'Financial Statements'!D25</f>
        <v>1.0007156063289613</v>
      </c>
      <c r="F44" s="27"/>
      <c r="G44" s="28" t="s">
        <v>165</v>
      </c>
      <c r="I44" s="1"/>
      <c r="J44" s="52">
        <v>-0.1549048920047425</v>
      </c>
    </row>
    <row r="45" spans="1:10" x14ac:dyDescent="0.35">
      <c r="A45" s="18"/>
      <c r="B45" s="3" t="s">
        <v>134</v>
      </c>
      <c r="C45" s="37"/>
      <c r="D45" s="27">
        <f>(('Financial Statements'!C22-('Financial Statements'!D66-'Financial Statements'!C66)/'Financial Statements'!C22)*1000)/'Financial Statements'!C28</f>
        <v>6.1131949049326968</v>
      </c>
      <c r="E45" s="27">
        <f>(('Financial Statements'!D22-('Financial Statements'!E66-'Financial Statements'!D66)/'Financial Statements'!D22)*1000)/'Financial Statements'!D28</f>
        <v>5.6140145515054733</v>
      </c>
      <c r="F45" s="27"/>
      <c r="G45" s="28" t="s">
        <v>166</v>
      </c>
      <c r="I45" s="3"/>
      <c r="J45" s="46">
        <v>6.13</v>
      </c>
    </row>
    <row r="46" spans="1:10" x14ac:dyDescent="0.35">
      <c r="A46" s="18">
        <f>+A44+0.1</f>
        <v>5.5999999999999979</v>
      </c>
      <c r="B46" s="1" t="s">
        <v>135</v>
      </c>
      <c r="C46" s="39"/>
      <c r="D46" s="27">
        <f>D45/138.2</f>
        <v>4.4234405969122266E-2</v>
      </c>
      <c r="E46" s="27">
        <f>E45/141.5</f>
        <v>3.9675014498271897E-2</v>
      </c>
      <c r="F46" s="27"/>
      <c r="G46" s="28" t="s">
        <v>167</v>
      </c>
      <c r="I46" s="1"/>
      <c r="J46" s="55">
        <v>3.1659952484247494E-2</v>
      </c>
    </row>
    <row r="47" spans="1:10" x14ac:dyDescent="0.35">
      <c r="A47" s="18">
        <f t="shared" ref="A47:A50" si="4">+A45+0.1</f>
        <v>0.1</v>
      </c>
      <c r="B47" s="1" t="s">
        <v>136</v>
      </c>
      <c r="C47" s="39"/>
      <c r="D47" s="27">
        <f>'Financial Statements'!C22/'Financial Statements'!C68</f>
        <v>1.9695887275023682</v>
      </c>
      <c r="E47" s="27">
        <f>'Financial Statements'!D22/'Financial Statements'!D68</f>
        <v>1.5007132667617689</v>
      </c>
      <c r="F47" s="27">
        <f>'Financial Statements'!E22/'Financial Statements'!E68</f>
        <v>0.87866358530127486</v>
      </c>
      <c r="I47" s="23">
        <v>0.3693882148</v>
      </c>
      <c r="J47" s="52"/>
    </row>
    <row r="48" spans="1:10" x14ac:dyDescent="0.35">
      <c r="A48" s="18">
        <f t="shared" si="4"/>
        <v>5.6999999999999975</v>
      </c>
      <c r="B48" s="1" t="s">
        <v>137</v>
      </c>
      <c r="C48" s="39"/>
      <c r="D48" s="27">
        <f>D21/('Financial Statements'!C48-'Financial Statements'!C56)</f>
        <v>0.73293656583137545</v>
      </c>
      <c r="E48" s="27">
        <f>E21/('Financial Statements'!D48-'Financial Statements'!D56)</f>
        <v>0.58026968663672118</v>
      </c>
      <c r="F48" s="27">
        <f>F21/('Financial Statements'!E48-'Financial Statements'!E56)</f>
        <v>0.38920620972466313</v>
      </c>
      <c r="G48" s="28" t="s">
        <v>168</v>
      </c>
      <c r="I48" s="23">
        <v>0.16753588229999999</v>
      </c>
      <c r="J48" s="52">
        <v>0.91608173947289895</v>
      </c>
    </row>
    <row r="49" spans="1:10" x14ac:dyDescent="0.35">
      <c r="A49" s="18">
        <f t="shared" si="4"/>
        <v>0.2</v>
      </c>
      <c r="B49" s="1" t="s">
        <v>127</v>
      </c>
      <c r="C49" s="39"/>
      <c r="D49" s="27">
        <f>'Financial Statements'!C22/'Financial Statements'!C48</f>
        <v>0.28292440929256851</v>
      </c>
      <c r="E49" s="27">
        <f>'Financial Statements'!D22/'Financial Statements'!D48</f>
        <v>0.26974205275183616</v>
      </c>
      <c r="F49" s="27">
        <f>'Financial Statements'!E22/'Financial Statements'!E48</f>
        <v>0.1772557180259843</v>
      </c>
      <c r="I49" s="23">
        <v>6.5108073840000003E-2</v>
      </c>
      <c r="J49" s="52"/>
    </row>
    <row r="50" spans="1:10" x14ac:dyDescent="0.35">
      <c r="A50" s="18">
        <f t="shared" si="4"/>
        <v>5.7999999999999972</v>
      </c>
      <c r="B50" s="1" t="s">
        <v>138</v>
      </c>
      <c r="C50" s="34"/>
      <c r="D50" s="27">
        <f t="shared" ref="D50:E50" si="5">D51/D19</f>
        <v>17284.336927095701</v>
      </c>
      <c r="E50" s="27">
        <f t="shared" si="5"/>
        <v>19848.708902713897</v>
      </c>
      <c r="F50" s="27">
        <f>F51/F19</f>
        <v>26246.533504085644</v>
      </c>
      <c r="I50" s="1"/>
      <c r="J50" s="52"/>
    </row>
    <row r="51" spans="1:10" x14ac:dyDescent="0.35">
      <c r="A51" s="18"/>
      <c r="B51" s="3" t="s">
        <v>139</v>
      </c>
      <c r="C51" s="27"/>
      <c r="D51" s="12">
        <f>(138.2*'Financial Statements'!C28)+('Financial Statements'!C55+'Financial Statements'!C59)-'Financial Statements'!C36</f>
        <v>2256314626.7999997</v>
      </c>
      <c r="E51" s="12">
        <f>(141.5*'Financial Statements'!D28)+('Financial Statements'!D55+'Financial Statements'!D59)-'Financial Statements'!D36</f>
        <v>2386469817.5</v>
      </c>
      <c r="F51" s="12">
        <f>(115.81*'Financial Statements'!E28)+('Financial Statements'!E55+'Financial Statements'!E59)-'Financial Statements'!E36</f>
        <v>2030011887.3400002</v>
      </c>
      <c r="G51" s="28" t="s">
        <v>169</v>
      </c>
      <c r="I51" s="3"/>
      <c r="J51" s="46">
        <v>3115778.46</v>
      </c>
    </row>
    <row r="52" spans="1:10" x14ac:dyDescent="0.35">
      <c r="C52" s="33"/>
    </row>
  </sheetData>
  <pageMargins left="0.7" right="0.7" top="0.75" bottom="0.75" header="0.3" footer="0.3"/>
  <pageSetup orientation="portrait" r:id="rId1"/>
  <ignoredErrors>
    <ignoredError sqref="E19:F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topLeftCell="A24" workbookViewId="0">
      <selection activeCell="D17" sqref="D17:D36"/>
    </sheetView>
  </sheetViews>
  <sheetFormatPr defaultColWidth="8.81640625" defaultRowHeight="14.5" x14ac:dyDescent="0.35"/>
  <cols>
    <col min="1" max="1" width="4.81640625" customWidth="1"/>
    <col min="2" max="2" width="35" customWidth="1"/>
    <col min="3" max="3" width="21.26953125" customWidth="1"/>
    <col min="4" max="4" width="21.453125" style="46" customWidth="1"/>
    <col min="5" max="5" width="16.54296875" customWidth="1"/>
    <col min="6" max="6" width="15.453125" customWidth="1"/>
    <col min="7" max="7" width="23.453125" style="28" customWidth="1"/>
  </cols>
  <sheetData>
    <row r="1" spans="1:12" ht="54.65" customHeight="1" x14ac:dyDescent="0.6">
      <c r="A1" s="6"/>
      <c r="B1" s="44" t="s">
        <v>0</v>
      </c>
      <c r="C1" s="44"/>
      <c r="D1" s="44"/>
      <c r="E1" s="44"/>
      <c r="F1" s="44"/>
      <c r="G1" s="44"/>
      <c r="H1" s="44"/>
      <c r="I1" s="44"/>
      <c r="J1" s="44"/>
      <c r="K1" s="19"/>
      <c r="L1" s="19"/>
    </row>
    <row r="2" spans="1:12" x14ac:dyDescent="0.35">
      <c r="E2" s="7" t="s">
        <v>23</v>
      </c>
      <c r="F2" s="7"/>
      <c r="G2" s="7"/>
    </row>
    <row r="3" spans="1:12" x14ac:dyDescent="0.35">
      <c r="C3">
        <v>2023</v>
      </c>
      <c r="D3" s="47">
        <v>2023</v>
      </c>
      <c r="E3" s="7">
        <f>'Financial Statements'!C4</f>
        <v>2022</v>
      </c>
      <c r="F3" s="7">
        <f>+'Financial Statements'!D4</f>
        <v>2021</v>
      </c>
      <c r="G3" s="30"/>
    </row>
    <row r="4" spans="1:12" x14ac:dyDescent="0.35">
      <c r="A4">
        <v>1</v>
      </c>
      <c r="B4" s="7" t="s">
        <v>150</v>
      </c>
      <c r="D4" s="48"/>
      <c r="E4" s="7"/>
      <c r="F4" s="7"/>
      <c r="G4" s="30"/>
    </row>
    <row r="5" spans="1:12" x14ac:dyDescent="0.35">
      <c r="A5">
        <v>1.1000000000000001</v>
      </c>
      <c r="B5" t="s">
        <v>4</v>
      </c>
      <c r="C5" s="41">
        <f>(('Financial Statements'!B6-'Financial Statements'!C6)/'Financial Statements'!C6)</f>
        <v>-5.728670868661824E-2</v>
      </c>
      <c r="D5" s="49">
        <v>-78.752620980000003</v>
      </c>
      <c r="E5">
        <f>(('Financial Statements'!C6-'Financial Statements'!D6)/'Financial Statements'!D6)*100</f>
        <v>6.3239764351428418</v>
      </c>
      <c r="F5">
        <f>(('Financial Statements'!D6-'Financial Statements'!E6)/'Financial Statements'!E6)*100</f>
        <v>34.720743656765436</v>
      </c>
      <c r="G5" s="28" t="s">
        <v>171</v>
      </c>
    </row>
    <row r="6" spans="1:12" x14ac:dyDescent="0.35">
      <c r="A6">
        <v>1.2</v>
      </c>
      <c r="B6" t="s">
        <v>5</v>
      </c>
      <c r="C6" s="41">
        <f>(('Financial Statements'!B7-'Financial Statements'!C7)/'Financial Statements'!C7)</f>
        <v>9.0504166186691243E-2</v>
      </c>
      <c r="D6" s="49"/>
      <c r="E6">
        <f>(('Financial Statements'!C7-'Financial Statements'!D7)/'Financial Statements'!D7)*100</f>
        <v>14.181951041286078</v>
      </c>
      <c r="F6">
        <f>(('Financial Statements'!D7-'Financial Statements'!E7)/'Financial Statements'!E7)*100</f>
        <v>27.259708376729652</v>
      </c>
    </row>
    <row r="7" spans="1:12" x14ac:dyDescent="0.35">
      <c r="A7">
        <v>1.3</v>
      </c>
      <c r="B7" s="7" t="s">
        <v>149</v>
      </c>
      <c r="C7" s="41">
        <f>(('Financial Statements'!B8-'Financial Statements'!C8)/'Financial Statements'!C8)</f>
        <v>-2.8004605303199367E-2</v>
      </c>
      <c r="D7" s="50"/>
      <c r="E7">
        <f>(('Financial Statements'!C8-'Financial Statements'!D8)/'Financial Statements'!D8)*100</f>
        <v>7.7937876041846055</v>
      </c>
      <c r="F7">
        <f>(('Financial Statements'!D8-'Financial Statements'!E8)/'Financial Statements'!E8)*100</f>
        <v>33.25938473307469</v>
      </c>
    </row>
    <row r="8" spans="1:12" x14ac:dyDescent="0.35">
      <c r="C8" s="41"/>
      <c r="D8" s="49"/>
    </row>
    <row r="9" spans="1:12" x14ac:dyDescent="0.35">
      <c r="A9">
        <v>2</v>
      </c>
      <c r="B9" s="7" t="s">
        <v>151</v>
      </c>
      <c r="C9" s="41"/>
      <c r="D9" s="50"/>
    </row>
    <row r="10" spans="1:12" x14ac:dyDescent="0.35">
      <c r="C10" s="41">
        <f>(('Financial Statements'!B13-'Financial Statements'!C13)/'Financial Statements'!C13)</f>
        <v>-9.5677530418896602E-3</v>
      </c>
      <c r="D10" s="49"/>
      <c r="E10">
        <f>(('Financial Statements'!C13-'Financial Statements'!D13)/'Financial Statements'!D13)*100</f>
        <v>11.741997958596142</v>
      </c>
      <c r="F10">
        <f>(('Financial Statements'!D13-'Financial Statements'!E13)/'Financial Statements'!E13)*100</f>
        <v>45.61911658218682</v>
      </c>
    </row>
    <row r="11" spans="1:12" x14ac:dyDescent="0.35">
      <c r="C11" s="41"/>
      <c r="D11" s="49"/>
    </row>
    <row r="12" spans="1:12" x14ac:dyDescent="0.35">
      <c r="A12">
        <v>3</v>
      </c>
      <c r="B12" s="7" t="s">
        <v>152</v>
      </c>
      <c r="C12" s="41"/>
      <c r="D12" s="48"/>
    </row>
    <row r="13" spans="1:12" x14ac:dyDescent="0.35">
      <c r="A13">
        <v>3.1</v>
      </c>
      <c r="B13" t="s">
        <v>11</v>
      </c>
      <c r="C13" s="41">
        <f>(('Financial Statements'!B15-'Financial Statements'!C15)/'Financial Statements'!C15)</f>
        <v>0.13957563521389663</v>
      </c>
      <c r="D13" s="49"/>
      <c r="E13">
        <f>(('Financial Statements'!C15-'Financial Statements'!D15)/'Financial Statements'!D15)*100</f>
        <v>19.791001186456146</v>
      </c>
      <c r="F13">
        <f>(('Financial Statements'!D15-'Financial Statements'!E15)/'Financial Statements'!E15)*100</f>
        <v>16.862201365187712</v>
      </c>
    </row>
    <row r="14" spans="1:12" x14ac:dyDescent="0.35">
      <c r="A14">
        <v>3.2</v>
      </c>
      <c r="B14" t="s">
        <v>12</v>
      </c>
      <c r="C14" s="41">
        <f>(('Financial Statements'!B16-'Financial Statements'!C16)/'Financial Statements'!C16)</f>
        <v>-6.4557264684785209E-3</v>
      </c>
      <c r="D14" s="49"/>
      <c r="E14">
        <f>(('Financial Statements'!C16-'Financial Statements'!D16)/'Financial Statements'!D16)*100</f>
        <v>14.203795567287125</v>
      </c>
      <c r="F14">
        <f>(('Financial Statements'!D16-'Financial Statements'!E16)/'Financial Statements'!E16)*100</f>
        <v>10.328379192608958</v>
      </c>
    </row>
    <row r="15" spans="1:12" x14ac:dyDescent="0.35">
      <c r="A15">
        <v>3.3</v>
      </c>
      <c r="B15" t="s">
        <v>13</v>
      </c>
      <c r="C15" s="41">
        <f>(('Financial Statements'!B17-'Financial Statements'!C17)/'Financial Statements'!C17)</f>
        <v>6.8205278021228943E-2</v>
      </c>
      <c r="D15" s="49"/>
      <c r="E15">
        <f>(('Financial Statements'!C17-'Financial Statements'!D17)/'Financial Statements'!D17)*100</f>
        <v>16.993642764372137</v>
      </c>
      <c r="F15">
        <f>(('Financial Statements'!D17-'Financial Statements'!E17)/'Financial Statements'!E17)*100</f>
        <v>13.496948381090307</v>
      </c>
    </row>
    <row r="16" spans="1:12" x14ac:dyDescent="0.35">
      <c r="C16" s="41"/>
      <c r="D16" s="49"/>
    </row>
    <row r="17" spans="1:6" x14ac:dyDescent="0.35">
      <c r="A17">
        <v>4</v>
      </c>
      <c r="B17" s="7" t="s">
        <v>153</v>
      </c>
      <c r="C17" s="41"/>
      <c r="D17" s="50"/>
    </row>
    <row r="18" spans="1:6" x14ac:dyDescent="0.35">
      <c r="B18" t="s">
        <v>31</v>
      </c>
      <c r="C18" s="41">
        <f>(('Financial Statements'!B42-'Financial Statements'!C42)/'Financial Statements'!C42)</f>
        <v>6.0271038735644919E-2</v>
      </c>
      <c r="D18" s="50"/>
      <c r="E18">
        <f>(('Financial Statements'!C42-'Financial Statements'!D42)/'Financial Statements'!D42)*100</f>
        <v>0.42199412619775128</v>
      </c>
      <c r="F18">
        <f>(('Financial Statements'!D42-'Financial Statements'!E42)/'Financial Statements'!E42)*100</f>
        <v>-6.1768942266879128</v>
      </c>
    </row>
    <row r="19" spans="1:6" x14ac:dyDescent="0.35">
      <c r="B19" t="s">
        <v>49</v>
      </c>
      <c r="C19" s="41">
        <f>(('Financial Statements'!B47-'Financial Statements'!C47)/'Financial Statements'!C47)</f>
        <v>-3.8339084426040948E-2</v>
      </c>
      <c r="D19" s="50"/>
      <c r="E19">
        <f>(('Financial Statements'!C47-'Financial Statements'!D47)/'Financial Statements'!D47)*100</f>
        <v>0.54772720964443988</v>
      </c>
      <c r="F19">
        <f>(('Financial Statements'!D47-'Financial Statements'!E47)/'Financial Statements'!E47)*100</f>
        <v>19.975579297904815</v>
      </c>
    </row>
    <row r="20" spans="1:6" x14ac:dyDescent="0.35">
      <c r="B20" t="s">
        <v>33</v>
      </c>
      <c r="C20" s="41">
        <f>(('Financial Statements'!B48-'Financial Statements'!C48)/'Financial Statements'!C48)</f>
        <v>-4.8759053734178114E-4</v>
      </c>
      <c r="D20" s="50"/>
      <c r="E20">
        <f>(('Financial Statements'!C48-'Financial Statements'!D48)/'Financial Statements'!D48)*100</f>
        <v>0.49942735369029234</v>
      </c>
      <c r="F20">
        <f>(('Financial Statements'!D48-'Financial Statements'!E48)/'Financial Statements'!E48)*100</f>
        <v>8.3714123400681704</v>
      </c>
    </row>
    <row r="21" spans="1:6" x14ac:dyDescent="0.35">
      <c r="B21" t="s">
        <v>40</v>
      </c>
      <c r="C21" s="41">
        <f>(('Financial Statements'!B56-'Financial Statements'!C56)/'Financial Statements'!C56)</f>
        <v>-5.6331259497863384E-2</v>
      </c>
      <c r="D21" s="50"/>
      <c r="E21">
        <f>(('Financial Statements'!C56-'Financial Statements'!D56)/'Financial Statements'!D56)*100</f>
        <v>22.713398841258837</v>
      </c>
      <c r="F21">
        <f>(('Financial Statements'!D56-'Financial Statements'!E56)/'Financial Statements'!E56)*100</f>
        <v>19.061219067860939</v>
      </c>
    </row>
    <row r="22" spans="1:6" x14ac:dyDescent="0.35">
      <c r="B22" t="s">
        <v>52</v>
      </c>
      <c r="C22" s="41">
        <f>(('Financial Statements'!B61-'Financial Statements'!C61)/'Financial Statements'!C61)</f>
        <v>-2.0067386445736357E-2</v>
      </c>
      <c r="D22" s="50"/>
      <c r="E22">
        <f>(('Financial Statements'!C61-'Financial Statements'!D61)/'Financial Statements'!D61)*100</f>
        <v>-8.8222075835277742</v>
      </c>
      <c r="F22">
        <f>(('Financial Statements'!D61-'Financial Statements'!E61)/'Financial Statements'!E61)*100</f>
        <v>6.0552243775994565</v>
      </c>
    </row>
    <row r="23" spans="1:6" x14ac:dyDescent="0.35">
      <c r="B23" t="s">
        <v>41</v>
      </c>
      <c r="C23" s="41">
        <f>(('Financial Statements'!B62-'Financial Statements'!C62)/'Financial Statements'!C62)</f>
        <v>-3.8552318402558239E-2</v>
      </c>
      <c r="D23" s="50"/>
      <c r="E23">
        <f>(('Financial Statements'!C62-'Financial Statements'!D62)/'Financial Statements'!D62)*100</f>
        <v>4.9219900525160467</v>
      </c>
      <c r="F23">
        <f>(('Financial Statements'!D62-'Financial Statements'!E62)/'Financial Statements'!E62)*100</f>
        <v>11.356841449783213</v>
      </c>
    </row>
    <row r="24" spans="1:6" x14ac:dyDescent="0.35">
      <c r="B24" t="s">
        <v>44</v>
      </c>
      <c r="C24" s="41">
        <f>(('Financial Statements'!B68-'Financial Statements'!C68)/'Financial Statements'!C68)</f>
        <v>0.22643669087464477</v>
      </c>
      <c r="D24" s="50"/>
      <c r="E24">
        <f>(('Financial Statements'!C68-'Financial Statements'!D68)/'Financial Statements'!D68)*100</f>
        <v>-19.682992550324933</v>
      </c>
      <c r="F24">
        <f>(('Financial Statements'!D68-'Financial Statements'!E68)/'Financial Statements'!E68)*100</f>
        <v>-3.4420483937617661</v>
      </c>
    </row>
    <row r="25" spans="1:6" x14ac:dyDescent="0.35">
      <c r="B25" t="s">
        <v>45</v>
      </c>
      <c r="C25" s="41">
        <f>(('Financial Statements'!B69-'Financial Statements'!C69)/'Financial Statements'!C69)</f>
        <v>-4.8759053734178114E-4</v>
      </c>
      <c r="D25" s="50"/>
      <c r="E25">
        <f>(('Financial Statements'!C69-'Financial Statements'!D69)/'Financial Statements'!D69)*100</f>
        <v>0.49942735369029234</v>
      </c>
      <c r="F25">
        <f>(('Financial Statements'!D69-'Financial Statements'!E69)/'Financial Statements'!E69)*100</f>
        <v>8.3714123400681704</v>
      </c>
    </row>
    <row r="26" spans="1:6" x14ac:dyDescent="0.35">
      <c r="C26" s="41"/>
      <c r="D26" s="50"/>
    </row>
    <row r="27" spans="1:6" x14ac:dyDescent="0.35">
      <c r="A27">
        <v>5</v>
      </c>
      <c r="B27" s="7" t="s">
        <v>154</v>
      </c>
      <c r="C27" s="41"/>
      <c r="D27" s="50"/>
    </row>
    <row r="28" spans="1:6" x14ac:dyDescent="0.35">
      <c r="A28">
        <v>5.0999999999999996</v>
      </c>
      <c r="B28" s="1" t="s">
        <v>145</v>
      </c>
      <c r="C28" s="41">
        <f>('Financial Statements'!C12/'Financial Statements'!C8)</f>
        <v>0.56690369438639909</v>
      </c>
      <c r="D28" s="50"/>
      <c r="E28">
        <f>('Financial Statements'!D12/'Financial Statements'!D8)*100</f>
        <v>58.220640374832222</v>
      </c>
      <c r="F28">
        <f>'Financial Statements'!E12/'Financial Statements'!E8*100</f>
        <v>61.76675227218913</v>
      </c>
    </row>
    <row r="29" spans="1:6" x14ac:dyDescent="0.35">
      <c r="A29">
        <v>5.2</v>
      </c>
      <c r="B29" s="1" t="s">
        <v>88</v>
      </c>
      <c r="C29" s="41">
        <f>'Financial Statements'!C13/'Financial Statements'!C8</f>
        <v>0.43309630561360085</v>
      </c>
      <c r="D29" s="50"/>
      <c r="E29">
        <f>'Financial Statements'!D13/'Financial Statements'!D8*100</f>
        <v>41.779359625167778</v>
      </c>
      <c r="F29">
        <f>'Financial Statements'!E13/'Financial Statements'!E8*100</f>
        <v>38.233247727810863</v>
      </c>
    </row>
    <row r="30" spans="1:6" x14ac:dyDescent="0.35">
      <c r="A30">
        <v>5.3</v>
      </c>
      <c r="B30" t="s">
        <v>11</v>
      </c>
      <c r="C30" s="41">
        <f>'Financial Statements'!C15/'Financial Statements'!C8</f>
        <v>6.657148363798665E-2</v>
      </c>
      <c r="D30" s="50"/>
      <c r="E30">
        <f>'Financial Statements'!D15/'Financial Statements'!D8*100</f>
        <v>5.9904269074427923</v>
      </c>
      <c r="F30">
        <f>'Financial Statements'!E15/'Financial Statements'!E8*100</f>
        <v>6.8309564140393064</v>
      </c>
    </row>
    <row r="31" spans="1:6" x14ac:dyDescent="0.35">
      <c r="A31">
        <v>5.4</v>
      </c>
      <c r="B31" t="s">
        <v>12</v>
      </c>
      <c r="C31" s="41">
        <f>'Financial Statements'!C16/'Financial Statements'!C8</f>
        <v>6.3637378020328261E-2</v>
      </c>
      <c r="D31" s="50"/>
      <c r="E31">
        <f>'Financial Statements'!D16/'Financial Statements'!D8*100</f>
        <v>6.0065551901633878</v>
      </c>
      <c r="F31">
        <f>'Financial Statements'!E16/'Financial Statements'!E8*100</f>
        <v>7.254976959364698</v>
      </c>
    </row>
    <row r="32" spans="1:6" x14ac:dyDescent="0.35">
      <c r="A32">
        <v>5.5</v>
      </c>
      <c r="B32" t="s">
        <v>13</v>
      </c>
      <c r="C32" s="41">
        <f>'Financial Statements'!C17/'Financial Statements'!C8</f>
        <v>0.13020886165831491</v>
      </c>
      <c r="D32" s="50"/>
      <c r="E32">
        <f>'Financial Statements'!D17/'Financial Statements'!D8*100</f>
        <v>11.99698209760618</v>
      </c>
      <c r="F32">
        <f>'Financial Statements'!E17/'Financial Statements'!E8*100</f>
        <v>14.085933373404004</v>
      </c>
    </row>
    <row r="33" spans="1:6" x14ac:dyDescent="0.35">
      <c r="A33">
        <v>5.6</v>
      </c>
      <c r="B33" s="1" t="s">
        <v>14</v>
      </c>
      <c r="C33" s="41">
        <f>'Financial Statements'!C18/'Financial Statements'!C8</f>
        <v>0.30288744395528594</v>
      </c>
      <c r="D33" s="50"/>
      <c r="E33">
        <f>'Financial Statements'!D18/'Financial Statements'!D8*100</f>
        <v>29.782377527561593</v>
      </c>
      <c r="F33">
        <f>'Financial Statements'!E18/'Financial Statements'!E8*100</f>
        <v>24.147314354406863</v>
      </c>
    </row>
    <row r="34" spans="1:6" x14ac:dyDescent="0.35">
      <c r="A34">
        <v>5.7</v>
      </c>
      <c r="B34" s="1" t="s">
        <v>92</v>
      </c>
      <c r="C34" s="41">
        <f>'Financial Statements'!C22/'Financial Statements'!C8</f>
        <v>0.25309640705199732</v>
      </c>
      <c r="D34" s="50"/>
      <c r="E34">
        <f>'Financial Statements'!D22/'Financial Statements'!D8*100</f>
        <v>25.881793355694239</v>
      </c>
      <c r="F34">
        <f>'Financial Statements'!E22/'Financial Statements'!E8*100</f>
        <v>20.913611278072235</v>
      </c>
    </row>
    <row r="35" spans="1:6" x14ac:dyDescent="0.35">
      <c r="D35" s="50"/>
    </row>
    <row r="36" spans="1:6" x14ac:dyDescent="0.35">
      <c r="D36" s="50"/>
    </row>
  </sheetData>
  <mergeCells count="1">
    <mergeCell ref="B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"/>
  <sheetViews>
    <sheetView tabSelected="1" workbookViewId="0">
      <selection activeCell="C6" sqref="C6"/>
    </sheetView>
  </sheetViews>
  <sheetFormatPr defaultColWidth="8.81640625" defaultRowHeight="14.5" x14ac:dyDescent="0.35"/>
  <cols>
    <col min="1" max="1" width="4.81640625" customWidth="1"/>
    <col min="2" max="2" width="33.453125" customWidth="1"/>
    <col min="3" max="3" width="18.1796875" style="46" customWidth="1"/>
    <col min="4" max="4" width="17.1796875" customWidth="1"/>
    <col min="5" max="5" width="14.1796875" customWidth="1"/>
    <col min="6" max="6" width="12.453125" customWidth="1"/>
    <col min="7" max="7" width="36.81640625" style="28" customWidth="1"/>
  </cols>
  <sheetData>
    <row r="1" spans="1:16" ht="52.75" customHeight="1" x14ac:dyDescent="0.6">
      <c r="A1" s="6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35"/>
      <c r="O1" s="35"/>
      <c r="P1" s="35"/>
    </row>
    <row r="2" spans="1:16" x14ac:dyDescent="0.35">
      <c r="D2" s="42" t="s">
        <v>23</v>
      </c>
      <c r="E2" s="42"/>
      <c r="F2" s="42"/>
    </row>
    <row r="3" spans="1:16" x14ac:dyDescent="0.35">
      <c r="C3" s="46">
        <v>2023</v>
      </c>
      <c r="D3" s="7">
        <f>'Financial Statements'!C4</f>
        <v>2022</v>
      </c>
      <c r="E3" s="7">
        <f>+'Financial Statements'!D4</f>
        <v>2021</v>
      </c>
      <c r="F3" s="7">
        <f>+'Financial Statements'!E4</f>
        <v>2020</v>
      </c>
    </row>
    <row r="5" spans="1:16" x14ac:dyDescent="0.35">
      <c r="A5">
        <v>1</v>
      </c>
      <c r="B5" s="1" t="s">
        <v>93</v>
      </c>
      <c r="C5" s="56">
        <f>'Financial Statements'!B21/'Financial Statements'!B22</f>
        <v>0.1725965255941028</v>
      </c>
      <c r="D5">
        <f>('Financial Statements'!C21/'Financial Statements'!C22)*100</f>
        <v>19.338096049216958</v>
      </c>
      <c r="E5">
        <f>('Financial Statements'!D21/'Financial Statements'!D22)*100</f>
        <v>15.343261512463032</v>
      </c>
      <c r="F5">
        <f>('Financial Statements'!E21/'Financial Statements'!E22)*100</f>
        <v>16.860880319102613</v>
      </c>
      <c r="G5" s="28" t="s">
        <v>171</v>
      </c>
    </row>
    <row r="6" spans="1:16" x14ac:dyDescent="0.35">
      <c r="A6">
        <v>2</v>
      </c>
      <c r="B6" s="1" t="s">
        <v>94</v>
      </c>
      <c r="C6" s="56">
        <f>(('Financial Statements'!B45-'Financial Statements'!C45+'Financial Statements'!B79)/'Financial Statements'!B8)</f>
        <v>3.422257589000352E-2</v>
      </c>
      <c r="D6">
        <f>(('Financial Statements'!C45-'Financial Statements'!D45-'Financial Statements'!C79)/'Financial Statements'!C8)*100</f>
        <v>-2.137053417459577</v>
      </c>
      <c r="E6">
        <f>(('Financial Statements'!D45-'Financial Statements'!E45-'Financial Statements'!D79)/'Financial Statements'!D8)*100</f>
        <v>-2.3536358343105976</v>
      </c>
      <c r="G6" s="28" t="s">
        <v>172</v>
      </c>
    </row>
    <row r="7" spans="1:16" x14ac:dyDescent="0.35">
      <c r="A7">
        <v>3</v>
      </c>
      <c r="B7" s="1" t="s">
        <v>95</v>
      </c>
      <c r="C7" s="56">
        <f>(('Financial Statements'!B45-'Financial Statements'!C45+'Financial Statements'!B79)/'Financial Statements'!B45)</f>
        <v>0.30005718860802927</v>
      </c>
      <c r="D7">
        <f>(('Financial Statements'!C45-'Financial Statements'!D45-'Financial Statements'!C79)/'Financial Statements'!C45)*100</f>
        <v>-20.008547617351663</v>
      </c>
      <c r="E7">
        <f>(('Financial Statements'!D45-'Financial Statements'!E45-'Financial Statements'!D79)/'Financial Statements'!D45)*100</f>
        <v>-21.830628803245435</v>
      </c>
      <c r="G7" s="28" t="s">
        <v>172</v>
      </c>
    </row>
  </sheetData>
  <mergeCells count="2">
    <mergeCell ref="D2:F2"/>
    <mergeCell ref="B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A2" sqref="A2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Growth Rates</vt:lpstr>
      <vt:lpstr>Additional Items</vt:lpstr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baldip kaur</cp:lastModifiedBy>
  <dcterms:created xsi:type="dcterms:W3CDTF">2020-05-18T16:32:37Z</dcterms:created>
  <dcterms:modified xsi:type="dcterms:W3CDTF">2024-01-25T23:18:28Z</dcterms:modified>
</cp:coreProperties>
</file>