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51e8feb54c0357/Desktop/BALDIP KAUR/INVESTMENT ANALYST EXPERIENCE/"/>
    </mc:Choice>
  </mc:AlternateContent>
  <xr:revisionPtr revIDLastSave="0" documentId="8_{A0AAC2D8-6570-48D3-AD0D-516E472BDE8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Additional Item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E8" i="3"/>
  <c r="D8" i="3"/>
  <c r="C8" i="3"/>
  <c r="F51" i="3"/>
  <c r="E51" i="3"/>
  <c r="D51" i="3"/>
  <c r="C51" i="3"/>
  <c r="F48" i="3"/>
  <c r="E48" i="3"/>
  <c r="D48" i="3"/>
  <c r="C48" i="3"/>
  <c r="F45" i="3"/>
  <c r="E45" i="3"/>
  <c r="D45" i="3"/>
  <c r="C45" i="3"/>
  <c r="D43" i="3"/>
  <c r="C43" i="3"/>
  <c r="E43" i="3"/>
  <c r="F43" i="3"/>
  <c r="F41" i="3"/>
  <c r="E41" i="3"/>
  <c r="D41" i="3"/>
  <c r="C41" i="3"/>
  <c r="F31" i="3"/>
  <c r="F30" i="3" s="1"/>
  <c r="E31" i="3"/>
  <c r="D31" i="3"/>
  <c r="C31" i="3"/>
  <c r="C30" i="3" s="1"/>
  <c r="B109" i="1"/>
  <c r="B99" i="1"/>
  <c r="B91" i="1"/>
  <c r="E30" i="3"/>
  <c r="D30" i="3"/>
  <c r="F29" i="3"/>
  <c r="E29" i="3"/>
  <c r="D29" i="3"/>
  <c r="C29" i="3"/>
  <c r="F19" i="3"/>
  <c r="E19" i="3"/>
  <c r="D19" i="3"/>
  <c r="C19" i="3"/>
  <c r="F21" i="3"/>
  <c r="E21" i="3"/>
  <c r="D21" i="3"/>
  <c r="C21" i="3"/>
  <c r="F25" i="3"/>
  <c r="E25" i="3"/>
  <c r="D25" i="3"/>
  <c r="C26" i="3"/>
  <c r="D26" i="3"/>
  <c r="E26" i="3"/>
  <c r="F26" i="3"/>
  <c r="F27" i="3"/>
  <c r="E27" i="3"/>
  <c r="D27" i="3"/>
  <c r="C27" i="3"/>
  <c r="C6" i="3" l="1"/>
  <c r="C25" i="3"/>
  <c r="C40" i="3"/>
  <c r="C44" i="3"/>
  <c r="C49" i="3" l="1"/>
  <c r="C47" i="3"/>
  <c r="C46" i="3"/>
  <c r="C42" i="3"/>
  <c r="C37" i="3"/>
  <c r="C36" i="3"/>
  <c r="C35" i="3"/>
  <c r="C34" i="3"/>
  <c r="C28" i="3"/>
  <c r="C22" i="3"/>
  <c r="C18" i="3"/>
  <c r="C17" i="3"/>
  <c r="C14" i="3"/>
  <c r="C13" i="3"/>
  <c r="C11" i="3"/>
  <c r="C10" i="3"/>
  <c r="C9" i="3"/>
  <c r="C7" i="3"/>
  <c r="C5" i="3"/>
  <c r="F7" i="5"/>
  <c r="E7" i="5"/>
  <c r="D7" i="5"/>
  <c r="F6" i="5"/>
  <c r="E6" i="5"/>
  <c r="D6" i="5"/>
  <c r="F5" i="5"/>
  <c r="E5" i="5"/>
  <c r="D5" i="5"/>
  <c r="F34" i="4"/>
  <c r="F33" i="4"/>
  <c r="F32" i="4"/>
  <c r="F31" i="4"/>
  <c r="F30" i="4"/>
  <c r="F29" i="4"/>
  <c r="F28" i="4"/>
  <c r="E34" i="4"/>
  <c r="E33" i="4"/>
  <c r="E32" i="4"/>
  <c r="E31" i="4"/>
  <c r="E30" i="4"/>
  <c r="E29" i="4"/>
  <c r="E28" i="4"/>
  <c r="D34" i="4"/>
  <c r="D33" i="4"/>
  <c r="D32" i="4"/>
  <c r="D31" i="4"/>
  <c r="D30" i="4"/>
  <c r="D29" i="4"/>
  <c r="D28" i="4"/>
  <c r="C34" i="4"/>
  <c r="C33" i="4"/>
  <c r="C32" i="4"/>
  <c r="C31" i="4"/>
  <c r="C30" i="4"/>
  <c r="C29" i="4"/>
  <c r="C28" i="4"/>
  <c r="E25" i="4"/>
  <c r="E24" i="4"/>
  <c r="E23" i="4"/>
  <c r="E22" i="4"/>
  <c r="E21" i="4"/>
  <c r="E20" i="4"/>
  <c r="E19" i="4"/>
  <c r="E18" i="4"/>
  <c r="D25" i="4"/>
  <c r="D24" i="4"/>
  <c r="D23" i="4"/>
  <c r="D22" i="4"/>
  <c r="D21" i="4"/>
  <c r="D20" i="4"/>
  <c r="D19" i="4"/>
  <c r="D18" i="4"/>
  <c r="E9" i="4"/>
  <c r="D9" i="4"/>
  <c r="C9" i="4"/>
  <c r="E15" i="4"/>
  <c r="E14" i="4"/>
  <c r="E13" i="4"/>
  <c r="D15" i="4"/>
  <c r="D14" i="4"/>
  <c r="D13" i="4"/>
  <c r="C15" i="4"/>
  <c r="E7" i="4"/>
  <c r="E6" i="4"/>
  <c r="E5" i="4"/>
  <c r="D7" i="4"/>
  <c r="D6" i="4"/>
  <c r="D5" i="4"/>
  <c r="C7" i="5"/>
  <c r="C14" i="4"/>
  <c r="C13" i="4"/>
  <c r="C6" i="4"/>
  <c r="C5" i="4"/>
  <c r="D40" i="3"/>
  <c r="D36" i="3"/>
  <c r="D9" i="3"/>
  <c r="B108" i="1"/>
  <c r="B17" i="1"/>
  <c r="B12" i="1"/>
  <c r="B8" i="1"/>
  <c r="C12" i="3" l="1"/>
  <c r="C20" i="3"/>
  <c r="C50" i="3"/>
  <c r="B13" i="1"/>
  <c r="C6" i="5"/>
  <c r="B18" i="1" l="1"/>
  <c r="B20" i="1" s="1"/>
  <c r="B22" i="1" s="1"/>
  <c r="C5" i="5" s="1"/>
  <c r="F3" i="5"/>
  <c r="E3" i="5"/>
  <c r="D3" i="5"/>
  <c r="F40" i="3"/>
  <c r="E40" i="3"/>
  <c r="E36" i="3"/>
  <c r="E9" i="3"/>
  <c r="F9" i="3"/>
  <c r="E108" i="1"/>
  <c r="D108" i="1"/>
  <c r="C108" i="1"/>
  <c r="E99" i="1"/>
  <c r="D99" i="1"/>
  <c r="C99" i="1"/>
  <c r="E68" i="1" l="1"/>
  <c r="D68" i="1"/>
  <c r="C68" i="1"/>
  <c r="E61" i="1"/>
  <c r="D61" i="1"/>
  <c r="C61" i="1"/>
  <c r="E56" i="1"/>
  <c r="F7" i="3" s="1"/>
  <c r="D56" i="1"/>
  <c r="C56" i="1"/>
  <c r="E47" i="1"/>
  <c r="D47" i="1"/>
  <c r="C47" i="1"/>
  <c r="E42" i="1"/>
  <c r="D42" i="1"/>
  <c r="C42" i="1"/>
  <c r="E17" i="1"/>
  <c r="D17" i="1"/>
  <c r="C17" i="1"/>
  <c r="E12" i="1"/>
  <c r="D12" i="1"/>
  <c r="C12" i="1"/>
  <c r="E8" i="1"/>
  <c r="D8" i="1"/>
  <c r="C8" i="1"/>
  <c r="F3" i="3"/>
  <c r="E3" i="3"/>
  <c r="D3" i="3"/>
  <c r="E33" i="1"/>
  <c r="E73" i="1" s="1"/>
  <c r="D33" i="1"/>
  <c r="D73" i="1" s="1"/>
  <c r="C33" i="1"/>
  <c r="C73" i="1" s="1"/>
  <c r="D35" i="3" l="1"/>
  <c r="D11" i="3"/>
  <c r="D34" i="3"/>
  <c r="D17" i="3"/>
  <c r="C7" i="4"/>
  <c r="C24" i="4"/>
  <c r="C22" i="4"/>
  <c r="C19" i="4"/>
  <c r="C18" i="4"/>
  <c r="D14" i="3"/>
  <c r="D13" i="3" s="1"/>
  <c r="D5" i="3"/>
  <c r="D6" i="3"/>
  <c r="D10" i="3"/>
  <c r="C21" i="4"/>
  <c r="D7" i="3"/>
  <c r="E34" i="3"/>
  <c r="E17" i="3"/>
  <c r="E35" i="3"/>
  <c r="E11" i="3"/>
  <c r="C48" i="1"/>
  <c r="E13" i="1"/>
  <c r="F17" i="3"/>
  <c r="F11" i="3"/>
  <c r="E6" i="3"/>
  <c r="E5" i="3"/>
  <c r="E14" i="3"/>
  <c r="E13" i="3" s="1"/>
  <c r="F14" i="3"/>
  <c r="F13" i="3" s="1"/>
  <c r="F5" i="3"/>
  <c r="F6" i="3"/>
  <c r="E10" i="3"/>
  <c r="D62" i="1"/>
  <c r="D69" i="1" s="1"/>
  <c r="E7" i="3"/>
  <c r="F10" i="3"/>
  <c r="C13" i="1"/>
  <c r="D13" i="1"/>
  <c r="C62" i="1"/>
  <c r="D48" i="1"/>
  <c r="E62" i="1"/>
  <c r="E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12" i="3" l="1"/>
  <c r="D12" i="3"/>
  <c r="D28" i="3"/>
  <c r="D20" i="3"/>
  <c r="C20" i="4"/>
  <c r="C18" i="1"/>
  <c r="C23" i="4"/>
  <c r="F42" i="3"/>
  <c r="C69" i="1"/>
  <c r="E69" i="1"/>
  <c r="D18" i="1"/>
  <c r="E42" i="3"/>
  <c r="F28" i="3"/>
  <c r="F20" i="3"/>
  <c r="E18" i="1"/>
  <c r="D42" i="3"/>
  <c r="E28" i="3"/>
  <c r="E20" i="3"/>
  <c r="A24" i="3"/>
  <c r="A25" i="3" s="1"/>
  <c r="A26" i="3" s="1"/>
  <c r="A27" i="3" s="1"/>
  <c r="A28" i="3" s="1"/>
  <c r="A29" i="3" s="1"/>
  <c r="A30" i="3" s="1"/>
  <c r="C25" i="4" l="1"/>
  <c r="D50" i="3"/>
  <c r="C20" i="1"/>
  <c r="C22" i="1" s="1"/>
  <c r="D49" i="3"/>
  <c r="D47" i="3"/>
  <c r="D20" i="1"/>
  <c r="D22" i="1" s="1"/>
  <c r="E20" i="1"/>
  <c r="E22" i="1" s="1"/>
  <c r="A33" i="3"/>
  <c r="A34" i="3" s="1"/>
  <c r="A35" i="3" s="1"/>
  <c r="A36" i="3" s="1"/>
  <c r="A37" i="3" s="1"/>
  <c r="D22" i="3" l="1"/>
  <c r="D37" i="3"/>
  <c r="C76" i="1"/>
  <c r="C91" i="1" s="1"/>
  <c r="C109" i="1" s="1"/>
  <c r="D18" i="3"/>
  <c r="F18" i="3"/>
  <c r="F50" i="3"/>
  <c r="D76" i="1"/>
  <c r="D91" i="1" s="1"/>
  <c r="D109" i="1" s="1"/>
  <c r="E37" i="3"/>
  <c r="E49" i="3"/>
  <c r="E47" i="3"/>
  <c r="E22" i="3"/>
  <c r="D44" i="3"/>
  <c r="D46" i="3"/>
  <c r="E50" i="3"/>
  <c r="E18" i="3"/>
  <c r="E76" i="1"/>
  <c r="E91" i="1" s="1"/>
  <c r="E109" i="1" s="1"/>
  <c r="F49" i="3"/>
  <c r="F47" i="3"/>
  <c r="F22" i="3"/>
  <c r="F37" i="3"/>
  <c r="A39" i="3"/>
  <c r="A40" i="3" s="1"/>
  <c r="A41" i="3" s="1"/>
  <c r="A42" i="3" s="1"/>
  <c r="A43" i="3" s="1"/>
  <c r="A44" i="3" s="1"/>
  <c r="A46" i="3" s="1"/>
  <c r="A48" i="3" s="1"/>
  <c r="A50" i="3" s="1"/>
  <c r="E46" i="3" l="1"/>
  <c r="E44" i="3"/>
</calcChain>
</file>

<file path=xl/sharedStrings.xml><?xml version="1.0" encoding="utf-8"?>
<sst xmlns="http://schemas.openxmlformats.org/spreadsheetml/2006/main" count="210" uniqueCount="160">
  <si>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</si>
  <si>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</si>
  <si>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</si>
  <si>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</si>
  <si>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</si>
  <si>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</si>
  <si>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</si>
  <si>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</si>
  <si>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</si>
  <si>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</si>
  <si>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</si>
  <si>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</si>
  <si>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</si>
  <si>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</si>
  <si>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</si>
  <si>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</si>
  <si>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</si>
  <si>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</si>
  <si>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</si>
  <si>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</si>
  <si>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</si>
  <si>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</si>
  <si>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</si>
  <si>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</si>
  <si>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</si>
  <si>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</si>
  <si>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</si>
  <si>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</si>
  <si>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</si>
  <si>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</si>
  <si>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</si>
  <si>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</si>
  <si>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</si>
  <si>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</si>
  <si>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</si>
  <si>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</si>
  <si>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</si>
  <si>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</si>
  <si>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</si>
  <si>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</si>
  <si>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</si>
  <si>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</si>
  <si>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</si>
  <si>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</si>
  <si>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</si>
  <si>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</si>
  <si>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</si>
  <si>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</si>
  <si>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</si>
  <si>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</si>
  <si>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</si>
  <si>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</si>
  <si>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</si>
  <si>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</si>
  <si>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</si>
  <si>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</si>
  <si>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</si>
  <si>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</si>
  <si>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</si>
  <si>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</si>
  <si>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</si>
  <si>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</si>
  <si>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</si>
  <si>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</si>
  <si>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</si>
  <si>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</si>
  <si>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</si>
  <si>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</si>
  <si>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</si>
  <si>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</si>
  <si>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</si>
  <si>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</si>
  <si>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</si>
  <si>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</si>
  <si>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</si>
  <si>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</si>
  <si>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</si>
  <si>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</si>
  <si>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</si>
  <si>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</si>
  <si>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</si>
  <si>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</si>
  <si>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</si>
  <si>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</si>
  <si>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</si>
  <si>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</si>
  <si>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</si>
  <si>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</si>
  <si>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</si>
  <si>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</si>
  <si>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</si>
  <si>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</si>
  <si>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</si>
  <si>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</si>
  <si>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</si>
  <si>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</si>
  <si>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</si>
  <si>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</si>
  <si>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</si>
  <si>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</si>
  <si>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</si>
  <si>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</si>
  <si>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</si>
  <si>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</si>
  <si>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</si>
  <si>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</si>
  <si>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</si>
  <si>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</si>
  <si>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</si>
  <si>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</si>
  <si>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</si>
  <si>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</si>
  <si>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</si>
  <si>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</si>
  <si>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</si>
  <si>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</si>
  <si>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</si>
  <si>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</si>
  <si>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</si>
  <si>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</si>
  <si>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</si>
  <si>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</si>
  <si>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</si>
  <si>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</si>
  <si>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</si>
  <si>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</si>
  <si>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</si>
  <si>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</si>
  <si>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</si>
  <si>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</si>
  <si>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</si>
  <si>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</si>
  <si>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</si>
  <si>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</si>
  <si>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</si>
  <si>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</si>
  <si>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</si>
  <si>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</si>
  <si>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</si>
  <si>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</si>
  <si>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</si>
  <si>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</si>
  <si>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</si>
  <si>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</si>
  <si>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</si>
  <si>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</si>
  <si>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</si>
  <si>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</si>
  <si>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</si>
  <si>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</t>
  </si>
  <si>
    <t>Sales</t>
  </si>
  <si>
    <t>Gross Profit</t>
  </si>
  <si>
    <t>Operating Expenses</t>
  </si>
  <si>
    <t>Balance Sheet</t>
  </si>
  <si>
    <t>Margins as a % of net sales</t>
  </si>
  <si>
    <t>Remove multiplication by 100 and use the % formatting instead</t>
  </si>
  <si>
    <t>Capex can be found in cash flow statement, purchase of PPE. Link it with - sign to remove the negative</t>
  </si>
  <si>
    <t xml:space="preserve"> </t>
  </si>
  <si>
    <t>Retained earnings/Accumulated deficit</t>
  </si>
  <si>
    <t>Years ended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</si>
</sst>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164" fontId="0" fillId="0" borderId="0" xfId="1" applyFont="1"/>
    <xf numFmtId="0" fontId="0" fillId="5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0" fontId="9" fillId="2" borderId="0" xfId="0" applyFont="1" applyFill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right" indent="1"/>
    </xf>
    <xf numFmtId="9" fontId="0" fillId="0" borderId="0" xfId="3" applyFont="1"/>
    <xf numFmtId="0" fontId="2" fillId="0" borderId="0" xfId="0" applyFont="1" applyAlignment="1">
      <alignment horizontal="center" vertical="center"/>
    </xf>
    <xf numFmtId="9" fontId="0" fillId="0" borderId="0" xfId="3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65" fontId="0" fillId="0" borderId="0" xfId="0" applyNumberFormat="1"/>
    <xf numFmtId="9" fontId="2" fillId="0" borderId="0" xfId="3" applyFont="1" applyFill="1" applyBorder="1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right"/>
    </xf>
    <xf numFmtId="165" fontId="0" fillId="0" borderId="0" xfId="1" applyNumberFormat="1" applyFont="1" applyAlignment="1">
      <alignment horizontal="right"/>
    </xf>
    <xf numFmtId="2" fontId="0" fillId="0" borderId="0" xfId="0" applyNumberFormat="1"/>
    <xf numFmtId="167" fontId="0" fillId="0" borderId="0" xfId="0" applyNumberFormat="1"/>
    <xf numFmtId="4" fontId="0" fillId="0" borderId="0" xfId="0" applyNumberFormat="1"/>
    <xf numFmtId="165" fontId="0" fillId="0" borderId="0" xfId="1" applyNumberFormat="1" applyFont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2" workbookViewId="0">
      <selection activeCell="A34" sqref="A34"/>
    </sheetView>
  </sheetViews>
  <sheetFormatPr defaultColWidth="8.81640625" defaultRowHeight="14.5" x14ac:dyDescent="0.35"/>
  <cols>
    <col min="1" max="1" width="104.453125" customWidth="1"/>
  </cols>
  <sheetData>
    <row r="1" spans="1:1" ht="23.5" x14ac:dyDescent="0.55000000000000004">
      <c r="A1" s="5" t="s">
        <v>86</v>
      </c>
    </row>
    <row r="3" spans="1:1" x14ac:dyDescent="0.35">
      <c r="A3" s="7" t="s">
        <v>140</v>
      </c>
    </row>
    <row r="4" spans="1:1" x14ac:dyDescent="0.35">
      <c r="A4" s="16" t="s">
        <v>87</v>
      </c>
    </row>
    <row r="5" spans="1:1" x14ac:dyDescent="0.35">
      <c r="A5" s="23" t="s">
        <v>96</v>
      </c>
    </row>
    <row r="6" spans="1:1" x14ac:dyDescent="0.35">
      <c r="A6" s="1" t="s">
        <v>147</v>
      </c>
    </row>
    <row r="7" spans="1:1" x14ac:dyDescent="0.35">
      <c r="A7" s="1"/>
    </row>
    <row r="8" spans="1:1" x14ac:dyDescent="0.35">
      <c r="A8" s="24" t="s">
        <v>148</v>
      </c>
    </row>
    <row r="9" spans="1:1" x14ac:dyDescent="0.35">
      <c r="A9" s="1" t="s">
        <v>144</v>
      </c>
    </row>
    <row r="10" spans="1:1" x14ac:dyDescent="0.35">
      <c r="A10" s="1" t="s">
        <v>88</v>
      </c>
    </row>
    <row r="11" spans="1:1" x14ac:dyDescent="0.35">
      <c r="A11" s="1" t="s">
        <v>89</v>
      </c>
    </row>
    <row r="12" spans="1:1" x14ac:dyDescent="0.35">
      <c r="A12" s="1" t="s">
        <v>90</v>
      </c>
    </row>
    <row r="13" spans="1:1" x14ac:dyDescent="0.35">
      <c r="A13" s="1"/>
    </row>
    <row r="14" spans="1:1" x14ac:dyDescent="0.35">
      <c r="A14" s="24" t="s">
        <v>91</v>
      </c>
    </row>
    <row r="15" spans="1:1" x14ac:dyDescent="0.35">
      <c r="A15" s="1" t="s">
        <v>145</v>
      </c>
    </row>
    <row r="16" spans="1:1" x14ac:dyDescent="0.35">
      <c r="A16" s="1" t="s">
        <v>88</v>
      </c>
    </row>
    <row r="17" spans="1:1" x14ac:dyDescent="0.35">
      <c r="A17" s="1" t="s">
        <v>89</v>
      </c>
    </row>
    <row r="18" spans="1:1" x14ac:dyDescent="0.35">
      <c r="A18" s="1" t="s">
        <v>14</v>
      </c>
    </row>
    <row r="19" spans="1:1" x14ac:dyDescent="0.35">
      <c r="A19" s="1" t="s">
        <v>92</v>
      </c>
    </row>
    <row r="20" spans="1:1" x14ac:dyDescent="0.35">
      <c r="A20" s="1"/>
    </row>
    <row r="21" spans="1:1" x14ac:dyDescent="0.35">
      <c r="A21" s="17" t="s">
        <v>97</v>
      </c>
    </row>
    <row r="22" spans="1:1" x14ac:dyDescent="0.35">
      <c r="A22" s="1" t="s">
        <v>93</v>
      </c>
    </row>
    <row r="23" spans="1:1" x14ac:dyDescent="0.35">
      <c r="A23" s="1" t="s">
        <v>94</v>
      </c>
    </row>
    <row r="24" spans="1:1" x14ac:dyDescent="0.35">
      <c r="A24" s="1" t="s">
        <v>95</v>
      </c>
    </row>
    <row r="25" spans="1:1" x14ac:dyDescent="0.35">
      <c r="A25" s="1"/>
    </row>
    <row r="26" spans="1:1" x14ac:dyDescent="0.35">
      <c r="A26" s="17" t="s">
        <v>143</v>
      </c>
    </row>
    <row r="27" spans="1:1" x14ac:dyDescent="0.35">
      <c r="A27" s="16" t="s">
        <v>142</v>
      </c>
    </row>
    <row r="29" spans="1:1" x14ac:dyDescent="0.3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36" workbookViewId="0">
      <selection activeCell="B110" sqref="B110"/>
    </sheetView>
  </sheetViews>
  <sheetFormatPr defaultColWidth="8.81640625" defaultRowHeight="14.5" x14ac:dyDescent="0.35"/>
  <cols>
    <col min="1" max="1" width="59" customWidth="1"/>
    <col min="2" max="2" width="11.453125" customWidth="1"/>
    <col min="3" max="4" width="11.453125" bestFit="1" customWidth="1"/>
    <col min="5" max="5" width="11.54296875" bestFit="1" customWidth="1"/>
    <col min="11" max="11" width="13.26953125" bestFit="1" customWidth="1"/>
  </cols>
  <sheetData>
    <row r="1" spans="1:11" ht="60" customHeight="1" x14ac:dyDescent="0.35">
      <c r="A1" s="6" t="s">
        <v>0</v>
      </c>
      <c r="B1" s="4"/>
      <c r="C1" s="4" t="s">
        <v>2</v>
      </c>
      <c r="D1" s="4"/>
      <c r="E1" s="4"/>
      <c r="F1" s="4"/>
      <c r="G1" s="4"/>
      <c r="H1" s="4"/>
      <c r="I1" s="4"/>
      <c r="J1" s="4"/>
      <c r="K1" s="4"/>
    </row>
    <row r="2" spans="1:11" x14ac:dyDescent="0.35">
      <c r="A2" s="49" t="s">
        <v>1</v>
      </c>
      <c r="B2" s="49"/>
      <c r="C2" s="49"/>
      <c r="D2" s="49"/>
      <c r="E2" s="49"/>
    </row>
    <row r="3" spans="1:11" x14ac:dyDescent="0.35">
      <c r="B3" s="50" t="s">
        <v>159</v>
      </c>
      <c r="C3" s="50"/>
      <c r="D3" s="50"/>
      <c r="E3" s="50"/>
    </row>
    <row r="4" spans="1:11" x14ac:dyDescent="0.35">
      <c r="B4" s="35">
        <v>2023</v>
      </c>
      <c r="C4" s="35">
        <v>2022</v>
      </c>
      <c r="D4" s="35">
        <v>2021</v>
      </c>
      <c r="E4" s="35">
        <v>2020</v>
      </c>
    </row>
    <row r="5" spans="1:11" x14ac:dyDescent="0.35">
      <c r="A5" t="s">
        <v>3</v>
      </c>
    </row>
    <row r="6" spans="1:11" x14ac:dyDescent="0.35">
      <c r="A6" s="1" t="s">
        <v>4</v>
      </c>
      <c r="B6" s="12">
        <v>298085</v>
      </c>
      <c r="C6" s="12">
        <v>316199</v>
      </c>
      <c r="D6" s="12">
        <v>297392</v>
      </c>
      <c r="E6" s="12">
        <v>220747</v>
      </c>
      <c r="F6" s="38"/>
    </row>
    <row r="7" spans="1:11" x14ac:dyDescent="0.35">
      <c r="A7" s="1" t="s">
        <v>5</v>
      </c>
      <c r="B7" s="12">
        <v>85200</v>
      </c>
      <c r="C7" s="12">
        <v>78129</v>
      </c>
      <c r="D7" s="12">
        <v>68425</v>
      </c>
      <c r="E7" s="12">
        <v>53768</v>
      </c>
      <c r="F7" s="38"/>
    </row>
    <row r="8" spans="1:11" x14ac:dyDescent="0.35">
      <c r="A8" s="8" t="s">
        <v>6</v>
      </c>
      <c r="B8" s="13">
        <f>+B6+B7</f>
        <v>383285</v>
      </c>
      <c r="C8" s="13">
        <f>+C6+C7</f>
        <v>394328</v>
      </c>
      <c r="D8" s="13">
        <f t="shared" ref="D8:E8" si="0">+D6+D7</f>
        <v>365817</v>
      </c>
      <c r="E8" s="13">
        <f t="shared" si="0"/>
        <v>274515</v>
      </c>
      <c r="F8" s="38"/>
    </row>
    <row r="9" spans="1:11" x14ac:dyDescent="0.35">
      <c r="A9" t="s">
        <v>7</v>
      </c>
      <c r="B9" s="12"/>
      <c r="C9" s="12"/>
      <c r="D9" s="34"/>
      <c r="E9" s="12"/>
    </row>
    <row r="10" spans="1:11" x14ac:dyDescent="0.35">
      <c r="A10" s="1" t="s">
        <v>4</v>
      </c>
      <c r="B10" s="12">
        <v>189282</v>
      </c>
      <c r="C10" s="12">
        <v>201471</v>
      </c>
      <c r="D10" s="12">
        <v>192266</v>
      </c>
      <c r="E10" s="12">
        <v>151286</v>
      </c>
    </row>
    <row r="11" spans="1:11" x14ac:dyDescent="0.35">
      <c r="A11" s="1" t="s">
        <v>5</v>
      </c>
      <c r="B11" s="12">
        <v>24855</v>
      </c>
      <c r="C11" s="12">
        <v>22075</v>
      </c>
      <c r="D11" s="12">
        <v>20715</v>
      </c>
      <c r="E11" s="12">
        <v>18273</v>
      </c>
    </row>
    <row r="12" spans="1:11" x14ac:dyDescent="0.35">
      <c r="A12" s="8" t="s">
        <v>8</v>
      </c>
      <c r="B12" s="13">
        <f>+B10+B11</f>
        <v>214137</v>
      </c>
      <c r="C12" s="13">
        <f>+C10+C11</f>
        <v>223546</v>
      </c>
      <c r="D12" s="13">
        <f t="shared" ref="D12:E12" si="1">+D10+D11</f>
        <v>212981</v>
      </c>
      <c r="E12" s="13">
        <f t="shared" si="1"/>
        <v>169559</v>
      </c>
    </row>
    <row r="13" spans="1:11" x14ac:dyDescent="0.35">
      <c r="A13" s="8" t="s">
        <v>9</v>
      </c>
      <c r="B13" s="13">
        <f>+B8-B12</f>
        <v>169148</v>
      </c>
      <c r="C13" s="13">
        <f>+C8-C12</f>
        <v>170782</v>
      </c>
      <c r="D13" s="13">
        <f t="shared" ref="D13:E13" si="2">+D8-D12</f>
        <v>152836</v>
      </c>
      <c r="E13" s="13">
        <f t="shared" si="2"/>
        <v>104956</v>
      </c>
      <c r="F13" s="38"/>
      <c r="G13" s="39"/>
    </row>
    <row r="14" spans="1:11" x14ac:dyDescent="0.35">
      <c r="A14" t="s">
        <v>10</v>
      </c>
      <c r="B14" s="34"/>
      <c r="C14" s="12"/>
      <c r="D14" s="12"/>
      <c r="E14" s="12"/>
    </row>
    <row r="15" spans="1:11" x14ac:dyDescent="0.35">
      <c r="A15" s="1" t="s">
        <v>11</v>
      </c>
      <c r="B15" s="12">
        <v>29915</v>
      </c>
      <c r="C15" s="12">
        <v>26251</v>
      </c>
      <c r="D15" s="12">
        <v>21914</v>
      </c>
      <c r="E15" s="12">
        <v>18752</v>
      </c>
      <c r="F15" s="38"/>
      <c r="G15" s="34"/>
    </row>
    <row r="16" spans="1:11" x14ac:dyDescent="0.35">
      <c r="A16" s="1" t="s">
        <v>12</v>
      </c>
      <c r="B16" s="12">
        <v>24932</v>
      </c>
      <c r="C16" s="12">
        <v>25094</v>
      </c>
      <c r="D16" s="12">
        <v>21973</v>
      </c>
      <c r="E16" s="12">
        <v>19916</v>
      </c>
      <c r="F16" s="38"/>
      <c r="G16" s="34"/>
    </row>
    <row r="17" spans="1:7" x14ac:dyDescent="0.35">
      <c r="A17" s="8" t="s">
        <v>13</v>
      </c>
      <c r="B17" s="13">
        <f>+B15+B16</f>
        <v>54847</v>
      </c>
      <c r="C17" s="13">
        <f>+C15+C16</f>
        <v>51345</v>
      </c>
      <c r="D17" s="13">
        <f t="shared" ref="D17" si="3">+D15+D16</f>
        <v>43887</v>
      </c>
      <c r="E17" s="13">
        <f t="shared" ref="E17" si="4">+E15+E16</f>
        <v>38668</v>
      </c>
      <c r="F17" s="38"/>
      <c r="G17" s="34"/>
    </row>
    <row r="18" spans="1:7" s="7" customFormat="1" x14ac:dyDescent="0.35">
      <c r="A18" s="8" t="s">
        <v>14</v>
      </c>
      <c r="B18" s="13">
        <f>+B13-B17</f>
        <v>114301</v>
      </c>
      <c r="C18" s="13">
        <f>+C13-C17</f>
        <v>119437</v>
      </c>
      <c r="D18" s="13">
        <f t="shared" ref="D18:E18" si="5">+D13-D17</f>
        <v>108949</v>
      </c>
      <c r="E18" s="13">
        <f t="shared" si="5"/>
        <v>66288</v>
      </c>
    </row>
    <row r="19" spans="1:7" x14ac:dyDescent="0.35">
      <c r="A19" t="s">
        <v>15</v>
      </c>
      <c r="B19" s="12">
        <v>-565</v>
      </c>
      <c r="C19" s="12">
        <v>-334</v>
      </c>
      <c r="D19" s="12">
        <v>258</v>
      </c>
      <c r="E19" s="12">
        <v>803</v>
      </c>
    </row>
    <row r="20" spans="1:7" x14ac:dyDescent="0.35">
      <c r="A20" s="8" t="s">
        <v>16</v>
      </c>
      <c r="B20" s="13">
        <f>+B18+B19</f>
        <v>113736</v>
      </c>
      <c r="C20" s="13">
        <f>+C18+C19</f>
        <v>119103</v>
      </c>
      <c r="D20" s="13">
        <f t="shared" ref="D20:E20" si="6">+D18+D19</f>
        <v>109207</v>
      </c>
      <c r="E20" s="13">
        <f t="shared" si="6"/>
        <v>67091</v>
      </c>
    </row>
    <row r="21" spans="1:7" x14ac:dyDescent="0.35">
      <c r="A21" t="s">
        <v>17</v>
      </c>
      <c r="B21" s="12">
        <v>16741</v>
      </c>
      <c r="C21" s="12">
        <v>19300</v>
      </c>
      <c r="D21" s="12">
        <v>14527</v>
      </c>
      <c r="E21" s="12">
        <v>9680</v>
      </c>
    </row>
    <row r="22" spans="1:7" ht="15" thickBot="1" x14ac:dyDescent="0.4">
      <c r="A22" s="9" t="s">
        <v>18</v>
      </c>
      <c r="B22" s="14">
        <f>+B20-B21</f>
        <v>96995</v>
      </c>
      <c r="C22" s="14">
        <f>+C20-C21</f>
        <v>99803</v>
      </c>
      <c r="D22" s="14">
        <f t="shared" ref="D22:E22" si="7">+D20-D21</f>
        <v>94680</v>
      </c>
      <c r="E22" s="14">
        <f t="shared" si="7"/>
        <v>57411</v>
      </c>
    </row>
    <row r="23" spans="1:7" ht="15" thickTop="1" x14ac:dyDescent="0.35">
      <c r="A23" t="s">
        <v>19</v>
      </c>
    </row>
    <row r="24" spans="1:7" x14ac:dyDescent="0.35">
      <c r="A24" s="1" t="s">
        <v>20</v>
      </c>
      <c r="B24" s="10">
        <v>6.16</v>
      </c>
      <c r="C24" s="10">
        <v>6.15</v>
      </c>
      <c r="D24" s="10">
        <v>5.67</v>
      </c>
      <c r="E24" s="10">
        <v>3.31</v>
      </c>
    </row>
    <row r="25" spans="1:7" x14ac:dyDescent="0.35">
      <c r="A25" s="1" t="s">
        <v>21</v>
      </c>
      <c r="B25" s="10">
        <v>6.13</v>
      </c>
      <c r="C25" s="10">
        <v>6.11</v>
      </c>
      <c r="D25" s="10">
        <v>5.61</v>
      </c>
      <c r="E25" s="10">
        <v>3.28</v>
      </c>
    </row>
    <row r="26" spans="1:7" x14ac:dyDescent="0.35">
      <c r="A26" t="s">
        <v>22</v>
      </c>
      <c r="B26" s="2"/>
    </row>
    <row r="27" spans="1:7" x14ac:dyDescent="0.35">
      <c r="A27" s="1" t="s">
        <v>20</v>
      </c>
      <c r="B27" s="2">
        <v>15744231</v>
      </c>
      <c r="C27" s="2">
        <v>16215963</v>
      </c>
      <c r="D27" s="2">
        <v>16701272</v>
      </c>
      <c r="E27" s="2">
        <v>17352119</v>
      </c>
    </row>
    <row r="28" spans="1:7" x14ac:dyDescent="0.35">
      <c r="A28" s="1" t="s">
        <v>21</v>
      </c>
      <c r="B28" s="2">
        <v>15812547</v>
      </c>
      <c r="C28" s="2">
        <v>16325819</v>
      </c>
      <c r="D28" s="2">
        <v>16864919</v>
      </c>
      <c r="E28" s="2">
        <v>17528214</v>
      </c>
    </row>
    <row r="31" spans="1:7" x14ac:dyDescent="0.35">
      <c r="A31" s="49" t="s">
        <v>24</v>
      </c>
      <c r="B31" s="49"/>
      <c r="C31" s="49"/>
      <c r="D31" s="49"/>
      <c r="E31" s="49"/>
    </row>
    <row r="32" spans="1:7" x14ac:dyDescent="0.35">
      <c r="B32" s="27"/>
      <c r="C32" s="48" t="s">
        <v>141</v>
      </c>
      <c r="D32" s="48"/>
      <c r="E32" s="48"/>
    </row>
    <row r="33" spans="1:5" x14ac:dyDescent="0.35">
      <c r="B33" s="7">
        <v>2023</v>
      </c>
      <c r="C33" s="7">
        <f>+C4</f>
        <v>2022</v>
      </c>
      <c r="D33" s="7">
        <f t="shared" ref="D33:E33" si="8">+D4</f>
        <v>2021</v>
      </c>
      <c r="E33" s="7">
        <f t="shared" si="8"/>
        <v>2020</v>
      </c>
    </row>
    <row r="35" spans="1:5" x14ac:dyDescent="0.35">
      <c r="A35" t="s">
        <v>25</v>
      </c>
    </row>
    <row r="36" spans="1:5" x14ac:dyDescent="0.35">
      <c r="A36" s="1" t="s">
        <v>26</v>
      </c>
      <c r="B36" s="12">
        <v>29965</v>
      </c>
      <c r="C36" s="12">
        <v>23646</v>
      </c>
      <c r="D36" s="12">
        <v>34940</v>
      </c>
      <c r="E36" s="12">
        <v>38016</v>
      </c>
    </row>
    <row r="37" spans="1:5" x14ac:dyDescent="0.35">
      <c r="A37" s="1" t="s">
        <v>27</v>
      </c>
      <c r="B37" s="12">
        <v>31590</v>
      </c>
      <c r="C37" s="12">
        <v>24658</v>
      </c>
      <c r="D37" s="12">
        <v>27699</v>
      </c>
      <c r="E37" s="12">
        <v>52927</v>
      </c>
    </row>
    <row r="38" spans="1:5" x14ac:dyDescent="0.35">
      <c r="A38" s="1" t="s">
        <v>28</v>
      </c>
      <c r="B38" s="12">
        <v>29508</v>
      </c>
      <c r="C38" s="12">
        <v>28184</v>
      </c>
      <c r="D38" s="12">
        <v>26278</v>
      </c>
      <c r="E38" s="12">
        <v>16120</v>
      </c>
    </row>
    <row r="39" spans="1:5" x14ac:dyDescent="0.35">
      <c r="A39" s="1" t="s">
        <v>29</v>
      </c>
      <c r="B39" s="12">
        <v>6331</v>
      </c>
      <c r="C39" s="12">
        <v>4946</v>
      </c>
      <c r="D39" s="12">
        <v>6580</v>
      </c>
      <c r="E39" s="12">
        <v>4061</v>
      </c>
    </row>
    <row r="40" spans="1:5" x14ac:dyDescent="0.35">
      <c r="A40" s="1" t="s">
        <v>46</v>
      </c>
      <c r="B40" s="12">
        <v>31477</v>
      </c>
      <c r="C40" s="12">
        <v>32748</v>
      </c>
      <c r="D40" s="12">
        <v>25228</v>
      </c>
      <c r="E40" s="12">
        <v>21325</v>
      </c>
    </row>
    <row r="41" spans="1:5" x14ac:dyDescent="0.35">
      <c r="A41" s="1" t="s">
        <v>30</v>
      </c>
      <c r="B41" s="12">
        <v>14695</v>
      </c>
      <c r="C41" s="12">
        <v>21223</v>
      </c>
      <c r="D41" s="12">
        <v>14111</v>
      </c>
      <c r="E41" s="12">
        <v>11264</v>
      </c>
    </row>
    <row r="42" spans="1:5" x14ac:dyDescent="0.35">
      <c r="A42" s="8" t="s">
        <v>31</v>
      </c>
      <c r="B42" s="13">
        <v>143566</v>
      </c>
      <c r="C42" s="13">
        <f>+SUM(C36:C41)</f>
        <v>135405</v>
      </c>
      <c r="D42" s="13">
        <f t="shared" ref="D42:E42" si="9">+SUM(D36:D41)</f>
        <v>134836</v>
      </c>
      <c r="E42" s="13">
        <f t="shared" si="9"/>
        <v>143713</v>
      </c>
    </row>
    <row r="43" spans="1:5" x14ac:dyDescent="0.35">
      <c r="A43" t="s">
        <v>47</v>
      </c>
      <c r="B43" s="12"/>
      <c r="C43" s="12"/>
      <c r="D43" s="12"/>
      <c r="E43" s="12"/>
    </row>
    <row r="44" spans="1:5" x14ac:dyDescent="0.35">
      <c r="A44" s="1" t="s">
        <v>27</v>
      </c>
      <c r="B44" s="12">
        <v>100544</v>
      </c>
      <c r="C44" s="12">
        <v>120805</v>
      </c>
      <c r="D44" s="12">
        <v>127877</v>
      </c>
      <c r="E44" s="12">
        <v>100887</v>
      </c>
    </row>
    <row r="45" spans="1:5" x14ac:dyDescent="0.35">
      <c r="A45" s="1" t="s">
        <v>32</v>
      </c>
      <c r="B45" s="12">
        <v>43715</v>
      </c>
      <c r="C45" s="12">
        <v>42117</v>
      </c>
      <c r="D45" s="12">
        <v>39440</v>
      </c>
      <c r="E45" s="12">
        <v>36766</v>
      </c>
    </row>
    <row r="46" spans="1:5" x14ac:dyDescent="0.35">
      <c r="A46" s="1" t="s">
        <v>48</v>
      </c>
      <c r="B46" s="12">
        <v>64758</v>
      </c>
      <c r="C46" s="12">
        <v>54428</v>
      </c>
      <c r="D46" s="12">
        <v>48849</v>
      </c>
      <c r="E46" s="12">
        <v>42522</v>
      </c>
    </row>
    <row r="47" spans="1:5" x14ac:dyDescent="0.35">
      <c r="A47" s="8" t="s">
        <v>49</v>
      </c>
      <c r="B47" s="13">
        <v>209017</v>
      </c>
      <c r="C47" s="13">
        <f>+SUM(C44:C46)</f>
        <v>217350</v>
      </c>
      <c r="D47" s="13">
        <f t="shared" ref="D47:E47" si="10">+SUM(D44:D46)</f>
        <v>216166</v>
      </c>
      <c r="E47" s="13">
        <f t="shared" si="10"/>
        <v>180175</v>
      </c>
    </row>
    <row r="48" spans="1:5" ht="15" thickBot="1" x14ac:dyDescent="0.4">
      <c r="A48" s="9" t="s">
        <v>33</v>
      </c>
      <c r="B48" s="14">
        <v>352583</v>
      </c>
      <c r="C48" s="14">
        <f>+C42+C47</f>
        <v>352755</v>
      </c>
      <c r="D48" s="14">
        <f t="shared" ref="D48:E48" si="11">+D42+D47</f>
        <v>351002</v>
      </c>
      <c r="E48" s="14">
        <f t="shared" si="11"/>
        <v>323888</v>
      </c>
    </row>
    <row r="49" spans="1:5" ht="15" thickTop="1" x14ac:dyDescent="0.35"/>
    <row r="50" spans="1:5" x14ac:dyDescent="0.35">
      <c r="A50" t="s">
        <v>34</v>
      </c>
    </row>
    <row r="51" spans="1:5" x14ac:dyDescent="0.35">
      <c r="A51" s="1" t="s">
        <v>35</v>
      </c>
      <c r="B51" s="12">
        <v>62611</v>
      </c>
      <c r="C51" s="12">
        <v>64115</v>
      </c>
      <c r="D51" s="12">
        <v>54763</v>
      </c>
      <c r="E51" s="12">
        <v>42296</v>
      </c>
    </row>
    <row r="52" spans="1:5" x14ac:dyDescent="0.35">
      <c r="A52" s="1" t="s">
        <v>36</v>
      </c>
      <c r="B52" s="12">
        <v>58829</v>
      </c>
      <c r="C52" s="12">
        <v>60845</v>
      </c>
      <c r="D52" s="12">
        <v>47493</v>
      </c>
      <c r="E52" s="12">
        <v>42684</v>
      </c>
    </row>
    <row r="53" spans="1:5" x14ac:dyDescent="0.35">
      <c r="A53" s="1" t="s">
        <v>37</v>
      </c>
      <c r="B53" s="12">
        <v>8061</v>
      </c>
      <c r="C53" s="12">
        <v>7912</v>
      </c>
      <c r="D53" s="12">
        <v>7612</v>
      </c>
      <c r="E53" s="12">
        <v>6643</v>
      </c>
    </row>
    <row r="54" spans="1:5" x14ac:dyDescent="0.35">
      <c r="A54" s="1" t="s">
        <v>38</v>
      </c>
      <c r="B54" s="12">
        <v>5985</v>
      </c>
      <c r="C54" s="12">
        <v>9982</v>
      </c>
      <c r="D54" s="12">
        <v>6000</v>
      </c>
      <c r="E54" s="12">
        <v>4996</v>
      </c>
    </row>
    <row r="55" spans="1:5" x14ac:dyDescent="0.35">
      <c r="A55" s="1" t="s">
        <v>39</v>
      </c>
      <c r="B55" s="12">
        <v>9822</v>
      </c>
      <c r="C55" s="12">
        <v>11128</v>
      </c>
      <c r="D55" s="12">
        <v>9613</v>
      </c>
      <c r="E55" s="12">
        <v>8773</v>
      </c>
    </row>
    <row r="56" spans="1:5" x14ac:dyDescent="0.35">
      <c r="A56" s="8" t="s">
        <v>40</v>
      </c>
      <c r="B56" s="13">
        <v>145308</v>
      </c>
      <c r="C56" s="13">
        <f>+SUM(C51:C55)</f>
        <v>153982</v>
      </c>
      <c r="D56" s="13">
        <f t="shared" ref="D56:E56" si="12">+SUM(D51:D55)</f>
        <v>125481</v>
      </c>
      <c r="E56" s="13">
        <f t="shared" si="12"/>
        <v>105392</v>
      </c>
    </row>
    <row r="57" spans="1:5" x14ac:dyDescent="0.35">
      <c r="A57" t="s">
        <v>50</v>
      </c>
      <c r="B57" s="12"/>
      <c r="C57" s="12"/>
      <c r="D57" s="12"/>
      <c r="E57" s="12"/>
    </row>
    <row r="58" spans="1:5" x14ac:dyDescent="0.35">
      <c r="A58" s="1" t="s">
        <v>37</v>
      </c>
      <c r="B58" s="12"/>
      <c r="C58" s="12"/>
      <c r="D58" s="12"/>
      <c r="E58" s="12"/>
    </row>
    <row r="59" spans="1:5" x14ac:dyDescent="0.35">
      <c r="A59" s="1" t="s">
        <v>39</v>
      </c>
      <c r="B59" s="12">
        <v>95281</v>
      </c>
      <c r="C59" s="12">
        <v>98959</v>
      </c>
      <c r="D59" s="12">
        <v>109106</v>
      </c>
      <c r="E59" s="12">
        <v>98667</v>
      </c>
    </row>
    <row r="60" spans="1:5" x14ac:dyDescent="0.35">
      <c r="A60" s="1" t="s">
        <v>51</v>
      </c>
      <c r="B60" s="12">
        <v>49848</v>
      </c>
      <c r="C60" s="12">
        <v>49142</v>
      </c>
      <c r="D60" s="12">
        <v>53325</v>
      </c>
      <c r="E60" s="12">
        <v>54490</v>
      </c>
    </row>
    <row r="61" spans="1:5" x14ac:dyDescent="0.35">
      <c r="A61" s="22" t="s">
        <v>52</v>
      </c>
      <c r="B61" s="21">
        <v>145129</v>
      </c>
      <c r="C61" s="21">
        <f>+C59+C60</f>
        <v>148101</v>
      </c>
      <c r="D61" s="21">
        <f t="shared" ref="D61:E61" si="13">+D59+D60</f>
        <v>162431</v>
      </c>
      <c r="E61" s="21">
        <f t="shared" si="13"/>
        <v>153157</v>
      </c>
    </row>
    <row r="62" spans="1:5" x14ac:dyDescent="0.35">
      <c r="A62" s="8" t="s">
        <v>41</v>
      </c>
      <c r="B62" s="13">
        <v>290437</v>
      </c>
      <c r="C62" s="13">
        <f>+C56+C61</f>
        <v>302083</v>
      </c>
      <c r="D62" s="13">
        <f t="shared" ref="D62:E62" si="14">+D56+D61</f>
        <v>287912</v>
      </c>
      <c r="E62" s="13">
        <f t="shared" si="14"/>
        <v>258549</v>
      </c>
    </row>
    <row r="63" spans="1:5" x14ac:dyDescent="0.35">
      <c r="B63" s="12"/>
      <c r="C63" s="12"/>
      <c r="D63" s="12"/>
      <c r="E63" s="12"/>
    </row>
    <row r="64" spans="1:5" x14ac:dyDescent="0.35">
      <c r="A64" t="s">
        <v>42</v>
      </c>
      <c r="B64" s="12"/>
      <c r="C64" s="12"/>
      <c r="D64" s="12"/>
      <c r="E64" s="12"/>
    </row>
    <row r="65" spans="1:11" x14ac:dyDescent="0.35">
      <c r="A65" s="1" t="s">
        <v>53</v>
      </c>
      <c r="B65" s="12">
        <v>73812</v>
      </c>
      <c r="C65" s="12">
        <v>64849</v>
      </c>
      <c r="D65" s="12">
        <v>57365</v>
      </c>
      <c r="E65" s="12">
        <v>50779</v>
      </c>
    </row>
    <row r="66" spans="1:11" x14ac:dyDescent="0.35">
      <c r="A66" s="1" t="s">
        <v>158</v>
      </c>
      <c r="B66" s="12">
        <v>-214</v>
      </c>
      <c r="C66" s="12">
        <v>-3068</v>
      </c>
      <c r="D66" s="12">
        <v>5562</v>
      </c>
      <c r="E66" s="12">
        <v>14966</v>
      </c>
    </row>
    <row r="67" spans="1:11" x14ac:dyDescent="0.35">
      <c r="A67" s="1" t="s">
        <v>43</v>
      </c>
      <c r="B67" s="12">
        <v>-11452</v>
      </c>
      <c r="C67" s="12">
        <v>-11109</v>
      </c>
      <c r="D67" s="12">
        <v>163</v>
      </c>
      <c r="E67" s="12">
        <v>-406</v>
      </c>
    </row>
    <row r="68" spans="1:11" x14ac:dyDescent="0.35">
      <c r="A68" s="8" t="s">
        <v>44</v>
      </c>
      <c r="B68" s="13">
        <v>62146</v>
      </c>
      <c r="C68" s="13">
        <f>+SUM(C65:C67)</f>
        <v>50672</v>
      </c>
      <c r="D68" s="13">
        <f t="shared" ref="D68:E68" si="15">+SUM(D65:D67)</f>
        <v>63090</v>
      </c>
      <c r="E68" s="13">
        <f t="shared" si="15"/>
        <v>65339</v>
      </c>
      <c r="K68" s="32"/>
    </row>
    <row r="69" spans="1:11" ht="15" thickBot="1" x14ac:dyDescent="0.4">
      <c r="A69" s="9" t="s">
        <v>45</v>
      </c>
      <c r="B69" s="14">
        <v>352583</v>
      </c>
      <c r="C69" s="14">
        <f>+C68+C62</f>
        <v>352755</v>
      </c>
      <c r="D69" s="14">
        <f t="shared" ref="D69:E69" si="16">+D68+D62</f>
        <v>351002</v>
      </c>
      <c r="E69" s="14">
        <f t="shared" si="16"/>
        <v>323888</v>
      </c>
    </row>
    <row r="70" spans="1:11" ht="15" thickTop="1" x14ac:dyDescent="0.35"/>
    <row r="71" spans="1:11" x14ac:dyDescent="0.35">
      <c r="A71" s="49" t="s">
        <v>54</v>
      </c>
      <c r="B71" s="49"/>
      <c r="C71" s="49"/>
      <c r="D71" s="49"/>
      <c r="E71" s="49"/>
    </row>
    <row r="72" spans="1:11" x14ac:dyDescent="0.35">
      <c r="B72" s="27"/>
      <c r="C72" s="48" t="s">
        <v>23</v>
      </c>
      <c r="D72" s="48"/>
      <c r="E72" s="48"/>
    </row>
    <row r="73" spans="1:11" x14ac:dyDescent="0.35">
      <c r="B73" s="7">
        <v>2023</v>
      </c>
      <c r="C73" s="7">
        <f>+C33</f>
        <v>2022</v>
      </c>
      <c r="D73" s="7">
        <f t="shared" ref="D73:E73" si="17">+D33</f>
        <v>2021</v>
      </c>
      <c r="E73" s="7">
        <f t="shared" si="17"/>
        <v>2020</v>
      </c>
    </row>
    <row r="75" spans="1:11" x14ac:dyDescent="0.35">
      <c r="A75" s="7" t="s">
        <v>55</v>
      </c>
      <c r="B75" s="15"/>
      <c r="C75" s="15"/>
      <c r="D75" s="15"/>
      <c r="E75" s="15"/>
    </row>
    <row r="76" spans="1:11" x14ac:dyDescent="0.35">
      <c r="A76" t="s">
        <v>56</v>
      </c>
      <c r="B76" s="12">
        <v>96995</v>
      </c>
      <c r="C76" s="12">
        <f>+C22</f>
        <v>99803</v>
      </c>
      <c r="D76" s="12">
        <f t="shared" ref="D76:E76" si="18">+D22</f>
        <v>94680</v>
      </c>
      <c r="E76" s="12">
        <f t="shared" si="18"/>
        <v>57411</v>
      </c>
    </row>
    <row r="77" spans="1:11" x14ac:dyDescent="0.35">
      <c r="A77" s="11" t="s">
        <v>18</v>
      </c>
      <c r="B77" s="15"/>
      <c r="C77" s="15"/>
      <c r="D77" s="15"/>
      <c r="E77" s="15"/>
    </row>
    <row r="78" spans="1:11" x14ac:dyDescent="0.35">
      <c r="A78" s="1" t="s">
        <v>57</v>
      </c>
      <c r="B78" s="12"/>
      <c r="C78" s="12"/>
      <c r="D78" s="12"/>
      <c r="E78" s="12"/>
    </row>
    <row r="79" spans="1:11" x14ac:dyDescent="0.35">
      <c r="A79" s="3" t="s">
        <v>58</v>
      </c>
      <c r="B79" s="12">
        <v>11519</v>
      </c>
      <c r="C79" s="12">
        <v>11104</v>
      </c>
      <c r="D79" s="12">
        <v>11284</v>
      </c>
      <c r="E79" s="12">
        <v>11056</v>
      </c>
    </row>
    <row r="80" spans="1:11" x14ac:dyDescent="0.35">
      <c r="A80" s="3" t="s">
        <v>82</v>
      </c>
      <c r="B80" s="12">
        <v>10833</v>
      </c>
      <c r="C80" s="12">
        <v>9038</v>
      </c>
      <c r="D80" s="12">
        <v>7906</v>
      </c>
      <c r="E80" s="12">
        <v>6829</v>
      </c>
    </row>
    <row r="81" spans="1:5" x14ac:dyDescent="0.35">
      <c r="A81" s="3" t="s">
        <v>59</v>
      </c>
      <c r="B81" s="12"/>
      <c r="C81" s="12">
        <v>895</v>
      </c>
      <c r="D81" s="12">
        <v>-4774</v>
      </c>
      <c r="E81" s="12">
        <v>-215</v>
      </c>
    </row>
    <row r="82" spans="1:5" x14ac:dyDescent="0.35">
      <c r="A82" s="3" t="s">
        <v>60</v>
      </c>
      <c r="B82" s="12">
        <v>-2227</v>
      </c>
      <c r="C82" s="12">
        <v>111</v>
      </c>
      <c r="D82" s="12">
        <v>-147</v>
      </c>
      <c r="E82" s="12">
        <v>-97</v>
      </c>
    </row>
    <row r="83" spans="1:5" x14ac:dyDescent="0.35">
      <c r="A83" t="s">
        <v>61</v>
      </c>
      <c r="B83" s="12"/>
      <c r="C83" s="12"/>
      <c r="D83" s="12"/>
      <c r="E83" s="12"/>
    </row>
    <row r="84" spans="1:5" x14ac:dyDescent="0.35">
      <c r="A84" s="1" t="s">
        <v>28</v>
      </c>
      <c r="B84" s="12">
        <v>-1688</v>
      </c>
      <c r="C84" s="12">
        <v>-1823</v>
      </c>
      <c r="D84" s="12">
        <v>-10125</v>
      </c>
      <c r="E84" s="12">
        <v>6917</v>
      </c>
    </row>
    <row r="85" spans="1:5" x14ac:dyDescent="0.35">
      <c r="A85" s="1" t="s">
        <v>29</v>
      </c>
      <c r="B85" s="12">
        <v>-1618</v>
      </c>
      <c r="C85" s="12">
        <v>1484</v>
      </c>
      <c r="D85" s="12">
        <v>-2642</v>
      </c>
      <c r="E85" s="12">
        <v>-127</v>
      </c>
    </row>
    <row r="86" spans="1:5" x14ac:dyDescent="0.35">
      <c r="A86" s="1" t="s">
        <v>46</v>
      </c>
      <c r="B86" s="12">
        <v>1271</v>
      </c>
      <c r="C86" s="12">
        <v>-7520</v>
      </c>
      <c r="D86" s="12">
        <v>-3903</v>
      </c>
      <c r="E86" s="12">
        <v>1553</v>
      </c>
    </row>
    <row r="87" spans="1:5" x14ac:dyDescent="0.35">
      <c r="A87" s="1" t="s">
        <v>83</v>
      </c>
      <c r="B87" s="12">
        <v>-5684</v>
      </c>
      <c r="C87" s="12">
        <v>-6499</v>
      </c>
      <c r="D87" s="12">
        <v>-8042</v>
      </c>
      <c r="E87" s="12">
        <v>-9588</v>
      </c>
    </row>
    <row r="88" spans="1:5" x14ac:dyDescent="0.35">
      <c r="A88" s="1" t="s">
        <v>35</v>
      </c>
      <c r="B88" s="12">
        <v>-1889</v>
      </c>
      <c r="C88" s="12">
        <v>9448</v>
      </c>
      <c r="D88" s="12">
        <v>12326</v>
      </c>
      <c r="E88" s="12">
        <v>-4062</v>
      </c>
    </row>
    <row r="89" spans="1:5" x14ac:dyDescent="0.35">
      <c r="A89" s="1" t="s">
        <v>37</v>
      </c>
      <c r="B89" s="12"/>
      <c r="C89" s="12">
        <v>478</v>
      </c>
      <c r="D89" s="12">
        <v>1676</v>
      </c>
      <c r="E89" s="12">
        <v>2081</v>
      </c>
    </row>
    <row r="90" spans="1:5" x14ac:dyDescent="0.35">
      <c r="A90" s="1" t="s">
        <v>84</v>
      </c>
      <c r="B90" s="12">
        <v>3031</v>
      </c>
      <c r="C90" s="12">
        <v>5632</v>
      </c>
      <c r="D90" s="12">
        <v>5799</v>
      </c>
      <c r="E90" s="12">
        <v>8916</v>
      </c>
    </row>
    <row r="91" spans="1:5" x14ac:dyDescent="0.35">
      <c r="A91" s="8" t="s">
        <v>62</v>
      </c>
      <c r="B91" s="13">
        <f>+SUM(B76:B90)</f>
        <v>110543</v>
      </c>
      <c r="C91" s="13">
        <f>+SUM(C76:C90)</f>
        <v>122151</v>
      </c>
      <c r="D91" s="13">
        <f t="shared" ref="D91:E91" si="19">+SUM(D76:D90)</f>
        <v>104038</v>
      </c>
      <c r="E91" s="13">
        <f t="shared" si="19"/>
        <v>80674</v>
      </c>
    </row>
    <row r="92" spans="1:5" x14ac:dyDescent="0.35">
      <c r="A92" s="7" t="s">
        <v>63</v>
      </c>
      <c r="B92" s="12"/>
      <c r="C92" s="12"/>
      <c r="D92" s="12"/>
      <c r="E92" s="12"/>
    </row>
    <row r="93" spans="1:5" x14ac:dyDescent="0.35">
      <c r="A93" s="1" t="s">
        <v>64</v>
      </c>
      <c r="B93" s="12">
        <v>-29513</v>
      </c>
      <c r="C93" s="12">
        <v>-76923</v>
      </c>
      <c r="D93" s="12">
        <v>-109558</v>
      </c>
      <c r="E93" s="12">
        <v>-114938</v>
      </c>
    </row>
    <row r="94" spans="1:5" x14ac:dyDescent="0.35">
      <c r="A94" s="1" t="s">
        <v>65</v>
      </c>
      <c r="B94" s="12">
        <v>39686</v>
      </c>
      <c r="C94" s="12">
        <v>29917</v>
      </c>
      <c r="D94" s="12">
        <v>59023</v>
      </c>
      <c r="E94" s="12">
        <v>69918</v>
      </c>
    </row>
    <row r="95" spans="1:5" x14ac:dyDescent="0.35">
      <c r="A95" s="1" t="s">
        <v>66</v>
      </c>
      <c r="B95" s="12">
        <v>5828</v>
      </c>
      <c r="C95" s="12">
        <v>37446</v>
      </c>
      <c r="D95" s="12">
        <v>47460</v>
      </c>
      <c r="E95" s="12">
        <v>50473</v>
      </c>
    </row>
    <row r="96" spans="1:5" x14ac:dyDescent="0.35">
      <c r="A96" s="1" t="s">
        <v>67</v>
      </c>
      <c r="B96" s="12">
        <v>-10959</v>
      </c>
      <c r="C96" s="12">
        <v>-10708</v>
      </c>
      <c r="D96" s="12">
        <v>-11085</v>
      </c>
      <c r="E96" s="12">
        <v>-7309</v>
      </c>
    </row>
    <row r="97" spans="1:5" x14ac:dyDescent="0.35">
      <c r="A97" s="1" t="s">
        <v>68</v>
      </c>
      <c r="B97" s="12"/>
      <c r="C97" s="12">
        <v>-306</v>
      </c>
      <c r="D97" s="12">
        <v>-33</v>
      </c>
      <c r="E97" s="12">
        <v>-1524</v>
      </c>
    </row>
    <row r="98" spans="1:5" x14ac:dyDescent="0.35">
      <c r="A98" s="1" t="s">
        <v>60</v>
      </c>
      <c r="B98" s="12">
        <v>-1337</v>
      </c>
      <c r="C98" s="12">
        <v>-1780</v>
      </c>
      <c r="D98" s="12">
        <v>-352</v>
      </c>
      <c r="E98" s="12">
        <v>-909</v>
      </c>
    </row>
    <row r="99" spans="1:5" x14ac:dyDescent="0.35">
      <c r="A99" s="8" t="s">
        <v>69</v>
      </c>
      <c r="B99" s="13">
        <f>+SUM(B93:B98)</f>
        <v>3705</v>
      </c>
      <c r="C99" s="13">
        <f>+SUM(C93:C98)</f>
        <v>-22354</v>
      </c>
      <c r="D99" s="13">
        <f t="shared" ref="D99:E99" si="20">+SUM(D93:D98)</f>
        <v>-14545</v>
      </c>
      <c r="E99" s="13">
        <f t="shared" si="20"/>
        <v>-4289</v>
      </c>
    </row>
    <row r="100" spans="1:5" x14ac:dyDescent="0.35">
      <c r="A100" s="7" t="s">
        <v>70</v>
      </c>
      <c r="B100" s="12"/>
      <c r="C100" s="12"/>
      <c r="D100" s="12"/>
      <c r="E100" s="12"/>
    </row>
    <row r="101" spans="1:5" x14ac:dyDescent="0.35">
      <c r="A101" s="1" t="s">
        <v>85</v>
      </c>
      <c r="B101" s="12">
        <v>-5431</v>
      </c>
      <c r="C101" s="12">
        <v>-6223</v>
      </c>
      <c r="D101" s="12">
        <v>-6556</v>
      </c>
      <c r="E101" s="12">
        <v>-3634</v>
      </c>
    </row>
    <row r="102" spans="1:5" x14ac:dyDescent="0.35">
      <c r="A102" s="1" t="s">
        <v>71</v>
      </c>
      <c r="B102" s="12">
        <v>-15025</v>
      </c>
      <c r="C102" s="12">
        <v>-14841</v>
      </c>
      <c r="D102" s="12">
        <v>-14467</v>
      </c>
      <c r="E102" s="12">
        <v>-14081</v>
      </c>
    </row>
    <row r="103" spans="1:5" x14ac:dyDescent="0.35">
      <c r="A103" s="1" t="s">
        <v>72</v>
      </c>
      <c r="B103" s="12">
        <v>-77550</v>
      </c>
      <c r="C103" s="12">
        <v>-89402</v>
      </c>
      <c r="D103" s="12">
        <v>-85971</v>
      </c>
      <c r="E103" s="12">
        <v>-72358</v>
      </c>
    </row>
    <row r="104" spans="1:5" x14ac:dyDescent="0.35">
      <c r="A104" s="1" t="s">
        <v>73</v>
      </c>
      <c r="B104" s="12">
        <v>5228</v>
      </c>
      <c r="C104" s="12">
        <v>5465</v>
      </c>
      <c r="D104" s="12">
        <v>20393</v>
      </c>
      <c r="E104" s="12">
        <v>16091</v>
      </c>
    </row>
    <row r="105" spans="1:5" x14ac:dyDescent="0.35">
      <c r="A105" s="1" t="s">
        <v>74</v>
      </c>
      <c r="B105" s="12">
        <v>-11151</v>
      </c>
      <c r="C105" s="12">
        <v>-9543</v>
      </c>
      <c r="D105" s="12">
        <v>-8750</v>
      </c>
      <c r="E105" s="12">
        <v>-12629</v>
      </c>
    </row>
    <row r="106" spans="1:5" x14ac:dyDescent="0.35">
      <c r="A106" s="1" t="s">
        <v>75</v>
      </c>
      <c r="B106" s="12">
        <v>-3978</v>
      </c>
      <c r="C106" s="12">
        <v>3955</v>
      </c>
      <c r="D106" s="12">
        <v>1022</v>
      </c>
      <c r="E106" s="12">
        <v>-963</v>
      </c>
    </row>
    <row r="107" spans="1:5" x14ac:dyDescent="0.35">
      <c r="A107" s="1" t="s">
        <v>60</v>
      </c>
      <c r="B107" s="12">
        <v>-581</v>
      </c>
      <c r="C107" s="12">
        <v>-160</v>
      </c>
      <c r="D107" s="12">
        <v>976</v>
      </c>
      <c r="E107" s="12">
        <v>754</v>
      </c>
    </row>
    <row r="108" spans="1:5" x14ac:dyDescent="0.35">
      <c r="A108" s="8" t="s">
        <v>76</v>
      </c>
      <c r="B108" s="13">
        <f>+B101+B102+B103+B104+B105+B106+B107</f>
        <v>-108488</v>
      </c>
      <c r="C108" s="13">
        <f>+SUM(C101:C107)</f>
        <v>-110749</v>
      </c>
      <c r="D108" s="13">
        <f t="shared" ref="D108:E108" si="21">+SUM(D101:D107)</f>
        <v>-93353</v>
      </c>
      <c r="E108" s="13">
        <f t="shared" si="21"/>
        <v>-86820</v>
      </c>
    </row>
    <row r="109" spans="1:5" x14ac:dyDescent="0.35">
      <c r="A109" s="8" t="s">
        <v>77</v>
      </c>
      <c r="B109" s="13">
        <f>+B91+B99+B108</f>
        <v>5760</v>
      </c>
      <c r="C109" s="13">
        <f>+C91+C99+C108</f>
        <v>-10952</v>
      </c>
      <c r="D109" s="13">
        <f t="shared" ref="D109:E109" si="22">+D91+D99+D108</f>
        <v>-3860</v>
      </c>
      <c r="E109" s="13">
        <f t="shared" si="22"/>
        <v>-10435</v>
      </c>
    </row>
    <row r="110" spans="1:5" ht="15" thickBot="1" x14ac:dyDescent="0.4">
      <c r="A110" s="9" t="s">
        <v>78</v>
      </c>
      <c r="B110" s="13">
        <v>30737</v>
      </c>
      <c r="C110" s="14">
        <v>24977</v>
      </c>
      <c r="D110" s="14">
        <v>35929</v>
      </c>
      <c r="E110" s="14">
        <v>39789</v>
      </c>
    </row>
    <row r="111" spans="1:5" ht="15" thickTop="1" x14ac:dyDescent="0.35">
      <c r="B111" s="12"/>
      <c r="C111" s="12"/>
      <c r="D111" s="12"/>
      <c r="E111" s="12"/>
    </row>
    <row r="112" spans="1:5" x14ac:dyDescent="0.35">
      <c r="A112" t="s">
        <v>79</v>
      </c>
      <c r="B112" s="12"/>
      <c r="C112" s="12"/>
      <c r="D112" s="12"/>
      <c r="E112" s="12"/>
    </row>
    <row r="113" spans="1:5" x14ac:dyDescent="0.35">
      <c r="A113" t="s">
        <v>80</v>
      </c>
      <c r="B113" s="12">
        <v>18679</v>
      </c>
      <c r="C113" s="12">
        <v>19573</v>
      </c>
      <c r="D113" s="12">
        <v>25385</v>
      </c>
      <c r="E113" s="12">
        <v>9501</v>
      </c>
    </row>
    <row r="114" spans="1:5" x14ac:dyDescent="0.35">
      <c r="A114" t="s">
        <v>81</v>
      </c>
      <c r="B114" s="12">
        <v>3803</v>
      </c>
      <c r="C114" s="12">
        <v>2865</v>
      </c>
      <c r="D114" s="12">
        <v>2687</v>
      </c>
      <c r="E114" s="12">
        <v>3002</v>
      </c>
    </row>
  </sheetData>
  <mergeCells count="6">
    <mergeCell ref="C32:E32"/>
    <mergeCell ref="C72:E72"/>
    <mergeCell ref="A2:E2"/>
    <mergeCell ref="A31:E31"/>
    <mergeCell ref="A71:E71"/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abSelected="1" topLeftCell="A28" workbookViewId="0">
      <selection activeCell="C5" sqref="C5"/>
    </sheetView>
  </sheetViews>
  <sheetFormatPr defaultColWidth="8.81640625" defaultRowHeight="14.5" x14ac:dyDescent="0.35"/>
  <cols>
    <col min="1" max="1" width="4.54296875" customWidth="1"/>
    <col min="2" max="2" width="44.81640625" customWidth="1"/>
    <col min="3" max="3" width="16.54296875" customWidth="1"/>
    <col min="4" max="4" width="16.1796875" bestFit="1" customWidth="1"/>
    <col min="5" max="5" width="15.453125" customWidth="1"/>
    <col min="6" max="6" width="16.1796875" bestFit="1" customWidth="1"/>
  </cols>
  <sheetData>
    <row r="1" spans="1:8" ht="60" customHeight="1" x14ac:dyDescent="0.6">
      <c r="A1" s="6"/>
      <c r="B1" s="20" t="s">
        <v>0</v>
      </c>
      <c r="C1" s="20"/>
      <c r="D1" s="19"/>
      <c r="E1" s="19"/>
      <c r="F1" s="19"/>
      <c r="G1" s="19"/>
      <c r="H1" s="19"/>
    </row>
    <row r="2" spans="1:8" x14ac:dyDescent="0.35">
      <c r="C2" t="s">
        <v>157</v>
      </c>
      <c r="D2" s="7" t="s">
        <v>23</v>
      </c>
      <c r="E2" s="7"/>
      <c r="F2" s="7"/>
    </row>
    <row r="3" spans="1:8" x14ac:dyDescent="0.35">
      <c r="C3" s="7">
        <v>2023</v>
      </c>
      <c r="D3" s="7">
        <f>+'Financial Statements'!C4</f>
        <v>2022</v>
      </c>
      <c r="E3" s="7">
        <f>+'Financial Statements'!D4</f>
        <v>2021</v>
      </c>
      <c r="F3" s="7">
        <f>+'Financial Statements'!E4</f>
        <v>2020</v>
      </c>
    </row>
    <row r="4" spans="1:8" x14ac:dyDescent="0.35">
      <c r="A4" s="18">
        <v>1</v>
      </c>
      <c r="B4" s="7" t="s">
        <v>98</v>
      </c>
      <c r="C4" s="28"/>
    </row>
    <row r="5" spans="1:8" x14ac:dyDescent="0.35">
      <c r="A5" s="18">
        <f>+A4+0.1</f>
        <v>1.1000000000000001</v>
      </c>
      <c r="B5" s="1" t="s">
        <v>99</v>
      </c>
      <c r="C5" s="25">
        <f>'Financial Statements'!B42/'Financial Statements'!B56</f>
        <v>0.98801167175929749</v>
      </c>
      <c r="D5" s="25">
        <f>'Financial Statements'!C42/'Financial Statements'!C56</f>
        <v>0.87935602862672257</v>
      </c>
      <c r="E5" s="25">
        <f>'Financial Statements'!D42/'Financial Statements'!D56</f>
        <v>1.0745531195957954</v>
      </c>
      <c r="F5" s="25">
        <f>'Financial Statements'!E42/'Financial Statements'!E56</f>
        <v>1.3636044481554577</v>
      </c>
    </row>
    <row r="6" spans="1:8" x14ac:dyDescent="0.35">
      <c r="A6" s="18">
        <f t="shared" ref="A6:A13" si="0">+A5+0.1</f>
        <v>1.2000000000000002</v>
      </c>
      <c r="B6" s="1" t="s">
        <v>100</v>
      </c>
      <c r="C6" s="25">
        <f>('Financial Statements'!B42-'Financial Statements'!B39)/'Financial Statements'!B56</f>
        <v>0.94444215046659508</v>
      </c>
      <c r="D6" s="25">
        <f>('Financial Statements'!C42-'Financial Statements'!C39)/'Financial Statements'!C56</f>
        <v>0.84723539114961488</v>
      </c>
      <c r="E6" s="25">
        <f>('Financial Statements'!D42-'Financial Statements'!D39)/'Financial Statements'!D56</f>
        <v>1.0221149018576519</v>
      </c>
      <c r="F6" s="25">
        <f>('Financial Statements'!E42-'Financial Statements'!E39)/'Financial Statements'!E56</f>
        <v>1.325072111735236</v>
      </c>
    </row>
    <row r="7" spans="1:8" x14ac:dyDescent="0.35">
      <c r="A7" s="18">
        <f t="shared" si="0"/>
        <v>1.3000000000000003</v>
      </c>
      <c r="B7" s="1" t="s">
        <v>101</v>
      </c>
      <c r="C7" s="25">
        <f>'Financial Statements'!B36/'Financial Statements'!B56</f>
        <v>0.20621713876730807</v>
      </c>
      <c r="D7" s="25">
        <f>'Financial Statements'!C36/'Financial Statements'!C56</f>
        <v>0.15356340351469652</v>
      </c>
      <c r="E7" s="25">
        <f>'Financial Statements'!D36/'Financial Statements'!D56</f>
        <v>0.27844853005634318</v>
      </c>
      <c r="F7" s="25">
        <f>'Financial Statements'!E36/'Financial Statements'!E56</f>
        <v>0.36071049035979963</v>
      </c>
    </row>
    <row r="8" spans="1:8" x14ac:dyDescent="0.35">
      <c r="A8" s="18">
        <f t="shared" si="0"/>
        <v>1.4000000000000004</v>
      </c>
      <c r="B8" s="1" t="s">
        <v>102</v>
      </c>
      <c r="C8" s="25">
        <f>'Financial Statements'!B42/(('Financial Statements'!B17-'Financial Statements'!B79)/365)</f>
        <v>1209.4163127769571</v>
      </c>
      <c r="D8" s="25">
        <f>'Financial Statements'!C42/(('Financial Statements'!C17-'Financial Statements'!C79)/365)</f>
        <v>1228.1708953554833</v>
      </c>
      <c r="E8" s="25">
        <f>'Financial Statements'!D42/(('Financial Statements'!D17-'Financial Statements'!D79)/365)</f>
        <v>1509.5279575499187</v>
      </c>
      <c r="F8" s="25">
        <f>'Financial Statements'!E42/(('Financial Statements'!E17-'Financial Statements'!E79)/365)</f>
        <v>1899.7263870780819</v>
      </c>
      <c r="G8" s="26"/>
    </row>
    <row r="9" spans="1:8" x14ac:dyDescent="0.35">
      <c r="A9" s="18">
        <f t="shared" si="0"/>
        <v>1.5000000000000004</v>
      </c>
      <c r="B9" s="1" t="s">
        <v>103</v>
      </c>
      <c r="C9" s="25">
        <f>365/('Financial Statements'!B10/'Financial Statements'!B39)</f>
        <v>12.208318804746357</v>
      </c>
      <c r="D9" s="25">
        <f>365/('Financial Statements'!C10/'Financial Statements'!C39)</f>
        <v>8.9605451901266182</v>
      </c>
      <c r="E9" s="25">
        <f>365/('Financial Statements'!D10/'Financial Statements'!D39)</f>
        <v>12.491548167642746</v>
      </c>
      <c r="F9" s="25">
        <f>365/('Financial Statements'!E10/'Financial Statements'!E39)</f>
        <v>9.797767143027114</v>
      </c>
    </row>
    <row r="10" spans="1:8" x14ac:dyDescent="0.35">
      <c r="A10" s="18">
        <f t="shared" si="0"/>
        <v>1.6000000000000005</v>
      </c>
      <c r="B10" s="1" t="s">
        <v>104</v>
      </c>
      <c r="C10" s="25">
        <f>('Financial Statements'!B51*365)/'Financial Statements'!B12</f>
        <v>106.72146803214764</v>
      </c>
      <c r="D10" s="25">
        <f>('Financial Statements'!C51*365)/'Financial Statements'!C12</f>
        <v>104.68527730310539</v>
      </c>
      <c r="E10" s="25">
        <f>('Financial Statements'!D51*365)/'Financial Statements'!D12</f>
        <v>93.85107122231561</v>
      </c>
      <c r="F10" s="25">
        <f>('Financial Statements'!E51*365)/'Financial Statements'!E12</f>
        <v>91.048189715674184</v>
      </c>
    </row>
    <row r="11" spans="1:8" x14ac:dyDescent="0.35">
      <c r="A11" s="18">
        <f t="shared" si="0"/>
        <v>1.7000000000000006</v>
      </c>
      <c r="B11" s="1" t="s">
        <v>105</v>
      </c>
      <c r="C11" s="25">
        <f>('Financial Statements'!B38/'Financial Statements'!B8)*365</f>
        <v>28.100290906244702</v>
      </c>
      <c r="D11" s="25">
        <f>('Financial Statements'!C38/'Financial Statements'!C8)*365</f>
        <v>26.087825363656648</v>
      </c>
      <c r="E11" s="25">
        <f>('Financial Statements'!D38/'Financial Statements'!D8)*365</f>
        <v>26.219311841713207</v>
      </c>
      <c r="F11" s="25">
        <f>('Financial Statements'!E38/'Financial Statements'!E8)*365</f>
        <v>21.433437152796749</v>
      </c>
    </row>
    <row r="12" spans="1:8" x14ac:dyDescent="0.35">
      <c r="A12" s="18">
        <f t="shared" si="0"/>
        <v>1.8000000000000007</v>
      </c>
      <c r="B12" s="1" t="s">
        <v>106</v>
      </c>
      <c r="C12" s="25">
        <f>365*('Financial Statements'!B39/'Financial Statements'!B12)+C11-C10</f>
        <v>-67.829884635581323</v>
      </c>
      <c r="D12" s="25">
        <f>365*('Financial Statements'!C39/'Financial Statements'!C12)+D11-D10</f>
        <v>-70.521753872831582</v>
      </c>
      <c r="E12" s="25">
        <f>365*('Financial Statements'!D39/'Financial Statements'!D12)+E11-E10</f>
        <v>-56.355166632892512</v>
      </c>
      <c r="F12" s="25"/>
    </row>
    <row r="13" spans="1:8" x14ac:dyDescent="0.35">
      <c r="A13" s="18">
        <f t="shared" si="0"/>
        <v>1.9000000000000008</v>
      </c>
      <c r="B13" s="1" t="s">
        <v>107</v>
      </c>
      <c r="C13" s="25">
        <f>(C14/'Financial Statements'!B8)*100</f>
        <v>-0.45449208813285152</v>
      </c>
      <c r="D13" s="25">
        <f>(D14/'Financial Statements'!C8)*100</f>
        <v>-4.7110527276784806</v>
      </c>
      <c r="E13" s="25">
        <f>(E14/'Financial Statements'!D8)*100</f>
        <v>2.5572895737486232</v>
      </c>
      <c r="F13" s="25">
        <f>(F14/'Financial Statements'!E8)*100</f>
        <v>13.959528623208204</v>
      </c>
    </row>
    <row r="14" spans="1:8" x14ac:dyDescent="0.35">
      <c r="A14" s="18"/>
      <c r="B14" s="3" t="s">
        <v>108</v>
      </c>
      <c r="C14" s="12">
        <f>'Financial Statements'!B42-'Financial Statements'!B56</f>
        <v>-1742</v>
      </c>
      <c r="D14" s="12">
        <f>'Financial Statements'!C42-'Financial Statements'!C56</f>
        <v>-18577</v>
      </c>
      <c r="E14" s="12">
        <f>'Financial Statements'!D42-'Financial Statements'!D56</f>
        <v>9355</v>
      </c>
      <c r="F14" s="12">
        <f>'Financial Statements'!E42-'Financial Statements'!E56</f>
        <v>38321</v>
      </c>
    </row>
    <row r="15" spans="1:8" x14ac:dyDescent="0.35">
      <c r="A15" s="18"/>
      <c r="C15" s="29"/>
    </row>
    <row r="16" spans="1:8" x14ac:dyDescent="0.35">
      <c r="A16" s="18">
        <f>+A4+1</f>
        <v>2</v>
      </c>
      <c r="B16" s="17" t="s">
        <v>109</v>
      </c>
      <c r="C16" s="28"/>
    </row>
    <row r="17" spans="1:7" x14ac:dyDescent="0.35">
      <c r="A17" s="18">
        <f>+A16+0.1</f>
        <v>2.1</v>
      </c>
      <c r="B17" s="1" t="s">
        <v>9</v>
      </c>
      <c r="C17" s="42">
        <f>('Financial Statements'!B8-'Financial Statements'!B12)/'Financial Statements'!B8</f>
        <v>0.44131129577207562</v>
      </c>
      <c r="D17" s="25">
        <f>('Financial Statements'!C8-'Financial Statements'!C12)/'Financial Statements'!C8</f>
        <v>0.43309630561360085</v>
      </c>
      <c r="E17" s="25">
        <f>('Financial Statements'!D8-'Financial Statements'!D12)/'Financial Statements'!D8</f>
        <v>0.41779359625167778</v>
      </c>
      <c r="F17" s="25">
        <f>('Financial Statements'!E8-'Financial Statements'!E12)/'Financial Statements'!E8</f>
        <v>0.38233247727810865</v>
      </c>
    </row>
    <row r="18" spans="1:7" x14ac:dyDescent="0.35">
      <c r="A18" s="18">
        <f>+A17+0.1</f>
        <v>2.2000000000000002</v>
      </c>
      <c r="B18" s="1" t="s">
        <v>110</v>
      </c>
      <c r="C18" s="42">
        <f>C19/'Financial Statements'!B8</f>
        <v>0.32826747720364741</v>
      </c>
      <c r="D18" s="25">
        <f>D19/'Financial Statements'!C8</f>
        <v>0.3310467428130896</v>
      </c>
      <c r="E18" s="25">
        <f>E19/'Financial Statements'!D8</f>
        <v>0.32866979938056462</v>
      </c>
      <c r="F18" s="25">
        <f>F19/'Financial Statements'!E8</f>
        <v>0.2817478097736007</v>
      </c>
    </row>
    <row r="19" spans="1:7" x14ac:dyDescent="0.35">
      <c r="A19" s="18"/>
      <c r="B19" s="3" t="s">
        <v>111</v>
      </c>
      <c r="C19" s="43">
        <f>'Financial Statements'!B18+'Financial Statements'!B79</f>
        <v>125820</v>
      </c>
      <c r="D19" s="43">
        <f>'Financial Statements'!C18+'Financial Statements'!C79</f>
        <v>130541</v>
      </c>
      <c r="E19" s="43">
        <f>'Financial Statements'!D18+'Financial Statements'!D79</f>
        <v>120233</v>
      </c>
      <c r="F19" s="43">
        <f>'Financial Statements'!E18+'Financial Statements'!E79</f>
        <v>77344</v>
      </c>
    </row>
    <row r="20" spans="1:7" x14ac:dyDescent="0.35">
      <c r="A20" s="18">
        <f>+A18+0.1</f>
        <v>2.3000000000000003</v>
      </c>
      <c r="B20" s="1" t="s">
        <v>112</v>
      </c>
      <c r="C20" s="42">
        <f>C21/'Financial Statements'!B8</f>
        <v>0.29821412265024722</v>
      </c>
      <c r="D20" s="25">
        <f>D21/'Financial Statements'!C8</f>
        <v>0.30288744395528594</v>
      </c>
      <c r="E20" s="25">
        <f>E21/'Financial Statements'!D8</f>
        <v>0.29782377527561593</v>
      </c>
      <c r="F20" s="25">
        <f>F21/'Financial Statements'!E8</f>
        <v>0.24147314354406862</v>
      </c>
    </row>
    <row r="21" spans="1:7" x14ac:dyDescent="0.35">
      <c r="A21" s="18"/>
      <c r="B21" s="3" t="s">
        <v>113</v>
      </c>
      <c r="C21" s="43">
        <f>'Financial Statements'!B8-'Financial Statements'!B12-'Financial Statements'!B17</f>
        <v>114301</v>
      </c>
      <c r="D21" s="43">
        <f>'Financial Statements'!C8-'Financial Statements'!C12-'Financial Statements'!C17</f>
        <v>119437</v>
      </c>
      <c r="E21" s="43">
        <f>'Financial Statements'!D8-'Financial Statements'!D12-'Financial Statements'!D17</f>
        <v>108949</v>
      </c>
      <c r="F21" s="43">
        <f>'Financial Statements'!E8-'Financial Statements'!E12-'Financial Statements'!E17</f>
        <v>66288</v>
      </c>
    </row>
    <row r="22" spans="1:7" x14ac:dyDescent="0.35">
      <c r="A22" s="18">
        <f>+A20+0.1</f>
        <v>2.4000000000000004</v>
      </c>
      <c r="B22" s="1" t="s">
        <v>114</v>
      </c>
      <c r="C22" s="42">
        <f>'Financial Statements'!B22/'Financial Statements'!B8</f>
        <v>0.25306234264320282</v>
      </c>
      <c r="D22" s="25">
        <f>'Financial Statements'!C22/'Financial Statements'!C8</f>
        <v>0.25309640705199732</v>
      </c>
      <c r="E22" s="25">
        <f>'Financial Statements'!D22/'Financial Statements'!D8</f>
        <v>0.25881793355694238</v>
      </c>
      <c r="F22" s="25">
        <f>'Financial Statements'!E22/'Financial Statements'!E8</f>
        <v>0.20913611278072236</v>
      </c>
    </row>
    <row r="23" spans="1:7" x14ac:dyDescent="0.35">
      <c r="A23" s="18"/>
      <c r="C23" s="29"/>
    </row>
    <row r="24" spans="1:7" x14ac:dyDescent="0.35">
      <c r="A24" s="18">
        <f>+A16+1</f>
        <v>3</v>
      </c>
      <c r="B24" s="7" t="s">
        <v>115</v>
      </c>
      <c r="C24" s="28"/>
    </row>
    <row r="25" spans="1:7" x14ac:dyDescent="0.35">
      <c r="A25" s="18">
        <f>+A24+0.1</f>
        <v>3.1</v>
      </c>
      <c r="B25" s="1" t="s">
        <v>116</v>
      </c>
      <c r="C25" s="44">
        <f>'Financial Statements'!B59/'Financial Statements'!B68</f>
        <v>1.5331799311299199</v>
      </c>
      <c r="D25" s="25">
        <f>'Financial Statements'!C59/'Financial Statements'!C68</f>
        <v>1.9529325860435744</v>
      </c>
      <c r="E25" s="25">
        <f>'Financial Statements'!D59/'Financial Statements'!D68</f>
        <v>1.729370740212395</v>
      </c>
      <c r="F25" s="25">
        <f>'Financial Statements'!E59/'Financial Statements'!E68</f>
        <v>1.5100782075024104</v>
      </c>
    </row>
    <row r="26" spans="1:7" x14ac:dyDescent="0.35">
      <c r="A26" s="18">
        <f t="shared" ref="A26:A30" si="1">+A25+0.1</f>
        <v>3.2</v>
      </c>
      <c r="B26" s="1" t="s">
        <v>117</v>
      </c>
      <c r="C26" s="44">
        <f>'Financial Statements'!B59/'Financial Statements'!B48</f>
        <v>0.27023707892893306</v>
      </c>
      <c r="D26" s="44">
        <f>'Financial Statements'!C59/'Financial Statements'!C48</f>
        <v>0.28053181386514719</v>
      </c>
      <c r="E26" s="44">
        <f>'Financial Statements'!D59/'Financial Statements'!D48</f>
        <v>0.31084153366647482</v>
      </c>
      <c r="F26" s="44">
        <f>'Financial Statements'!E59/'Financial Statements'!E48</f>
        <v>0.30463308304105124</v>
      </c>
      <c r="G26" s="26"/>
    </row>
    <row r="27" spans="1:7" x14ac:dyDescent="0.35">
      <c r="A27" s="18">
        <f t="shared" si="1"/>
        <v>3.3000000000000003</v>
      </c>
      <c r="B27" s="1" t="s">
        <v>118</v>
      </c>
      <c r="C27" s="44">
        <f>'Financial Statements'!B59/('Financial Statements'!B59+'Financial Statements'!B68)</f>
        <v>0.60523925374935683</v>
      </c>
      <c r="D27" s="44">
        <f>'Financial Statements'!C59/('Financial Statements'!C59+'Financial Statements'!C68)</f>
        <v>0.66135359651409131</v>
      </c>
      <c r="E27" s="44">
        <f>'Financial Statements'!D59/('Financial Statements'!D59+'Financial Statements'!D68)</f>
        <v>0.63361518269878514</v>
      </c>
      <c r="F27" s="44">
        <f>'Financial Statements'!E59/('Financial Statements'!E59+'Financial Statements'!E68)</f>
        <v>0.60160603880345842</v>
      </c>
      <c r="G27" s="26"/>
    </row>
    <row r="28" spans="1:7" x14ac:dyDescent="0.35">
      <c r="A28" s="18">
        <f t="shared" si="1"/>
        <v>3.4000000000000004</v>
      </c>
      <c r="B28" s="1" t="s">
        <v>119</v>
      </c>
      <c r="C28" s="44">
        <f>C21/'Financial Statements'!B114</f>
        <v>30.05548251380489</v>
      </c>
      <c r="D28" s="25">
        <f>D21/'Financial Statements'!C114</f>
        <v>41.68830715532286</v>
      </c>
      <c r="E28" s="25">
        <f>E21/'Financial Statements'!D114</f>
        <v>40.546706363974693</v>
      </c>
      <c r="F28" s="25">
        <f>F21/'Financial Statements'!E114</f>
        <v>22.081279147235175</v>
      </c>
    </row>
    <row r="29" spans="1:7" x14ac:dyDescent="0.35">
      <c r="A29" s="18">
        <f t="shared" si="1"/>
        <v>3.5000000000000004</v>
      </c>
      <c r="B29" s="1" t="s">
        <v>120</v>
      </c>
      <c r="C29" s="44">
        <f>C21/('Financial Statements'!B114-'Financial Statements'!B105)</f>
        <v>7.64350675404574</v>
      </c>
      <c r="D29" s="44">
        <f>D21/('Financial Statements'!C114-'Financial Statements'!C105)</f>
        <v>9.6258059316569948</v>
      </c>
      <c r="E29" s="44">
        <f>E21/('Financial Statements'!D114-'Financial Statements'!D105)</f>
        <v>9.5260120661012504</v>
      </c>
      <c r="F29" s="44">
        <f>F21/('Financial Statements'!E114-'Financial Statements'!E105)</f>
        <v>4.2408035314439259</v>
      </c>
      <c r="G29" s="26"/>
    </row>
    <row r="30" spans="1:7" x14ac:dyDescent="0.35">
      <c r="A30" s="18">
        <f t="shared" si="1"/>
        <v>3.6000000000000005</v>
      </c>
      <c r="B30" s="1" t="s">
        <v>121</v>
      </c>
      <c r="C30" s="44">
        <f>C31/('Financial Statements'!B27/1000)</f>
        <v>6.9244410857538865</v>
      </c>
      <c r="D30" s="44">
        <f>D31/('Financial Statements'!C27/1000)</f>
        <v>5.8172308360595055</v>
      </c>
      <c r="E30" s="44">
        <f>E31/('Financial Statements'!D27/1000)</f>
        <v>4.1374094140853463</v>
      </c>
      <c r="F30" s="44">
        <f>F31/('Financial Statements'!E27/1000)</f>
        <v>3.4747341232503075</v>
      </c>
      <c r="G30" s="26"/>
    </row>
    <row r="31" spans="1:7" x14ac:dyDescent="0.35">
      <c r="A31" s="18"/>
      <c r="B31" s="3" t="s">
        <v>122</v>
      </c>
      <c r="C31" s="47">
        <f>'Financial Statements'!B91+'Financial Statements'!B99-'Financial Statements'!B104</f>
        <v>109020</v>
      </c>
      <c r="D31" s="12">
        <f>'Financial Statements'!C91+'Financial Statements'!C99-'Financial Statements'!C104</f>
        <v>94332</v>
      </c>
      <c r="E31" s="12">
        <f>'Financial Statements'!D91+'Financial Statements'!D99-'Financial Statements'!D104</f>
        <v>69100</v>
      </c>
      <c r="F31" s="12">
        <f>'Financial Statements'!E91+'Financial Statements'!E99-'Financial Statements'!E104</f>
        <v>60294</v>
      </c>
    </row>
    <row r="32" spans="1:7" x14ac:dyDescent="0.35">
      <c r="A32" s="18"/>
    </row>
    <row r="33" spans="1:7" x14ac:dyDescent="0.35">
      <c r="A33" s="18">
        <f>+A24+1</f>
        <v>4</v>
      </c>
      <c r="B33" s="17" t="s">
        <v>123</v>
      </c>
      <c r="C33" s="28"/>
    </row>
    <row r="34" spans="1:7" x14ac:dyDescent="0.35">
      <c r="A34" s="18">
        <f>+A33+0.1</f>
        <v>4.0999999999999996</v>
      </c>
      <c r="B34" s="1" t="s">
        <v>124</v>
      </c>
      <c r="C34" s="33">
        <f>'Financial Statements'!B8/(('Financial Statements'!B42+'Financial Statements'!C42)/2)</f>
        <v>2.7478483426592728</v>
      </c>
      <c r="D34" s="25">
        <f>'Financial Statements'!C8/(('Financial Statements'!C42+'Financial Statements'!D42)/2)</f>
        <v>2.918343256574687</v>
      </c>
      <c r="E34" s="25">
        <f>'Financial Statements'!D8/(('Financial Statements'!D42+'Financial Statements'!E42)/2)</f>
        <v>2.6265899357025155</v>
      </c>
      <c r="F34" s="25"/>
    </row>
    <row r="35" spans="1:7" x14ac:dyDescent="0.35">
      <c r="A35" s="18">
        <f t="shared" ref="A35:A37" si="2">+A34+0.1</f>
        <v>4.1999999999999993</v>
      </c>
      <c r="B35" s="1" t="s">
        <v>125</v>
      </c>
      <c r="C35" s="33">
        <f>'Financial Statements'!B8/(('Financial Statements'!B45+'Financial Statements'!C45)/2)</f>
        <v>8.9310513561375711</v>
      </c>
      <c r="D35" s="25">
        <f>'Financial Statements'!C8/(('Financial Statements'!C45+'Financial Statements'!D45)/2)</f>
        <v>9.6699976703409884</v>
      </c>
      <c r="E35" s="25">
        <f>'Financial Statements'!D8/(('Financial Statements'!D45+'Financial Statements'!E45)/2)</f>
        <v>9.6007400992047867</v>
      </c>
      <c r="F35" s="25"/>
    </row>
    <row r="36" spans="1:7" x14ac:dyDescent="0.35">
      <c r="A36" s="18">
        <f t="shared" si="2"/>
        <v>4.2999999999999989</v>
      </c>
      <c r="B36" s="1" t="s">
        <v>126</v>
      </c>
      <c r="C36" s="33">
        <f>'Financial Statements'!B10/(('Financial Statements'!B39+'Financial Statements'!C39)/2)</f>
        <v>33.569566374035645</v>
      </c>
      <c r="D36" s="25">
        <f>'Financial Statements'!C10/(('Financial Statements'!C39+'Financial Statements'!D39)/2)</f>
        <v>34.959396147839669</v>
      </c>
      <c r="E36" s="25">
        <f>'Financial Statements'!D10/(('Financial Statements'!D39+'Financial Statements'!E39)/2)</f>
        <v>36.136829245371679</v>
      </c>
      <c r="F36" s="25"/>
    </row>
    <row r="37" spans="1:7" x14ac:dyDescent="0.35">
      <c r="A37" s="18">
        <f t="shared" si="2"/>
        <v>4.3999999999999986</v>
      </c>
      <c r="B37" s="1" t="s">
        <v>127</v>
      </c>
      <c r="C37" s="33">
        <f>'Financial Statements'!B22/'Financial Statements'!B48</f>
        <v>0.27509834563776475</v>
      </c>
      <c r="D37" s="25">
        <f>'Financial Statements'!C22/'Financial Statements'!C48</f>
        <v>0.28292440929256851</v>
      </c>
      <c r="E37" s="25">
        <f>'Financial Statements'!D22/'Financial Statements'!D48</f>
        <v>0.26974205275183616</v>
      </c>
      <c r="F37" s="25">
        <f>'Financial Statements'!E22/'Financial Statements'!E48</f>
        <v>0.1772557180259843</v>
      </c>
    </row>
    <row r="38" spans="1:7" x14ac:dyDescent="0.35">
      <c r="A38" s="18"/>
      <c r="C38" s="29"/>
    </row>
    <row r="39" spans="1:7" x14ac:dyDescent="0.35">
      <c r="A39" s="18">
        <f>+A33+1</f>
        <v>5</v>
      </c>
      <c r="B39" s="17" t="s">
        <v>128</v>
      </c>
      <c r="C39" s="28"/>
    </row>
    <row r="40" spans="1:7" x14ac:dyDescent="0.35">
      <c r="A40" s="18">
        <f>+A39+0.1</f>
        <v>5.0999999999999996</v>
      </c>
      <c r="B40" s="1" t="s">
        <v>129</v>
      </c>
      <c r="C40" s="44">
        <f>193.2/'Financial Statements'!B25</f>
        <v>31.517128874388252</v>
      </c>
      <c r="D40" s="25">
        <f>138.2/'Financial Statements'!C25</f>
        <v>22.618657937806869</v>
      </c>
      <c r="E40" s="25">
        <f>141.5/'Financial Statements'!D25</f>
        <v>25.222816399286987</v>
      </c>
      <c r="F40" s="25">
        <f>115.81/'Financial Statements'!E25</f>
        <v>35.307926829268297</v>
      </c>
    </row>
    <row r="41" spans="1:7" x14ac:dyDescent="0.35">
      <c r="A41" s="18">
        <f t="shared" ref="A41:A44" si="3">+A40+0.1</f>
        <v>5.1999999999999993</v>
      </c>
      <c r="B41" s="3" t="s">
        <v>130</v>
      </c>
      <c r="C41" s="44">
        <f>'Financial Statements'!B25</f>
        <v>6.13</v>
      </c>
      <c r="D41" s="44">
        <f>'Financial Statements'!C25</f>
        <v>6.11</v>
      </c>
      <c r="E41" s="44">
        <f>'Financial Statements'!D25</f>
        <v>5.61</v>
      </c>
      <c r="F41" s="44">
        <f>'Financial Statements'!E25</f>
        <v>3.28</v>
      </c>
      <c r="G41" s="26"/>
    </row>
    <row r="42" spans="1:7" x14ac:dyDescent="0.35">
      <c r="A42" s="18">
        <f t="shared" si="3"/>
        <v>5.2999999999999989</v>
      </c>
      <c r="B42" s="1" t="s">
        <v>131</v>
      </c>
      <c r="C42" s="44">
        <f>193.2/C43</f>
        <v>49.158177202072537</v>
      </c>
      <c r="D42" s="25">
        <f>138.2/D43</f>
        <v>44.526132495263653</v>
      </c>
      <c r="E42" s="25">
        <f>141.5/E43</f>
        <v>37.82510760025361</v>
      </c>
      <c r="F42" s="25">
        <f>115.81/F43</f>
        <v>31.067853247524447</v>
      </c>
    </row>
    <row r="43" spans="1:7" x14ac:dyDescent="0.35">
      <c r="A43" s="18">
        <f t="shared" si="3"/>
        <v>5.3999999999999986</v>
      </c>
      <c r="B43" s="3" t="s">
        <v>132</v>
      </c>
      <c r="C43" s="44">
        <f>(('Financial Statements'!B48-'Financial Statements'!B62)*1000)/'Financial Statements'!B28</f>
        <v>3.9301701364112942</v>
      </c>
      <c r="D43" s="25">
        <f>(('Financial Statements'!C48-'Financial Statements'!C62)*1000)/'Financial Statements'!C28</f>
        <v>3.1037952827971447</v>
      </c>
      <c r="E43" s="25">
        <f>(('Financial Statements'!D48-'Financial Statements'!D62)*1000)/'Financial Statements'!D28</f>
        <v>3.740901453484597</v>
      </c>
      <c r="F43" s="25">
        <f>(('Financial Statements'!E48-'Financial Statements'!E62)*1000)/'Financial Statements'!E28</f>
        <v>3.7276473233382479</v>
      </c>
      <c r="G43" s="26"/>
    </row>
    <row r="44" spans="1:7" x14ac:dyDescent="0.35">
      <c r="A44" s="18">
        <f t="shared" si="3"/>
        <v>5.4999999999999982</v>
      </c>
      <c r="B44" s="1" t="s">
        <v>133</v>
      </c>
      <c r="C44" s="44">
        <f>'Financial Statements'!B102/'Financial Statements'!B22</f>
        <v>-0.1549048920047425</v>
      </c>
      <c r="D44" s="25">
        <f>D45/'Financial Statements'!C25</f>
        <v>0.14878083013397297</v>
      </c>
      <c r="E44" s="25">
        <f>E45/'Financial Statements'!D25</f>
        <v>0.15290840583271573</v>
      </c>
      <c r="F44" s="25"/>
    </row>
    <row r="45" spans="1:7" x14ac:dyDescent="0.35">
      <c r="A45" s="18"/>
      <c r="B45" s="3" t="s">
        <v>134</v>
      </c>
      <c r="C45" s="44">
        <f>-'Financial Statements'!B102/('Financial Statements'!B28/1000)</f>
        <v>0.95019480416406032</v>
      </c>
      <c r="D45" s="44">
        <f>-'Financial Statements'!C102/('Financial Statements'!C28/1000)</f>
        <v>0.90905087211857494</v>
      </c>
      <c r="E45" s="44">
        <f>-'Financial Statements'!D102/('Financial Statements'!D28/1000)</f>
        <v>0.85781615672153533</v>
      </c>
      <c r="F45" s="44">
        <f>-'Financial Statements'!E102/('Financial Statements'!E28/1000)</f>
        <v>0.80333341434558025</v>
      </c>
      <c r="G45" s="26"/>
    </row>
    <row r="46" spans="1:7" x14ac:dyDescent="0.35">
      <c r="A46" s="18">
        <f>+A44+0.1</f>
        <v>5.5999999999999979</v>
      </c>
      <c r="B46" s="1" t="s">
        <v>135</v>
      </c>
      <c r="C46" s="45">
        <f>C45/193.2</f>
        <v>4.9181925681369585E-3</v>
      </c>
      <c r="D46" s="25">
        <f>D45/138.2</f>
        <v>6.5777921282096597E-3</v>
      </c>
      <c r="E46" s="25">
        <f>E45/141.5</f>
        <v>6.0623049944984828E-3</v>
      </c>
      <c r="F46" s="25"/>
    </row>
    <row r="47" spans="1:7" x14ac:dyDescent="0.35">
      <c r="A47" s="18">
        <f t="shared" ref="A47:A50" si="4">+A45+0.1</f>
        <v>0.1</v>
      </c>
      <c r="B47" s="1" t="s">
        <v>136</v>
      </c>
      <c r="C47" s="44">
        <f>'Financial Statements'!B22/'Financial Statements'!B68</f>
        <v>1.5607601454639075</v>
      </c>
      <c r="D47" s="25">
        <f>'Financial Statements'!C22/'Financial Statements'!C68</f>
        <v>1.9695887275023682</v>
      </c>
      <c r="E47" s="25">
        <f>'Financial Statements'!D22/'Financial Statements'!D68</f>
        <v>1.5007132667617689</v>
      </c>
      <c r="F47" s="25">
        <f>'Financial Statements'!E22/'Financial Statements'!E68</f>
        <v>0.87866358530127486</v>
      </c>
    </row>
    <row r="48" spans="1:7" x14ac:dyDescent="0.35">
      <c r="A48" s="18">
        <f t="shared" si="4"/>
        <v>5.6999999999999975</v>
      </c>
      <c r="B48" s="1" t="s">
        <v>137</v>
      </c>
      <c r="C48" s="44">
        <f>C21/('Financial Statements'!B59+'Financial Statements'!B55+'Financial Statements'!B68)</f>
        <v>0.68341813702921994</v>
      </c>
      <c r="D48" s="44">
        <f>D21/('Financial Statements'!C59+'Financial Statements'!C55+'Financial Statements'!C68)</f>
        <v>0.74295684845016452</v>
      </c>
      <c r="E48" s="44">
        <f>E21/('Financial Statements'!D59+'Financial Statements'!D55+'Financial Statements'!D68)</f>
        <v>0.59924976211298675</v>
      </c>
      <c r="F48" s="44">
        <f>F21/('Financial Statements'!E59+'Financial Statements'!E55+'Financial Statements'!E68)</f>
        <v>0.38365773618321669</v>
      </c>
      <c r="G48" s="26"/>
    </row>
    <row r="49" spans="1:7" x14ac:dyDescent="0.35">
      <c r="A49" s="18">
        <f t="shared" si="4"/>
        <v>0.2</v>
      </c>
      <c r="B49" s="1" t="s">
        <v>127</v>
      </c>
      <c r="C49" s="44">
        <f>'Financial Statements'!B22/'Financial Statements'!B48</f>
        <v>0.27509834563776475</v>
      </c>
      <c r="D49" s="25">
        <f>'Financial Statements'!C22/'Financial Statements'!C48</f>
        <v>0.28292440929256851</v>
      </c>
      <c r="E49" s="25">
        <f>'Financial Statements'!D22/'Financial Statements'!D48</f>
        <v>0.26974205275183616</v>
      </c>
      <c r="F49" s="25">
        <f>'Financial Statements'!E22/'Financial Statements'!E48</f>
        <v>0.1772557180259843</v>
      </c>
    </row>
    <row r="50" spans="1:7" x14ac:dyDescent="0.35">
      <c r="A50" s="18">
        <f t="shared" si="4"/>
        <v>5.7999999999999972</v>
      </c>
      <c r="B50" s="1" t="s">
        <v>138</v>
      </c>
      <c r="C50" s="46">
        <f t="shared" ref="C50" si="5">C51/C19</f>
        <v>2.5641233508186296</v>
      </c>
      <c r="D50" s="25">
        <f t="shared" ref="D50:E50" si="6">D51/D19</f>
        <v>2.5211159712274305</v>
      </c>
      <c r="E50" s="25">
        <f t="shared" si="6"/>
        <v>2.6287458518044131</v>
      </c>
      <c r="F50" s="25">
        <f>F51/F19</f>
        <v>3.6961108812577574</v>
      </c>
    </row>
    <row r="51" spans="1:7" x14ac:dyDescent="0.35">
      <c r="A51" s="18"/>
      <c r="B51" s="3" t="s">
        <v>139</v>
      </c>
      <c r="C51" s="25">
        <f>'Financial Statements'!B69-'Financial Statements'!B36</f>
        <v>322618</v>
      </c>
      <c r="D51" s="25">
        <f>'Financial Statements'!C69-'Financial Statements'!C36</f>
        <v>329109</v>
      </c>
      <c r="E51" s="25">
        <f>'Financial Statements'!D69-'Financial Statements'!D36</f>
        <v>316062</v>
      </c>
      <c r="F51" s="25">
        <f>'Financial Statements'!E69-'Financial Statements'!E36</f>
        <v>285872</v>
      </c>
      <c r="G51" s="26"/>
    </row>
    <row r="52" spans="1:7" x14ac:dyDescent="0.35">
      <c r="C52" s="2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workbookViewId="0">
      <selection activeCell="F18" sqref="F18"/>
    </sheetView>
  </sheetViews>
  <sheetFormatPr defaultColWidth="8.81640625" defaultRowHeight="14.5" x14ac:dyDescent="0.35"/>
  <cols>
    <col min="1" max="1" width="4.81640625" customWidth="1"/>
    <col min="2" max="2" width="35" customWidth="1"/>
    <col min="3" max="3" width="21.26953125" customWidth="1"/>
    <col min="4" max="4" width="21.453125" customWidth="1"/>
    <col min="5" max="5" width="16.54296875" customWidth="1"/>
    <col min="6" max="6" width="15.453125" customWidth="1"/>
  </cols>
  <sheetData>
    <row r="1" spans="1:11" ht="54.65" customHeight="1" x14ac:dyDescent="0.6">
      <c r="A1" s="6"/>
      <c r="B1" s="51" t="s">
        <v>0</v>
      </c>
      <c r="C1" s="51"/>
      <c r="D1" s="51"/>
      <c r="E1" s="51"/>
      <c r="F1" s="51"/>
      <c r="G1" s="51"/>
      <c r="H1" s="51"/>
      <c r="I1" s="51"/>
      <c r="J1" s="19"/>
      <c r="K1" s="19"/>
    </row>
    <row r="2" spans="1:11" x14ac:dyDescent="0.35">
      <c r="E2" s="7" t="s">
        <v>23</v>
      </c>
      <c r="F2" s="7"/>
    </row>
    <row r="3" spans="1:11" x14ac:dyDescent="0.35">
      <c r="C3" s="35">
        <v>2023</v>
      </c>
      <c r="D3" s="35">
        <v>2022</v>
      </c>
      <c r="E3" s="35">
        <v>2021</v>
      </c>
      <c r="F3" s="35">
        <v>2020</v>
      </c>
    </row>
    <row r="4" spans="1:11" x14ac:dyDescent="0.35">
      <c r="A4">
        <v>1</v>
      </c>
      <c r="B4" s="7" t="s">
        <v>150</v>
      </c>
      <c r="C4" s="40"/>
      <c r="D4" s="35"/>
      <c r="E4" s="35"/>
      <c r="F4" s="35"/>
    </row>
    <row r="5" spans="1:11" x14ac:dyDescent="0.35">
      <c r="A5">
        <v>1.1000000000000001</v>
      </c>
      <c r="B5" t="s">
        <v>4</v>
      </c>
      <c r="C5" s="37">
        <f>(('Financial Statements'!B6-'Financial Statements'!C6)/'Financial Statements'!C6)</f>
        <v>-5.728670868661824E-2</v>
      </c>
      <c r="D5" s="37">
        <f>('Financial Statements'!C6-'Financial Statements'!D6)/'Financial Statements'!D6</f>
        <v>6.3239764351428418E-2</v>
      </c>
      <c r="E5" s="37">
        <f>('Financial Statements'!D6-'Financial Statements'!E6)/'Financial Statements'!E6</f>
        <v>0.34720743656765435</v>
      </c>
      <c r="F5" s="40"/>
    </row>
    <row r="6" spans="1:11" x14ac:dyDescent="0.35">
      <c r="A6">
        <v>1.2</v>
      </c>
      <c r="B6" t="s">
        <v>5</v>
      </c>
      <c r="C6" s="37">
        <f>(('Financial Statements'!B7-'Financial Statements'!C7)/'Financial Statements'!C7)</f>
        <v>9.0504166186691243E-2</v>
      </c>
      <c r="D6" s="37">
        <f>('Financial Statements'!C7-'Financial Statements'!D7)/'Financial Statements'!D7</f>
        <v>0.14181951041286078</v>
      </c>
      <c r="E6" s="37">
        <f>('Financial Statements'!D7-'Financial Statements'!E7)/'Financial Statements'!E7</f>
        <v>0.27259708376729652</v>
      </c>
      <c r="F6" s="40"/>
    </row>
    <row r="7" spans="1:11" x14ac:dyDescent="0.35">
      <c r="A7">
        <v>1.3</v>
      </c>
      <c r="B7" s="7" t="s">
        <v>149</v>
      </c>
      <c r="C7" s="37">
        <f>(('Financial Statements'!B8-'Financial Statements'!C8)/'Financial Statements'!C8)</f>
        <v>-2.8004605303199367E-2</v>
      </c>
      <c r="D7" s="37">
        <f>('Financial Statements'!C8-'Financial Statements'!D8)/'Financial Statements'!D8</f>
        <v>7.7937876041846058E-2</v>
      </c>
      <c r="E7" s="37">
        <f>('Financial Statements'!D8-'Financial Statements'!E8)/'Financial Statements'!E8</f>
        <v>0.33259384733074693</v>
      </c>
      <c r="F7" s="40"/>
    </row>
    <row r="8" spans="1:11" x14ac:dyDescent="0.35">
      <c r="C8" s="37"/>
      <c r="D8" s="41"/>
      <c r="E8" s="41"/>
      <c r="F8" s="40"/>
    </row>
    <row r="9" spans="1:11" x14ac:dyDescent="0.35">
      <c r="A9">
        <v>2</v>
      </c>
      <c r="B9" s="7" t="s">
        <v>151</v>
      </c>
      <c r="C9" s="37">
        <f>(('Financial Statements'!B13-'Financial Statements'!C13)/'Financial Statements'!C13)</f>
        <v>-9.5677530418896602E-3</v>
      </c>
      <c r="D9" s="37">
        <f>(('Financial Statements'!C13-'Financial Statements'!D13)/'Financial Statements'!D13)</f>
        <v>0.11741997958596143</v>
      </c>
      <c r="E9" s="37">
        <f>(('Financial Statements'!D13-'Financial Statements'!E13)/'Financial Statements'!E13)</f>
        <v>0.45619116582186819</v>
      </c>
      <c r="F9" s="40"/>
    </row>
    <row r="10" spans="1:11" x14ac:dyDescent="0.35">
      <c r="F10" s="36"/>
    </row>
    <row r="11" spans="1:11" x14ac:dyDescent="0.35">
      <c r="C11" s="36"/>
      <c r="D11" s="40"/>
      <c r="E11" s="40"/>
      <c r="F11" s="40"/>
    </row>
    <row r="12" spans="1:11" x14ac:dyDescent="0.35">
      <c r="A12">
        <v>3</v>
      </c>
      <c r="B12" s="7" t="s">
        <v>152</v>
      </c>
      <c r="C12" s="36"/>
      <c r="D12" s="35"/>
      <c r="E12" s="40"/>
      <c r="F12" s="40"/>
    </row>
    <row r="13" spans="1:11" x14ac:dyDescent="0.35">
      <c r="A13">
        <v>3.1</v>
      </c>
      <c r="B13" t="s">
        <v>11</v>
      </c>
      <c r="C13" s="37">
        <f>(('Financial Statements'!B15-'Financial Statements'!C15)/'Financial Statements'!C15)</f>
        <v>0.13957563521389663</v>
      </c>
      <c r="D13" s="37">
        <f>(('Financial Statements'!C15-'Financial Statements'!D15)/'Financial Statements'!D15)</f>
        <v>0.19791001186456147</v>
      </c>
      <c r="E13" s="37">
        <f>(('Financial Statements'!D15-'Financial Statements'!E15)/'Financial Statements'!E15)</f>
        <v>0.16862201365187712</v>
      </c>
      <c r="F13" s="36"/>
    </row>
    <row r="14" spans="1:11" x14ac:dyDescent="0.35">
      <c r="A14">
        <v>3.2</v>
      </c>
      <c r="B14" t="s">
        <v>12</v>
      </c>
      <c r="C14" s="37">
        <f>(('Financial Statements'!B16-'Financial Statements'!C16)/'Financial Statements'!C16)</f>
        <v>-6.4557264684785209E-3</v>
      </c>
      <c r="D14" s="37">
        <f>(('Financial Statements'!C16-'Financial Statements'!D16)/'Financial Statements'!D16)</f>
        <v>0.14203795567287125</v>
      </c>
      <c r="E14" s="37">
        <f>(('Financial Statements'!D16-'Financial Statements'!E16)/'Financial Statements'!E16)</f>
        <v>0.10328379192608958</v>
      </c>
      <c r="F14" s="36"/>
    </row>
    <row r="15" spans="1:11" x14ac:dyDescent="0.35">
      <c r="A15">
        <v>3.3</v>
      </c>
      <c r="B15" t="s">
        <v>13</v>
      </c>
      <c r="C15" s="37">
        <f>(('Financial Statements'!B17-'Financial Statements'!C17)/'Financial Statements'!C17)</f>
        <v>6.8205278021228943E-2</v>
      </c>
      <c r="D15" s="37">
        <f>(('Financial Statements'!C17-'Financial Statements'!D17)/'Financial Statements'!D17)</f>
        <v>0.16993642764372138</v>
      </c>
      <c r="E15" s="37">
        <f>(('Financial Statements'!D17-'Financial Statements'!E17)/'Financial Statements'!E17)</f>
        <v>0.13496948381090307</v>
      </c>
      <c r="F15" s="36"/>
    </row>
    <row r="16" spans="1:11" x14ac:dyDescent="0.35">
      <c r="C16" s="36"/>
      <c r="D16" s="40"/>
      <c r="E16" s="40"/>
      <c r="F16" s="40"/>
    </row>
    <row r="17" spans="1:6" x14ac:dyDescent="0.35">
      <c r="A17">
        <v>4</v>
      </c>
      <c r="B17" s="7" t="s">
        <v>153</v>
      </c>
      <c r="C17" s="36"/>
      <c r="D17" s="35"/>
      <c r="E17" s="40"/>
      <c r="F17" s="40"/>
    </row>
    <row r="18" spans="1:6" x14ac:dyDescent="0.35">
      <c r="B18" t="s">
        <v>31</v>
      </c>
      <c r="C18" s="37">
        <f>(('Financial Statements'!B42-'Financial Statements'!C42)/'Financial Statements'!C42)</f>
        <v>6.0271038735644919E-2</v>
      </c>
      <c r="D18" s="37">
        <f>(('Financial Statements'!C42-'Financial Statements'!D42)/'Financial Statements'!D42)</f>
        <v>4.2199412619775131E-3</v>
      </c>
      <c r="E18" s="37">
        <f>(('Financial Statements'!D42-'Financial Statements'!E42)/'Financial Statements'!E42)</f>
        <v>-6.176894226687913E-2</v>
      </c>
      <c r="F18" s="40"/>
    </row>
    <row r="19" spans="1:6" x14ac:dyDescent="0.35">
      <c r="B19" t="s">
        <v>49</v>
      </c>
      <c r="C19" s="37">
        <f>(('Financial Statements'!B47-'Financial Statements'!C47)/'Financial Statements'!C47)</f>
        <v>-3.8339084426040948E-2</v>
      </c>
      <c r="D19" s="37">
        <f>(('Financial Statements'!C47-'Financial Statements'!D47)/'Financial Statements'!D47)</f>
        <v>5.4772720964443994E-3</v>
      </c>
      <c r="E19" s="37">
        <f>(('Financial Statements'!D47-'Financial Statements'!E47)/'Financial Statements'!E47)</f>
        <v>0.19975579297904814</v>
      </c>
      <c r="F19" s="40"/>
    </row>
    <row r="20" spans="1:6" x14ac:dyDescent="0.35">
      <c r="B20" t="s">
        <v>33</v>
      </c>
      <c r="C20" s="37">
        <f>(('Financial Statements'!B48-'Financial Statements'!C48)/'Financial Statements'!C48)</f>
        <v>-4.8759053734178114E-4</v>
      </c>
      <c r="D20" s="37">
        <f>(('Financial Statements'!C48-'Financial Statements'!D48)/'Financial Statements'!D48)</f>
        <v>4.9942735369029236E-3</v>
      </c>
      <c r="E20" s="37">
        <f>(('Financial Statements'!D48-'Financial Statements'!E48)/'Financial Statements'!E48)</f>
        <v>8.3714123400681711E-2</v>
      </c>
      <c r="F20" s="40"/>
    </row>
    <row r="21" spans="1:6" x14ac:dyDescent="0.35">
      <c r="B21" t="s">
        <v>40</v>
      </c>
      <c r="C21" s="37">
        <f>(('Financial Statements'!B56-'Financial Statements'!C56)/'Financial Statements'!C56)</f>
        <v>-5.6331259497863384E-2</v>
      </c>
      <c r="D21" s="37">
        <f>(('Financial Statements'!C56-'Financial Statements'!D56)/'Financial Statements'!D56)</f>
        <v>0.22713398841258836</v>
      </c>
      <c r="E21" s="37">
        <f>(('Financial Statements'!D56-'Financial Statements'!E56)/'Financial Statements'!E56)</f>
        <v>0.19061219067860938</v>
      </c>
      <c r="F21" s="40"/>
    </row>
    <row r="22" spans="1:6" x14ac:dyDescent="0.35">
      <c r="B22" t="s">
        <v>52</v>
      </c>
      <c r="C22" s="37">
        <f>(('Financial Statements'!B61-'Financial Statements'!C61)/'Financial Statements'!C61)</f>
        <v>-2.0067386445736357E-2</v>
      </c>
      <c r="D22" s="37">
        <f>(('Financial Statements'!C61-'Financial Statements'!D61)/'Financial Statements'!D61)</f>
        <v>-8.8222075835277747E-2</v>
      </c>
      <c r="E22" s="37">
        <f>(('Financial Statements'!D61-'Financial Statements'!E61)/'Financial Statements'!E61)</f>
        <v>6.0552243775994566E-2</v>
      </c>
      <c r="F22" s="40"/>
    </row>
    <row r="23" spans="1:6" x14ac:dyDescent="0.35">
      <c r="B23" t="s">
        <v>41</v>
      </c>
      <c r="C23" s="37">
        <f>(('Financial Statements'!B62-'Financial Statements'!C62)/'Financial Statements'!C62)</f>
        <v>-3.8552318402558239E-2</v>
      </c>
      <c r="D23" s="37">
        <f>(('Financial Statements'!C62-'Financial Statements'!D62)/'Financial Statements'!D62)</f>
        <v>4.9219900525160468E-2</v>
      </c>
      <c r="E23" s="37">
        <f>(('Financial Statements'!D62-'Financial Statements'!E62)/'Financial Statements'!E62)</f>
        <v>0.11356841449783213</v>
      </c>
      <c r="F23" s="40"/>
    </row>
    <row r="24" spans="1:6" x14ac:dyDescent="0.35">
      <c r="B24" t="s">
        <v>44</v>
      </c>
      <c r="C24" s="37">
        <f>(('Financial Statements'!B68-'Financial Statements'!C68)/'Financial Statements'!C68)</f>
        <v>0.22643669087464477</v>
      </c>
      <c r="D24" s="37">
        <f>(('Financial Statements'!C68-'Financial Statements'!D68)/'Financial Statements'!D68)</f>
        <v>-0.19682992550324932</v>
      </c>
      <c r="E24" s="37">
        <f>(('Financial Statements'!D68-'Financial Statements'!E68)/'Financial Statements'!E68)</f>
        <v>-3.4420483937617659E-2</v>
      </c>
      <c r="F24" s="40"/>
    </row>
    <row r="25" spans="1:6" x14ac:dyDescent="0.35">
      <c r="B25" t="s">
        <v>45</v>
      </c>
      <c r="C25" s="37">
        <f>(('Financial Statements'!B69-'Financial Statements'!C69)/'Financial Statements'!C69)</f>
        <v>-4.8759053734178114E-4</v>
      </c>
      <c r="D25" s="37">
        <f>(('Financial Statements'!C69-'Financial Statements'!D69)/'Financial Statements'!D69)</f>
        <v>4.9942735369029236E-3</v>
      </c>
      <c r="E25" s="37">
        <f>(('Financial Statements'!D69-'Financial Statements'!E69)/'Financial Statements'!E69)</f>
        <v>8.3714123400681711E-2</v>
      </c>
      <c r="F25" s="40"/>
    </row>
    <row r="26" spans="1:6" x14ac:dyDescent="0.35">
      <c r="C26" s="36"/>
      <c r="D26" s="40"/>
      <c r="E26" s="40"/>
      <c r="F26" s="40"/>
    </row>
    <row r="27" spans="1:6" x14ac:dyDescent="0.35">
      <c r="A27">
        <v>5</v>
      </c>
      <c r="B27" s="7" t="s">
        <v>154</v>
      </c>
      <c r="C27" s="36"/>
      <c r="D27" s="35"/>
      <c r="E27" s="40"/>
      <c r="F27" s="40"/>
    </row>
    <row r="28" spans="1:6" x14ac:dyDescent="0.35">
      <c r="A28">
        <v>5.0999999999999996</v>
      </c>
      <c r="B28" s="1" t="s">
        <v>145</v>
      </c>
      <c r="C28" s="37">
        <f>('Financial Statements'!B12/'Financial Statements'!B8)</f>
        <v>0.55868870422792438</v>
      </c>
      <c r="D28" s="37">
        <f>('Financial Statements'!C12/'Financial Statements'!C8)</f>
        <v>0.56690369438639909</v>
      </c>
      <c r="E28" s="37">
        <f>('Financial Statements'!D12/'Financial Statements'!D8)</f>
        <v>0.58220640374832222</v>
      </c>
      <c r="F28" s="37">
        <f>('Financial Statements'!E12/'Financial Statements'!E8)</f>
        <v>0.61766752272189129</v>
      </c>
    </row>
    <row r="29" spans="1:6" x14ac:dyDescent="0.35">
      <c r="A29">
        <v>5.2</v>
      </c>
      <c r="B29" s="1" t="s">
        <v>88</v>
      </c>
      <c r="C29" s="37">
        <f>'Financial Statements'!B13/'Financial Statements'!B8</f>
        <v>0.44131129577207562</v>
      </c>
      <c r="D29" s="37">
        <f>'Financial Statements'!C13/'Financial Statements'!C8</f>
        <v>0.43309630561360085</v>
      </c>
      <c r="E29" s="37">
        <f>'Financial Statements'!D13/'Financial Statements'!D8</f>
        <v>0.41779359625167778</v>
      </c>
      <c r="F29" s="37">
        <f>'Financial Statements'!E13/'Financial Statements'!E8</f>
        <v>0.38233247727810865</v>
      </c>
    </row>
    <row r="30" spans="1:6" x14ac:dyDescent="0.35">
      <c r="A30">
        <v>5.3</v>
      </c>
      <c r="B30" t="s">
        <v>11</v>
      </c>
      <c r="C30" s="37">
        <f>'Financial Statements'!B15/'Financial Statements'!B8</f>
        <v>7.8048971392045086E-2</v>
      </c>
      <c r="D30" s="37">
        <f>'Financial Statements'!C15/'Financial Statements'!C8</f>
        <v>6.657148363798665E-2</v>
      </c>
      <c r="E30" s="37">
        <f>'Financial Statements'!D15/'Financial Statements'!D8</f>
        <v>5.9904269074427925E-2</v>
      </c>
      <c r="F30" s="37">
        <f>'Financial Statements'!E15/'Financial Statements'!E8</f>
        <v>6.8309564140393061E-2</v>
      </c>
    </row>
    <row r="31" spans="1:6" x14ac:dyDescent="0.35">
      <c r="A31">
        <v>5.4</v>
      </c>
      <c r="B31" t="s">
        <v>12</v>
      </c>
      <c r="C31" s="37">
        <f>'Financial Statements'!B16/'Financial Statements'!B8</f>
        <v>6.5048201729783317E-2</v>
      </c>
      <c r="D31" s="37">
        <f>'Financial Statements'!C16/'Financial Statements'!C8</f>
        <v>6.3637378020328261E-2</v>
      </c>
      <c r="E31" s="37">
        <f>'Financial Statements'!D16/'Financial Statements'!D8</f>
        <v>6.006555190163388E-2</v>
      </c>
      <c r="F31" s="37">
        <f>'Financial Statements'!E16/'Financial Statements'!E8</f>
        <v>7.2549769593646979E-2</v>
      </c>
    </row>
    <row r="32" spans="1:6" x14ac:dyDescent="0.35">
      <c r="A32">
        <v>5.5</v>
      </c>
      <c r="B32" t="s">
        <v>13</v>
      </c>
      <c r="C32" s="37">
        <f>'Financial Statements'!B17/'Financial Statements'!B8</f>
        <v>0.1430971731218284</v>
      </c>
      <c r="D32" s="37">
        <f>'Financial Statements'!C17/'Financial Statements'!C8</f>
        <v>0.13020886165831491</v>
      </c>
      <c r="E32" s="37">
        <f>'Financial Statements'!D17/'Financial Statements'!D8</f>
        <v>0.11996982097606181</v>
      </c>
      <c r="F32" s="37">
        <f>'Financial Statements'!E17/'Financial Statements'!E8</f>
        <v>0.14085933373404003</v>
      </c>
    </row>
    <row r="33" spans="1:6" x14ac:dyDescent="0.35">
      <c r="A33">
        <v>5.6</v>
      </c>
      <c r="B33" s="1" t="s">
        <v>14</v>
      </c>
      <c r="C33" s="37">
        <f>'Financial Statements'!B18/'Financial Statements'!B8</f>
        <v>0.29821412265024722</v>
      </c>
      <c r="D33" s="37">
        <f>'Financial Statements'!C18/'Financial Statements'!C8</f>
        <v>0.30288744395528594</v>
      </c>
      <c r="E33" s="37">
        <f>'Financial Statements'!D18/'Financial Statements'!D8</f>
        <v>0.29782377527561593</v>
      </c>
      <c r="F33" s="37">
        <f>'Financial Statements'!E18/'Financial Statements'!E8</f>
        <v>0.24147314354406862</v>
      </c>
    </row>
    <row r="34" spans="1:6" x14ac:dyDescent="0.35">
      <c r="A34">
        <v>5.7</v>
      </c>
      <c r="B34" s="1" t="s">
        <v>92</v>
      </c>
      <c r="C34" s="37">
        <f>'Financial Statements'!B22/'Financial Statements'!B8</f>
        <v>0.25306234264320282</v>
      </c>
      <c r="D34" s="37">
        <f>'Financial Statements'!C22/'Financial Statements'!C8</f>
        <v>0.25309640705199732</v>
      </c>
      <c r="E34" s="37">
        <f>'Financial Statements'!D22/'Financial Statements'!D8</f>
        <v>0.25881793355694238</v>
      </c>
      <c r="F34" s="37">
        <f>'Financial Statements'!E22/'Financial Statements'!E8</f>
        <v>0.20913611278072236</v>
      </c>
    </row>
    <row r="35" spans="1:6" x14ac:dyDescent="0.35">
      <c r="C35" s="40"/>
      <c r="D35" s="40"/>
      <c r="E35" s="40"/>
      <c r="F35" s="40"/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"/>
  <sheetViews>
    <sheetView workbookViewId="0">
      <selection activeCell="F6" sqref="F6"/>
    </sheetView>
  </sheetViews>
  <sheetFormatPr defaultColWidth="8.81640625" defaultRowHeight="14.5" x14ac:dyDescent="0.35"/>
  <cols>
    <col min="1" max="1" width="4.81640625" customWidth="1"/>
    <col min="2" max="2" width="33.453125" customWidth="1"/>
    <col min="3" max="3" width="18.1796875" customWidth="1"/>
    <col min="4" max="4" width="17.1796875" customWidth="1"/>
    <col min="5" max="5" width="14.1796875" customWidth="1"/>
    <col min="6" max="6" width="12.453125" customWidth="1"/>
    <col min="7" max="7" width="93.54296875" style="26" hidden="1" customWidth="1"/>
  </cols>
  <sheetData>
    <row r="1" spans="1:16" ht="52.75" customHeight="1" x14ac:dyDescent="0.6">
      <c r="A1" s="52" t="s">
        <v>0</v>
      </c>
      <c r="B1" s="52"/>
      <c r="C1" s="52"/>
      <c r="D1" s="52"/>
      <c r="E1" s="52"/>
      <c r="F1" s="52"/>
      <c r="G1" s="31"/>
      <c r="N1" s="30"/>
      <c r="O1" s="30"/>
      <c r="P1" s="30"/>
    </row>
    <row r="2" spans="1:16" x14ac:dyDescent="0.35">
      <c r="C2" s="48" t="s">
        <v>23</v>
      </c>
      <c r="D2" s="48"/>
      <c r="E2" s="48"/>
      <c r="F2" s="48"/>
    </row>
    <row r="3" spans="1:16" x14ac:dyDescent="0.35">
      <c r="C3" s="35">
        <v>2023</v>
      </c>
      <c r="D3" s="35">
        <f>'Financial Statements'!C4</f>
        <v>2022</v>
      </c>
      <c r="E3" s="35">
        <f>+'Financial Statements'!D4</f>
        <v>2021</v>
      </c>
      <c r="F3" s="35">
        <f>+'Financial Statements'!E4</f>
        <v>2020</v>
      </c>
    </row>
    <row r="4" spans="1:16" x14ac:dyDescent="0.35">
      <c r="C4" s="40"/>
      <c r="D4" s="40"/>
      <c r="E4" s="40"/>
      <c r="F4" s="40"/>
    </row>
    <row r="5" spans="1:16" x14ac:dyDescent="0.35">
      <c r="A5">
        <v>1</v>
      </c>
      <c r="B5" s="1" t="s">
        <v>93</v>
      </c>
      <c r="C5" s="36">
        <f>'Financial Statements'!B21/'Financial Statements'!B22</f>
        <v>0.1725965255941028</v>
      </c>
      <c r="D5" s="36">
        <f>'Financial Statements'!C21/'Financial Statements'!C22</f>
        <v>0.19338096049216957</v>
      </c>
      <c r="E5" s="36">
        <f>('Financial Statements'!D21/'Financial Statements'!D22)</f>
        <v>0.15343261512463033</v>
      </c>
      <c r="F5" s="36">
        <f>('Financial Statements'!E21/'Financial Statements'!E22)</f>
        <v>0.16860880319102611</v>
      </c>
      <c r="G5" s="26" t="s">
        <v>155</v>
      </c>
    </row>
    <row r="6" spans="1:16" x14ac:dyDescent="0.35">
      <c r="A6">
        <v>2</v>
      </c>
      <c r="B6" s="1" t="s">
        <v>94</v>
      </c>
      <c r="C6" s="36">
        <f>(('Financial Statements'!B45-'Financial Statements'!C45+'Financial Statements'!B79)/'Financial Statements'!B8)</f>
        <v>3.422257589000352E-2</v>
      </c>
      <c r="D6" s="36">
        <f>(('Financial Statements'!C45-'Financial Statements'!D45+'Financial Statements'!C79)/'Financial Statements'!C8)</f>
        <v>3.4948063541011543E-2</v>
      </c>
      <c r="E6" s="36">
        <f>(('Financial Statements'!D45-'Financial Statements'!E45+'Financial Statements'!D79)/'Financial Statements'!D8)</f>
        <v>3.8155689866791319E-2</v>
      </c>
      <c r="F6" s="36">
        <f>(('Financial Statements'!E45-'Financial Statements'!F45+'Financial Statements'!E79)/'Financial Statements'!E8)</f>
        <v>0.17420541682603866</v>
      </c>
      <c r="G6" s="26" t="s">
        <v>156</v>
      </c>
    </row>
    <row r="7" spans="1:16" x14ac:dyDescent="0.35">
      <c r="A7">
        <v>3</v>
      </c>
      <c r="B7" s="1" t="s">
        <v>95</v>
      </c>
      <c r="C7" s="36">
        <f>(('Financial Statements'!B45-'Financial Statements'!C45+'Financial Statements'!B79)/'Financial Statements'!B45)</f>
        <v>0.30005718860802927</v>
      </c>
      <c r="D7" s="36">
        <f>(('Financial Statements'!C45-'Financial Statements'!D45+'Financial Statements'!C79)/'Financial Statements'!C45)</f>
        <v>0.32720754089797471</v>
      </c>
      <c r="E7" s="36">
        <f>(('Financial Statements'!D45-'Financial Statements'!E45+'Financial Statements'!D79)/'Financial Statements'!D45)</f>
        <v>0.35390466531440162</v>
      </c>
      <c r="F7" s="36">
        <f>(('Financial Statements'!E45-'Financial Statements'!F45+'Financial Statements'!E79)/'Financial Statements'!E45)</f>
        <v>1.3007126149159549</v>
      </c>
      <c r="G7" s="26" t="s">
        <v>156</v>
      </c>
    </row>
  </sheetData>
  <mergeCells count="2">
    <mergeCell ref="C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Growth Rates</vt:lpstr>
      <vt:lpstr>Additional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baldip kaur</cp:lastModifiedBy>
  <dcterms:created xsi:type="dcterms:W3CDTF">2020-05-18T16:32:37Z</dcterms:created>
  <dcterms:modified xsi:type="dcterms:W3CDTF">2024-02-29T18:05:08Z</dcterms:modified>
</cp:coreProperties>
</file>