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yn\Downloads\"/>
    </mc:Choice>
  </mc:AlternateContent>
  <xr:revisionPtr revIDLastSave="0" documentId="8_{22FEB8CE-C65D-442E-B84A-97BC509FF5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" l="1"/>
  <c r="D51" i="3"/>
  <c r="C51" i="3"/>
  <c r="D47" i="3"/>
  <c r="C47" i="3"/>
  <c r="D43" i="3"/>
  <c r="D42" i="3" s="1"/>
  <c r="C43" i="3"/>
  <c r="C42" i="3" s="1"/>
  <c r="D41" i="3"/>
  <c r="C41" i="3"/>
  <c r="D40" i="3"/>
  <c r="C40" i="3"/>
  <c r="D37" i="3"/>
  <c r="D49" i="3" s="1"/>
  <c r="C37" i="3"/>
  <c r="C49" i="3" s="1"/>
  <c r="D36" i="3"/>
  <c r="C36" i="3"/>
  <c r="D35" i="3"/>
  <c r="C35" i="3"/>
  <c r="D34" i="3"/>
  <c r="C34" i="3"/>
  <c r="D31" i="3"/>
  <c r="D30" i="3" s="1"/>
  <c r="C31" i="3"/>
  <c r="C30" i="3" s="1"/>
  <c r="D27" i="3"/>
  <c r="C27" i="3"/>
  <c r="D26" i="3"/>
  <c r="C26" i="3"/>
  <c r="D25" i="3"/>
  <c r="C25" i="3"/>
  <c r="D22" i="3"/>
  <c r="C22" i="3"/>
  <c r="D21" i="3"/>
  <c r="D48" i="3" s="1"/>
  <c r="C21" i="3"/>
  <c r="C48" i="3" s="1"/>
  <c r="D19" i="3"/>
  <c r="C19" i="3"/>
  <c r="C17" i="3"/>
  <c r="D17" i="3"/>
  <c r="D13" i="3"/>
  <c r="C13" i="3"/>
  <c r="D11" i="3"/>
  <c r="C11" i="3"/>
  <c r="D10" i="3"/>
  <c r="C10" i="3"/>
  <c r="D9" i="3"/>
  <c r="D12" i="3" s="1"/>
  <c r="C9" i="3"/>
  <c r="C12" i="3" s="1"/>
  <c r="D8" i="3"/>
  <c r="C8" i="3"/>
  <c r="D6" i="3"/>
  <c r="C6" i="3"/>
  <c r="D7" i="3"/>
  <c r="C7" i="3"/>
  <c r="D5" i="3"/>
  <c r="C5" i="3"/>
  <c r="C106" i="2"/>
  <c r="B106" i="2"/>
  <c r="C97" i="2"/>
  <c r="B97" i="2"/>
  <c r="C89" i="2"/>
  <c r="C107" i="2" s="1"/>
  <c r="B89" i="2"/>
  <c r="B107" i="2" s="1"/>
  <c r="C68" i="2"/>
  <c r="B68" i="2"/>
  <c r="C59" i="2"/>
  <c r="B59" i="2"/>
  <c r="C54" i="2"/>
  <c r="C60" i="2" s="1"/>
  <c r="C69" i="2" s="1"/>
  <c r="B54" i="2"/>
  <c r="B60" i="2" s="1"/>
  <c r="B69" i="2" s="1"/>
  <c r="C47" i="2"/>
  <c r="B47" i="2"/>
  <c r="C41" i="2"/>
  <c r="C48" i="2" s="1"/>
  <c r="B41" i="2"/>
  <c r="B48" i="2" s="1"/>
  <c r="C18" i="3" l="1"/>
  <c r="C50" i="3"/>
  <c r="D18" i="3"/>
  <c r="D50" i="3"/>
  <c r="C29" i="3"/>
  <c r="C28" i="3"/>
  <c r="C20" i="3"/>
  <c r="D29" i="3"/>
  <c r="D28" i="3"/>
  <c r="D20" i="3"/>
  <c r="C18" i="2" l="1"/>
  <c r="B18" i="2"/>
  <c r="B9" i="2"/>
  <c r="B11" i="2" s="1"/>
  <c r="B19" i="2" s="1"/>
  <c r="B21" i="2" s="1"/>
  <c r="B23" i="2" s="1"/>
  <c r="C9" i="2"/>
  <c r="C11" i="2" s="1"/>
  <c r="C19" i="2" s="1"/>
  <c r="C21" i="2" s="1"/>
  <c r="C23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<sst xmlns="http://schemas.openxmlformats.org/spreadsheetml/2006/main" count="166" uniqueCount="155">
  <si>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</si>
  <si>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</si>
  <si>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</si>
  <si>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</si>
  <si>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</si>
  <si>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</si>
  <si>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</si>
  <si>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</si>
  <si>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</si>
  <si>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</si>
  <si>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</si>
  <si>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</si>
  <si>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</si>
  <si>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</si>
  <si>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</si>
  <si>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</si>
  <si>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</si>
  <si>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</si>
  <si>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</si>
  <si>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</si>
  <si>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</si>
  <si>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</si>
  <si>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</si>
  <si>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</si>
  <si>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</si>
  <si>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</si>
  <si>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</si>
  <si>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</si>
  <si>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</si>
  <si>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</si>
  <si>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</si>
  <si>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</si>
  <si>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</si>
  <si>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</si>
  <si>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</si>
  <si>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</si>
  <si>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</si>
  <si>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</si>
  <si>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</si>
  <si>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</si>
  <si>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</si>
  <si>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</si>
  <si>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</si>
  <si>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</si>
  <si>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</si>
  <si>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</si>
  <si>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</si>
  <si>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</si>
  <si>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</si>
  <si>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</si>
  <si>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</si>
  <si>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</si>
  <si>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</si>
  <si>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</si>
  <si>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</si>
  <si>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</si>
  <si>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</si>
  <si>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</si>
  <si>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</si>
  <si>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</si>
  <si>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</si>
  <si>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</si>
  <si>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</si>
  <si>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Total net sales</t>
  </si>
  <si>
    <t>Total cost of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</si>
  <si>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</si>
  <si>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</si>
  <si>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</si>
  <si>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</si>
  <si>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</si>
  <si>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</si>
  <si>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</si>
  <si>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</si>
  <si>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</si>
  <si>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</si>
  <si>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</si>
  <si>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</si>
  <si>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</si>
  <si>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</si>
  <si>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</si>
  <si>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</si>
  <si>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</si>
  <si>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</si>
  <si>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</si>
  <si>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</si>
  <si>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</si>
  <si>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</si>
  <si>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</si>
  <si>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</si>
  <si>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</si>
  <si>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</si>
  <si>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</si>
  <si>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</si>
  <si>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</si>
  <si>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</si>
  <si>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</si>
  <si>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</si>
  <si>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</si>
  <si>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</si>
  <si>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</si>
  <si>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</si>
  <si>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</si>
  <si>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</si>
  <si>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</si>
  <si>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</si>
  <si>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</si>
  <si>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</si>
  <si>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</si>
  <si>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</si>
  <si>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</si>
  <si>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</si>
  <si>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</si>
  <si>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</si>
  <si>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</si>
  <si>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</si>
  <si>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</si>
  <si>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</si>
  <si>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North America</t>
  </si>
  <si>
    <t>International</t>
  </si>
  <si>
    <t>AWS</t>
  </si>
  <si>
    <t>Years ended December 31st</t>
  </si>
  <si>
    <t>Fulfillment</t>
  </si>
  <si>
    <t>Technology and content</t>
  </si>
  <si>
    <t>Sales and marketing</t>
  </si>
  <si>
    <t>General and administrative</t>
  </si>
  <si>
    <t>Other operating expense (income), net</t>
  </si>
  <si>
    <t>As at December</t>
  </si>
  <si>
    <t>Operating leases</t>
  </si>
  <si>
    <t>Goodwill</t>
  </si>
  <si>
    <t>Long-term lease liabilities</t>
  </si>
  <si>
    <t>Long-term debt</t>
  </si>
  <si>
    <t>Other long-term liabilities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</si>
  <si>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</si>
  <si>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</si>
  <si>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</si>
  <si>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Acrued Expenses and other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</si>
  <si>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</si>
  <si>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</si>
  <si>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</si>
  <si>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</si>
  <si>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</si>
  <si>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</si>
  <si>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</si>
  <si>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</si>
  <si>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</si>
  <si>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</si>
  <si>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</si>
  <si>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Cash paid for interest on debt</t>
  </si>
  <si>
    <t>Cash paid for interest on finance leases</t>
  </si>
  <si>
    <t>Cash paid for interest on financing obligations</t>
  </si>
  <si>
    <t>Cash paid for operating leases</t>
  </si>
  <si>
    <t>Assets acquired under operating leases</t>
  </si>
  <si>
    <t>Property and equipment acquired under finance leases, net of remeasurements and modifications</t>
  </si>
  <si>
    <t>Property and equipment recognized during the construction period of build-to-suit lease arrangements</t>
  </si>
  <si>
    <t>Property and equipment derecognized after the construction period of build-to-suit lease arrangements, with the associated leases recognized as operating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</si>
</sst>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7" formatCode="0.000%"/>
    <numFmt numFmtId="169" formatCode="_(&quot;$&quot;* #,##0.000_);_(&quot;$&quot;* \(#,##0.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/>
    <xf numFmtId="164" fontId="2" fillId="0" borderId="0" xfId="1" applyNumberFormat="1" applyFont="1" applyBorder="1"/>
    <xf numFmtId="0" fontId="0" fillId="0" borderId="0" xfId="0" applyFont="1" applyBorder="1"/>
    <xf numFmtId="164" fontId="1" fillId="0" borderId="0" xfId="1" applyNumberFormat="1" applyFont="1" applyBorder="1"/>
    <xf numFmtId="164" fontId="1" fillId="0" borderId="0" xfId="1" applyNumberFormat="1" applyFont="1"/>
    <xf numFmtId="0" fontId="0" fillId="0" borderId="0" xfId="0" quotePrefix="1"/>
    <xf numFmtId="10" fontId="0" fillId="0" borderId="0" xfId="4" applyNumberFormat="1" applyFont="1"/>
    <xf numFmtId="167" fontId="0" fillId="0" borderId="0" xfId="4" applyNumberFormat="1" applyFont="1"/>
    <xf numFmtId="44" fontId="0" fillId="0" borderId="0" xfId="3" applyFont="1"/>
    <xf numFmtId="169" fontId="0" fillId="0" borderId="0" xfId="3" applyNumberFormat="1" applyFont="1"/>
    <xf numFmtId="0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 indent="1"/>
    </xf>
    <xf numFmtId="164" fontId="0" fillId="0" borderId="0" xfId="1" applyNumberFormat="1" applyFont="1" applyBorder="1"/>
    <xf numFmtId="164" fontId="2" fillId="0" borderId="3" xfId="1" applyNumberFormat="1" applyFont="1" applyBorder="1"/>
    <xf numFmtId="0" fontId="0" fillId="4" borderId="0" xfId="0" applyFill="1" applyBorder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19"/>
  <sheetViews>
    <sheetView topLeftCell="A122" workbookViewId="0">
      <selection activeCell="D109" sqref="D109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25" t="s">
        <v>10</v>
      </c>
      <c r="B2" s="25"/>
      <c r="C2" s="25"/>
      <c r="D2" s="25"/>
    </row>
    <row r="3" spans="1:10" x14ac:dyDescent="0.25">
      <c r="B3" s="24" t="s">
        <v>120</v>
      </c>
      <c r="C3" s="24"/>
      <c r="D3" s="24"/>
    </row>
    <row r="4" spans="1:10" x14ac:dyDescent="0.25">
      <c r="B4" s="9">
        <v>2022</v>
      </c>
      <c r="C4" s="9">
        <v>2021</v>
      </c>
      <c r="D4" s="9"/>
    </row>
    <row r="5" spans="1:10" x14ac:dyDescent="0.25">
      <c r="A5" t="s">
        <v>62</v>
      </c>
      <c r="D5" s="38"/>
    </row>
    <row r="6" spans="1:10" x14ac:dyDescent="0.25">
      <c r="A6" t="s">
        <v>117</v>
      </c>
      <c r="B6" s="16">
        <v>315880</v>
      </c>
      <c r="C6" s="16">
        <v>279833</v>
      </c>
      <c r="D6" s="38"/>
    </row>
    <row r="7" spans="1:10" x14ac:dyDescent="0.25">
      <c r="A7" s="1" t="s">
        <v>118</v>
      </c>
      <c r="B7" s="10">
        <v>118007</v>
      </c>
      <c r="C7" s="16">
        <v>127787</v>
      </c>
      <c r="D7" s="38"/>
    </row>
    <row r="8" spans="1:10" x14ac:dyDescent="0.25">
      <c r="A8" s="1" t="s">
        <v>119</v>
      </c>
      <c r="B8" s="10">
        <v>80096</v>
      </c>
      <c r="C8" s="10">
        <v>62202</v>
      </c>
      <c r="D8" s="38"/>
    </row>
    <row r="9" spans="1:10" x14ac:dyDescent="0.25">
      <c r="A9" s="11" t="s">
        <v>63</v>
      </c>
      <c r="B9" s="12">
        <f>SUM(B6:B8)</f>
        <v>513983</v>
      </c>
      <c r="C9" s="12">
        <f>SUM(C6:C8)</f>
        <v>469822</v>
      </c>
      <c r="D9" s="38"/>
    </row>
    <row r="10" spans="1:10" x14ac:dyDescent="0.25">
      <c r="A10" s="11" t="s">
        <v>64</v>
      </c>
      <c r="B10" s="12">
        <v>288831</v>
      </c>
      <c r="C10" s="12">
        <v>272344</v>
      </c>
      <c r="D10" s="28"/>
    </row>
    <row r="11" spans="1:10" x14ac:dyDescent="0.25">
      <c r="A11" s="11" t="s">
        <v>11</v>
      </c>
      <c r="B11" s="12">
        <f>B9-B10</f>
        <v>225152</v>
      </c>
      <c r="C11" s="12">
        <f>C9-C10</f>
        <v>197478</v>
      </c>
      <c r="D11" s="28"/>
    </row>
    <row r="12" spans="1:10" x14ac:dyDescent="0.25">
      <c r="A12" s="29" t="s">
        <v>65</v>
      </c>
      <c r="B12" s="28"/>
      <c r="C12" s="28"/>
      <c r="D12" s="28"/>
    </row>
    <row r="13" spans="1:10" x14ac:dyDescent="0.25">
      <c r="A13" s="29" t="s">
        <v>121</v>
      </c>
      <c r="B13" s="30">
        <v>84299</v>
      </c>
      <c r="C13" s="30">
        <v>75111</v>
      </c>
      <c r="D13" s="28"/>
    </row>
    <row r="14" spans="1:10" x14ac:dyDescent="0.25">
      <c r="A14" s="29" t="s">
        <v>122</v>
      </c>
      <c r="B14" s="30">
        <v>73213</v>
      </c>
      <c r="C14" s="30">
        <v>56052</v>
      </c>
      <c r="D14" s="28"/>
    </row>
    <row r="15" spans="1:10" x14ac:dyDescent="0.25">
      <c r="A15" t="s">
        <v>123</v>
      </c>
      <c r="B15" s="31">
        <v>42238</v>
      </c>
      <c r="C15" s="31">
        <v>32551</v>
      </c>
      <c r="D15" s="40"/>
    </row>
    <row r="16" spans="1:10" x14ac:dyDescent="0.25">
      <c r="A16" s="1" t="s">
        <v>124</v>
      </c>
      <c r="B16" s="31">
        <v>11891</v>
      </c>
      <c r="C16" s="31">
        <v>8823</v>
      </c>
      <c r="D16" s="40"/>
    </row>
    <row r="17" spans="1:66" x14ac:dyDescent="0.25">
      <c r="A17" s="1" t="s">
        <v>125</v>
      </c>
      <c r="B17" s="31">
        <v>1263</v>
      </c>
      <c r="C17" s="31">
        <v>62</v>
      </c>
      <c r="D17" s="40"/>
    </row>
    <row r="18" spans="1:66" x14ac:dyDescent="0.25">
      <c r="A18" s="11" t="s">
        <v>66</v>
      </c>
      <c r="B18" s="12">
        <f>SUM(B13:B17)</f>
        <v>212904</v>
      </c>
      <c r="C18" s="12">
        <f>SUM(C13:C17)</f>
        <v>172599</v>
      </c>
      <c r="D18" s="2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</row>
    <row r="19" spans="1:66" s="11" customFormat="1" x14ac:dyDescent="0.25">
      <c r="A19" s="11" t="s">
        <v>67</v>
      </c>
      <c r="B19" s="12">
        <f>B11-B18</f>
        <v>12248</v>
      </c>
      <c r="C19" s="12">
        <f>C11-C18</f>
        <v>24879</v>
      </c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x14ac:dyDescent="0.25">
      <c r="A20" t="s">
        <v>68</v>
      </c>
      <c r="B20" s="10">
        <v>-16806</v>
      </c>
      <c r="C20" s="10">
        <v>14633</v>
      </c>
      <c r="D20" s="40"/>
    </row>
    <row r="21" spans="1:66" x14ac:dyDescent="0.25">
      <c r="A21" s="11" t="s">
        <v>69</v>
      </c>
      <c r="B21" s="12">
        <f>B19+B20</f>
        <v>-4558</v>
      </c>
      <c r="C21" s="12">
        <f>C19+C20</f>
        <v>39512</v>
      </c>
      <c r="D21" s="28"/>
    </row>
    <row r="22" spans="1:66" x14ac:dyDescent="0.25">
      <c r="A22" t="s">
        <v>70</v>
      </c>
      <c r="B22" s="10">
        <v>3217</v>
      </c>
      <c r="C22" s="10">
        <v>-4791</v>
      </c>
      <c r="D22" s="40"/>
    </row>
    <row r="23" spans="1:66" ht="15.75" thickBot="1" x14ac:dyDescent="0.3">
      <c r="A23" s="13" t="s">
        <v>71</v>
      </c>
      <c r="B23" s="14">
        <f>+B21+B22</f>
        <v>-1341</v>
      </c>
      <c r="C23" s="14">
        <f>+C21+C22</f>
        <v>34721</v>
      </c>
      <c r="D23" s="28"/>
    </row>
    <row r="24" spans="1:66" ht="15.75" thickTop="1" x14ac:dyDescent="0.25">
      <c r="A24" t="s">
        <v>72</v>
      </c>
      <c r="D24" s="38"/>
    </row>
    <row r="25" spans="1:66" x14ac:dyDescent="0.25">
      <c r="A25" s="1" t="s">
        <v>73</v>
      </c>
      <c r="B25" s="15">
        <v>-0.27</v>
      </c>
      <c r="C25" s="15">
        <v>3.3</v>
      </c>
      <c r="D25" s="42"/>
    </row>
    <row r="26" spans="1:66" x14ac:dyDescent="0.25">
      <c r="A26" s="1" t="s">
        <v>74</v>
      </c>
      <c r="B26" s="15">
        <v>-0.27</v>
      </c>
      <c r="C26" s="15">
        <v>3.24</v>
      </c>
      <c r="D26" s="42"/>
    </row>
    <row r="27" spans="1:66" x14ac:dyDescent="0.25">
      <c r="A27" t="s">
        <v>75</v>
      </c>
    </row>
    <row r="28" spans="1:66" x14ac:dyDescent="0.25">
      <c r="A28" s="1" t="s">
        <v>73</v>
      </c>
      <c r="B28" s="16">
        <v>10189</v>
      </c>
      <c r="C28" s="16">
        <v>10117</v>
      </c>
      <c r="D28" s="16"/>
    </row>
    <row r="29" spans="1:66" x14ac:dyDescent="0.25">
      <c r="A29" s="1" t="s">
        <v>74</v>
      </c>
      <c r="B29" s="16">
        <v>10189</v>
      </c>
      <c r="C29" s="16">
        <v>10296</v>
      </c>
      <c r="D29" s="16"/>
    </row>
    <row r="32" spans="1:66" x14ac:dyDescent="0.25">
      <c r="A32" s="25" t="s">
        <v>12</v>
      </c>
      <c r="B32" s="25"/>
      <c r="C32" s="25"/>
      <c r="D32" s="25"/>
    </row>
    <row r="33" spans="1:7" x14ac:dyDescent="0.25">
      <c r="B33" s="24" t="s">
        <v>126</v>
      </c>
      <c r="C33" s="24"/>
      <c r="D33" s="24"/>
    </row>
    <row r="34" spans="1:7" x14ac:dyDescent="0.25">
      <c r="B34" s="9">
        <v>2022</v>
      </c>
      <c r="C34" s="9">
        <v>2021</v>
      </c>
      <c r="D34" s="27"/>
    </row>
    <row r="35" spans="1:7" x14ac:dyDescent="0.25">
      <c r="D35" s="38"/>
    </row>
    <row r="36" spans="1:7" x14ac:dyDescent="0.25">
      <c r="A36" t="s">
        <v>76</v>
      </c>
      <c r="D36" s="38"/>
    </row>
    <row r="37" spans="1:7" x14ac:dyDescent="0.25">
      <c r="A37" s="1" t="s">
        <v>77</v>
      </c>
      <c r="B37" s="16">
        <v>53888</v>
      </c>
      <c r="C37" s="10">
        <v>36220</v>
      </c>
      <c r="D37" s="40"/>
    </row>
    <row r="38" spans="1:7" x14ac:dyDescent="0.25">
      <c r="A38" s="1" t="s">
        <v>78</v>
      </c>
      <c r="B38" s="10">
        <v>16138</v>
      </c>
      <c r="C38" s="10">
        <v>59829</v>
      </c>
      <c r="D38" s="40"/>
    </row>
    <row r="39" spans="1:7" x14ac:dyDescent="0.25">
      <c r="A39" s="1" t="s">
        <v>79</v>
      </c>
      <c r="B39" s="10">
        <v>34405</v>
      </c>
      <c r="C39" s="10">
        <v>32640</v>
      </c>
      <c r="D39" s="40"/>
    </row>
    <row r="40" spans="1:7" x14ac:dyDescent="0.25">
      <c r="A40" s="1" t="s">
        <v>80</v>
      </c>
      <c r="B40" s="10">
        <v>42360</v>
      </c>
      <c r="C40" s="10">
        <v>32891</v>
      </c>
      <c r="D40" s="40"/>
    </row>
    <row r="41" spans="1:7" x14ac:dyDescent="0.25">
      <c r="A41" s="11" t="s">
        <v>81</v>
      </c>
      <c r="B41" s="12">
        <f>SUM(B37:B40)</f>
        <v>146791</v>
      </c>
      <c r="C41" s="12">
        <f>SUM(C37:C40)</f>
        <v>161580</v>
      </c>
      <c r="D41" s="28"/>
    </row>
    <row r="42" spans="1:7" x14ac:dyDescent="0.25">
      <c r="A42" t="s">
        <v>82</v>
      </c>
      <c r="B42" s="10"/>
      <c r="C42" s="10"/>
      <c r="D42" s="40"/>
    </row>
    <row r="43" spans="1:7" x14ac:dyDescent="0.25">
      <c r="A43" s="1" t="s">
        <v>127</v>
      </c>
      <c r="B43" s="10">
        <v>66123</v>
      </c>
      <c r="C43" s="10">
        <v>56082</v>
      </c>
      <c r="D43" s="40"/>
    </row>
    <row r="44" spans="1:7" x14ac:dyDescent="0.25">
      <c r="A44" s="1" t="s">
        <v>83</v>
      </c>
      <c r="B44" s="10">
        <v>186715</v>
      </c>
      <c r="C44" s="10">
        <v>160281</v>
      </c>
      <c r="D44" s="40"/>
    </row>
    <row r="45" spans="1:7" x14ac:dyDescent="0.25">
      <c r="A45" s="1" t="s">
        <v>128</v>
      </c>
      <c r="B45" s="10">
        <v>20288</v>
      </c>
      <c r="C45" s="10">
        <v>15371</v>
      </c>
      <c r="D45" s="40"/>
    </row>
    <row r="46" spans="1:7" x14ac:dyDescent="0.25">
      <c r="A46" s="1" t="s">
        <v>84</v>
      </c>
      <c r="B46" s="10">
        <v>42758</v>
      </c>
      <c r="C46" s="10">
        <v>27235</v>
      </c>
      <c r="D46" s="40"/>
    </row>
    <row r="47" spans="1:7" x14ac:dyDescent="0.25">
      <c r="A47" s="11" t="s">
        <v>85</v>
      </c>
      <c r="B47" s="12">
        <f>SUM(B43:B46)</f>
        <v>315884</v>
      </c>
      <c r="C47" s="12">
        <f>SUM(C43:C46)</f>
        <v>258969</v>
      </c>
      <c r="D47" s="28"/>
      <c r="G47" s="16"/>
    </row>
    <row r="48" spans="1:7" ht="15.75" thickBot="1" x14ac:dyDescent="0.3">
      <c r="A48" s="13" t="s">
        <v>86</v>
      </c>
      <c r="B48" s="14">
        <f>SUM(B41,B47)</f>
        <v>462675</v>
      </c>
      <c r="C48" s="14">
        <f>SUM(C41,C47)</f>
        <v>420549</v>
      </c>
      <c r="D48" s="28"/>
    </row>
    <row r="49" spans="1:4" ht="15.75" thickTop="1" x14ac:dyDescent="0.25">
      <c r="D49" s="38"/>
    </row>
    <row r="50" spans="1:4" x14ac:dyDescent="0.25">
      <c r="A50" t="s">
        <v>87</v>
      </c>
      <c r="D50" s="38"/>
    </row>
    <row r="51" spans="1:4" x14ac:dyDescent="0.25">
      <c r="A51" s="1" t="s">
        <v>88</v>
      </c>
      <c r="B51" s="10">
        <v>79600</v>
      </c>
      <c r="C51" s="10">
        <v>78664</v>
      </c>
      <c r="D51" s="40"/>
    </row>
    <row r="52" spans="1:4" x14ac:dyDescent="0.25">
      <c r="A52" s="1" t="s">
        <v>89</v>
      </c>
      <c r="B52" s="10">
        <v>62566</v>
      </c>
      <c r="C52" s="10">
        <v>51775</v>
      </c>
      <c r="D52" s="40"/>
    </row>
    <row r="53" spans="1:4" x14ac:dyDescent="0.25">
      <c r="A53" s="1" t="s">
        <v>90</v>
      </c>
      <c r="B53" s="10">
        <v>13227</v>
      </c>
      <c r="C53" s="10">
        <v>11827</v>
      </c>
      <c r="D53" s="40"/>
    </row>
    <row r="54" spans="1:4" x14ac:dyDescent="0.25">
      <c r="A54" s="11" t="s">
        <v>91</v>
      </c>
      <c r="B54" s="12">
        <f>SUM(B51:B53)</f>
        <v>155393</v>
      </c>
      <c r="C54" s="12">
        <f>SUM(C51:C53)</f>
        <v>142266</v>
      </c>
      <c r="D54" s="28"/>
    </row>
    <row r="55" spans="1:4" x14ac:dyDescent="0.25">
      <c r="A55" t="s">
        <v>92</v>
      </c>
      <c r="B55" s="10"/>
      <c r="C55" s="10"/>
      <c r="D55" s="40"/>
    </row>
    <row r="56" spans="1:4" x14ac:dyDescent="0.25">
      <c r="A56" s="1" t="s">
        <v>129</v>
      </c>
      <c r="B56" s="10">
        <v>72968</v>
      </c>
      <c r="C56" s="10">
        <v>67651</v>
      </c>
      <c r="D56" s="40"/>
    </row>
    <row r="57" spans="1:4" x14ac:dyDescent="0.25">
      <c r="A57" s="1" t="s">
        <v>130</v>
      </c>
      <c r="B57" s="10">
        <v>67150</v>
      </c>
      <c r="C57" s="10">
        <v>48744</v>
      </c>
      <c r="D57" s="40"/>
    </row>
    <row r="58" spans="1:4" x14ac:dyDescent="0.25">
      <c r="A58" s="1" t="s">
        <v>131</v>
      </c>
      <c r="B58" s="10">
        <v>21121</v>
      </c>
      <c r="C58" s="10">
        <v>23643</v>
      </c>
      <c r="D58" s="40"/>
    </row>
    <row r="59" spans="1:4" x14ac:dyDescent="0.25">
      <c r="A59" s="26" t="s">
        <v>93</v>
      </c>
      <c r="B59" s="41">
        <f>SUM(B56:B58)</f>
        <v>161239</v>
      </c>
      <c r="C59" s="41">
        <f>SUM(C56:C58)</f>
        <v>140038</v>
      </c>
      <c r="D59" s="40"/>
    </row>
    <row r="60" spans="1:4" x14ac:dyDescent="0.25">
      <c r="A60" s="11" t="s">
        <v>94</v>
      </c>
      <c r="B60" s="12">
        <f>SUM(B54,B59)</f>
        <v>316632</v>
      </c>
      <c r="C60" s="12">
        <f>SUM(C54,C59)</f>
        <v>282304</v>
      </c>
      <c r="D60" s="38"/>
    </row>
    <row r="61" spans="1:4" x14ac:dyDescent="0.25">
      <c r="B61" s="10"/>
      <c r="C61" s="10"/>
      <c r="D61" s="28"/>
    </row>
    <row r="62" spans="1:4" x14ac:dyDescent="0.25">
      <c r="A62" t="s">
        <v>95</v>
      </c>
      <c r="B62" s="10"/>
      <c r="C62" s="10"/>
      <c r="D62" s="40"/>
    </row>
    <row r="63" spans="1:4" x14ac:dyDescent="0.25">
      <c r="A63" s="1" t="s">
        <v>132</v>
      </c>
      <c r="B63" s="10">
        <v>108</v>
      </c>
      <c r="C63" s="10">
        <v>106</v>
      </c>
      <c r="D63" s="40"/>
    </row>
    <row r="64" spans="1:4" x14ac:dyDescent="0.25">
      <c r="A64" s="1" t="s">
        <v>133</v>
      </c>
      <c r="B64" s="10">
        <v>-7837</v>
      </c>
      <c r="C64" s="10">
        <v>-1837</v>
      </c>
      <c r="D64" s="40"/>
    </row>
    <row r="65" spans="1:4" x14ac:dyDescent="0.25">
      <c r="A65" s="1" t="s">
        <v>134</v>
      </c>
      <c r="B65" s="10">
        <v>75066</v>
      </c>
      <c r="C65" s="10">
        <v>55437</v>
      </c>
      <c r="D65" s="40"/>
    </row>
    <row r="66" spans="1:4" x14ac:dyDescent="0.25">
      <c r="A66" s="1" t="s">
        <v>96</v>
      </c>
      <c r="B66" s="10">
        <v>-4487</v>
      </c>
      <c r="C66" s="10">
        <v>-1376</v>
      </c>
      <c r="D66" s="40"/>
    </row>
    <row r="67" spans="1:4" x14ac:dyDescent="0.25">
      <c r="A67" s="1" t="s">
        <v>97</v>
      </c>
      <c r="B67" s="10">
        <v>83193</v>
      </c>
      <c r="C67" s="10">
        <v>85915</v>
      </c>
      <c r="D67" s="40"/>
    </row>
    <row r="68" spans="1:4" x14ac:dyDescent="0.25">
      <c r="A68" s="11" t="s">
        <v>98</v>
      </c>
      <c r="B68" s="12">
        <f>SUM(B63:B67)</f>
        <v>146043</v>
      </c>
      <c r="C68" s="12">
        <f>SUM(C63:C67)</f>
        <v>138245</v>
      </c>
      <c r="D68" s="40"/>
    </row>
    <row r="69" spans="1:4" ht="15.75" thickBot="1" x14ac:dyDescent="0.3">
      <c r="A69" s="13" t="s">
        <v>99</v>
      </c>
      <c r="B69" s="14">
        <f>SUM(B60,B68)</f>
        <v>462675</v>
      </c>
      <c r="C69" s="14">
        <f>SUM(C60,C68)</f>
        <v>420549</v>
      </c>
      <c r="D69" s="28"/>
    </row>
    <row r="70" spans="1:4" ht="15.75" thickTop="1" x14ac:dyDescent="0.25">
      <c r="D70" s="38"/>
    </row>
    <row r="71" spans="1:4" x14ac:dyDescent="0.25">
      <c r="A71" s="25" t="s">
        <v>13</v>
      </c>
      <c r="B71" s="25"/>
      <c r="C71" s="25"/>
      <c r="D71" s="25"/>
    </row>
    <row r="72" spans="1:4" x14ac:dyDescent="0.25">
      <c r="B72" s="24" t="s">
        <v>120</v>
      </c>
      <c r="C72" s="24"/>
      <c r="D72" s="24"/>
    </row>
    <row r="73" spans="1:4" x14ac:dyDescent="0.25">
      <c r="B73" s="9">
        <v>2022</v>
      </c>
      <c r="C73" s="9">
        <v>2021</v>
      </c>
      <c r="D73" s="9"/>
    </row>
    <row r="75" spans="1:4" x14ac:dyDescent="0.25">
      <c r="A75" s="9" t="s">
        <v>100</v>
      </c>
      <c r="B75" s="17"/>
      <c r="C75" s="17"/>
      <c r="D75" s="17"/>
    </row>
    <row r="76" spans="1:4" x14ac:dyDescent="0.25">
      <c r="A76" t="s">
        <v>101</v>
      </c>
      <c r="B76" s="10">
        <v>46752</v>
      </c>
      <c r="C76" s="10">
        <v>46327</v>
      </c>
      <c r="D76" s="10"/>
    </row>
    <row r="77" spans="1:4" x14ac:dyDescent="0.25">
      <c r="A77" s="18" t="s">
        <v>71</v>
      </c>
      <c r="B77" s="17"/>
      <c r="C77" s="17"/>
      <c r="D77" s="17"/>
    </row>
    <row r="78" spans="1:4" x14ac:dyDescent="0.25">
      <c r="A78" s="1" t="s">
        <v>102</v>
      </c>
      <c r="B78" s="10"/>
      <c r="C78" s="10"/>
      <c r="D78" s="10"/>
    </row>
    <row r="79" spans="1:4" x14ac:dyDescent="0.25">
      <c r="A79" s="19" t="s">
        <v>103</v>
      </c>
      <c r="B79" s="10">
        <v>41921</v>
      </c>
      <c r="C79" s="10">
        <v>34433</v>
      </c>
      <c r="D79" s="10"/>
    </row>
    <row r="80" spans="1:4" x14ac:dyDescent="0.25">
      <c r="A80" s="19" t="s">
        <v>104</v>
      </c>
      <c r="B80" s="10">
        <v>19621</v>
      </c>
      <c r="C80" s="10">
        <v>12757</v>
      </c>
      <c r="D80" s="10"/>
    </row>
    <row r="81" spans="1:4" x14ac:dyDescent="0.25">
      <c r="A81" s="19" t="s">
        <v>105</v>
      </c>
      <c r="B81" s="10">
        <v>-8148</v>
      </c>
      <c r="C81" s="10">
        <v>-310</v>
      </c>
      <c r="D81" s="10"/>
    </row>
    <row r="82" spans="1:4" x14ac:dyDescent="0.25">
      <c r="A82" s="19" t="s">
        <v>106</v>
      </c>
      <c r="B82" s="10">
        <v>16966</v>
      </c>
      <c r="C82" s="16">
        <v>-14306</v>
      </c>
      <c r="D82" s="10"/>
    </row>
    <row r="83" spans="1:4" x14ac:dyDescent="0.25">
      <c r="A83" t="s">
        <v>107</v>
      </c>
      <c r="B83" s="10"/>
      <c r="C83" s="10"/>
      <c r="D83" s="10"/>
    </row>
    <row r="84" spans="1:4" x14ac:dyDescent="0.25">
      <c r="A84" s="1" t="s">
        <v>79</v>
      </c>
      <c r="B84" s="10">
        <v>-21897</v>
      </c>
      <c r="C84" s="10">
        <v>-18163</v>
      </c>
      <c r="D84" s="10"/>
    </row>
    <row r="85" spans="1:4" x14ac:dyDescent="0.25">
      <c r="A85" s="1" t="s">
        <v>80</v>
      </c>
      <c r="B85" s="10">
        <v>-2592</v>
      </c>
      <c r="C85" s="10">
        <v>-9487</v>
      </c>
      <c r="D85" s="10"/>
    </row>
    <row r="86" spans="1:4" x14ac:dyDescent="0.25">
      <c r="A86" s="1" t="s">
        <v>88</v>
      </c>
      <c r="B86" s="10">
        <v>2945</v>
      </c>
      <c r="C86" s="10">
        <v>3602</v>
      </c>
      <c r="D86" s="10"/>
    </row>
    <row r="87" spans="1:4" x14ac:dyDescent="0.25">
      <c r="A87" s="1" t="s">
        <v>90</v>
      </c>
      <c r="B87" s="10">
        <v>2216</v>
      </c>
      <c r="C87" s="10">
        <v>2314</v>
      </c>
      <c r="D87" s="10"/>
    </row>
    <row r="88" spans="1:4" x14ac:dyDescent="0.25">
      <c r="A88" s="1" t="s">
        <v>135</v>
      </c>
      <c r="B88" s="10">
        <v>-1558</v>
      </c>
      <c r="C88" s="10">
        <v>2123</v>
      </c>
      <c r="D88" s="40"/>
    </row>
    <row r="89" spans="1:4" x14ac:dyDescent="0.25">
      <c r="A89" s="11" t="s">
        <v>108</v>
      </c>
      <c r="B89" s="12">
        <f>SUM(B76:B88)</f>
        <v>96226</v>
      </c>
      <c r="C89" s="12">
        <f>SUM(C76:C88)</f>
        <v>59290</v>
      </c>
      <c r="D89" s="28"/>
    </row>
    <row r="90" spans="1:4" x14ac:dyDescent="0.25">
      <c r="A90" s="9" t="s">
        <v>109</v>
      </c>
      <c r="B90" s="10"/>
      <c r="C90" s="10"/>
      <c r="D90" s="10"/>
    </row>
    <row r="91" spans="1:4" x14ac:dyDescent="0.25">
      <c r="A91" s="1" t="s">
        <v>136</v>
      </c>
      <c r="B91" s="10">
        <v>-63645</v>
      </c>
      <c r="C91" s="10">
        <v>-61053</v>
      </c>
      <c r="D91" s="10"/>
    </row>
    <row r="92" spans="1:4" x14ac:dyDescent="0.25">
      <c r="A92" s="1" t="s">
        <v>137</v>
      </c>
      <c r="B92" s="10">
        <v>5324</v>
      </c>
      <c r="C92" s="10">
        <v>5657</v>
      </c>
      <c r="D92" s="10"/>
    </row>
    <row r="93" spans="1:4" x14ac:dyDescent="0.25">
      <c r="A93" s="1" t="s">
        <v>138</v>
      </c>
      <c r="B93" s="10">
        <v>-8316</v>
      </c>
      <c r="C93" s="10">
        <v>-1985</v>
      </c>
      <c r="D93" s="10"/>
    </row>
    <row r="94" spans="1:4" x14ac:dyDescent="0.25">
      <c r="A94" s="1" t="s">
        <v>139</v>
      </c>
      <c r="B94" s="10">
        <v>31601</v>
      </c>
      <c r="C94" s="10">
        <v>59384</v>
      </c>
      <c r="D94" s="10"/>
    </row>
    <row r="95" spans="1:4" x14ac:dyDescent="0.25">
      <c r="A95" s="1" t="s">
        <v>110</v>
      </c>
      <c r="B95" s="10">
        <v>31601</v>
      </c>
      <c r="C95" s="10">
        <v>59384</v>
      </c>
      <c r="D95" s="10"/>
    </row>
    <row r="96" spans="1:4" x14ac:dyDescent="0.25">
      <c r="A96" s="1"/>
      <c r="B96" s="10"/>
      <c r="C96" s="10"/>
      <c r="D96" s="10"/>
    </row>
    <row r="97" spans="1:4" x14ac:dyDescent="0.25">
      <c r="A97" s="11" t="s">
        <v>111</v>
      </c>
      <c r="B97" s="12">
        <f>SUM(B91:B95)</f>
        <v>-3435</v>
      </c>
      <c r="C97" s="12">
        <f>SUM(C91:C95)</f>
        <v>61387</v>
      </c>
      <c r="D97" s="10"/>
    </row>
    <row r="98" spans="1:4" x14ac:dyDescent="0.25">
      <c r="A98" s="9" t="s">
        <v>112</v>
      </c>
    </row>
    <row r="99" spans="1:4" s="38" customFormat="1" x14ac:dyDescent="0.25">
      <c r="A99" s="39" t="s">
        <v>140</v>
      </c>
      <c r="B99" s="30">
        <v>-6000</v>
      </c>
      <c r="C99" s="28"/>
      <c r="D99" s="28"/>
    </row>
    <row r="100" spans="1:4" x14ac:dyDescent="0.25">
      <c r="A100" s="1" t="s">
        <v>141</v>
      </c>
      <c r="B100" s="10">
        <v>41553</v>
      </c>
      <c r="C100" s="10">
        <v>7956</v>
      </c>
      <c r="D100" s="10"/>
    </row>
    <row r="101" spans="1:4" x14ac:dyDescent="0.25">
      <c r="A101" s="1" t="s">
        <v>142</v>
      </c>
      <c r="B101" s="10">
        <v>-37554</v>
      </c>
      <c r="C101" s="10">
        <v>-7753</v>
      </c>
      <c r="D101" s="10"/>
    </row>
    <row r="102" spans="1:4" x14ac:dyDescent="0.25">
      <c r="A102" s="1" t="s">
        <v>143</v>
      </c>
      <c r="B102" s="10">
        <v>21166</v>
      </c>
      <c r="C102" s="10">
        <v>19003</v>
      </c>
      <c r="D102" s="10"/>
    </row>
    <row r="103" spans="1:4" x14ac:dyDescent="0.25">
      <c r="A103" s="1" t="s">
        <v>144</v>
      </c>
      <c r="B103" s="10">
        <v>-1258</v>
      </c>
      <c r="C103" s="10">
        <v>-1590</v>
      </c>
      <c r="D103" s="10"/>
    </row>
    <row r="104" spans="1:4" x14ac:dyDescent="0.25">
      <c r="A104" s="1" t="s">
        <v>145</v>
      </c>
      <c r="B104" s="10">
        <v>-7941</v>
      </c>
      <c r="C104" s="10">
        <v>-11163</v>
      </c>
      <c r="D104" s="10"/>
    </row>
    <row r="105" spans="1:4" x14ac:dyDescent="0.25">
      <c r="A105" s="1" t="s">
        <v>146</v>
      </c>
      <c r="B105" s="10">
        <v>-248</v>
      </c>
      <c r="C105" s="10">
        <v>-162</v>
      </c>
      <c r="D105" s="10"/>
    </row>
    <row r="106" spans="1:4" x14ac:dyDescent="0.25">
      <c r="A106" s="11" t="s">
        <v>113</v>
      </c>
      <c r="B106" s="41">
        <f>SUM(B99:B105)</f>
        <v>9718</v>
      </c>
      <c r="C106" s="41">
        <f>SUM(C99:C105)</f>
        <v>6291</v>
      </c>
      <c r="D106" s="10"/>
    </row>
    <row r="107" spans="1:4" x14ac:dyDescent="0.25">
      <c r="A107" s="11" t="s">
        <v>114</v>
      </c>
      <c r="B107" s="41">
        <f>B89+B97+B106</f>
        <v>102509</v>
      </c>
      <c r="C107" s="41">
        <f>C89+C97+C106</f>
        <v>126968</v>
      </c>
      <c r="D107" s="10"/>
    </row>
    <row r="108" spans="1:4" ht="15.75" thickBot="1" x14ac:dyDescent="0.3">
      <c r="A108" s="13" t="s">
        <v>115</v>
      </c>
      <c r="B108" s="41">
        <v>54253</v>
      </c>
      <c r="C108" s="41">
        <v>54253</v>
      </c>
      <c r="D108" s="10"/>
    </row>
    <row r="109" spans="1:4" ht="15.75" thickTop="1" x14ac:dyDescent="0.25">
      <c r="B109" s="12"/>
      <c r="C109" s="12"/>
      <c r="D109" s="28"/>
    </row>
    <row r="110" spans="1:4" s="38" customFormat="1" x14ac:dyDescent="0.25">
      <c r="A110" s="38" t="s">
        <v>116</v>
      </c>
      <c r="B110" s="28"/>
      <c r="C110" s="28"/>
      <c r="D110" s="28"/>
    </row>
    <row r="111" spans="1:4" s="38" customFormat="1" x14ac:dyDescent="0.25">
      <c r="A111" s="38" t="s">
        <v>147</v>
      </c>
      <c r="B111" s="28">
        <v>1561</v>
      </c>
      <c r="C111" s="28">
        <v>1098</v>
      </c>
      <c r="D111" s="28"/>
    </row>
    <row r="112" spans="1:4" x14ac:dyDescent="0.25">
      <c r="A112" t="s">
        <v>150</v>
      </c>
      <c r="B112" s="10">
        <v>8633</v>
      </c>
      <c r="C112" s="10">
        <v>6722</v>
      </c>
      <c r="D112" s="10"/>
    </row>
    <row r="113" spans="1:4" x14ac:dyDescent="0.25">
      <c r="A113" t="s">
        <v>148</v>
      </c>
      <c r="B113" s="10">
        <v>374</v>
      </c>
      <c r="C113" s="10">
        <v>521</v>
      </c>
      <c r="D113" s="10"/>
    </row>
    <row r="114" spans="1:4" x14ac:dyDescent="0.25">
      <c r="A114" t="s">
        <v>149</v>
      </c>
      <c r="B114" s="10">
        <v>207</v>
      </c>
      <c r="C114" s="10">
        <v>153</v>
      </c>
      <c r="D114" s="10"/>
    </row>
    <row r="115" spans="1:4" x14ac:dyDescent="0.25">
      <c r="A115" t="s">
        <v>150</v>
      </c>
      <c r="B115" s="10">
        <v>6035</v>
      </c>
      <c r="C115" s="10">
        <v>3688</v>
      </c>
      <c r="D115" s="10"/>
    </row>
    <row r="116" spans="1:4" x14ac:dyDescent="0.25">
      <c r="A116" t="s">
        <v>151</v>
      </c>
      <c r="B116" s="16">
        <v>18800</v>
      </c>
      <c r="C116" s="10">
        <v>25369</v>
      </c>
    </row>
    <row r="117" spans="1:4" x14ac:dyDescent="0.25">
      <c r="A117" t="s">
        <v>152</v>
      </c>
      <c r="B117" s="16">
        <v>675</v>
      </c>
      <c r="C117" s="10">
        <v>7061</v>
      </c>
    </row>
    <row r="118" spans="1:4" x14ac:dyDescent="0.25">
      <c r="A118" t="s">
        <v>153</v>
      </c>
      <c r="B118" s="10">
        <v>3187</v>
      </c>
      <c r="C118" s="10">
        <v>5846</v>
      </c>
    </row>
    <row r="119" spans="1:4" x14ac:dyDescent="0.25">
      <c r="A119" t="s">
        <v>154</v>
      </c>
      <c r="B119" s="10">
        <v>5158</v>
      </c>
      <c r="C119" s="10">
        <v>230</v>
      </c>
    </row>
  </sheetData>
  <mergeCells count="6">
    <mergeCell ref="B72:D72"/>
    <mergeCell ref="A2:D2"/>
    <mergeCell ref="B3:D3"/>
    <mergeCell ref="A32:D32"/>
    <mergeCell ref="B33:D33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opLeftCell="A39" workbookViewId="0">
      <selection activeCell="D53" sqref="D53"/>
    </sheetView>
  </sheetViews>
  <sheetFormatPr defaultRowHeight="15" x14ac:dyDescent="0.25"/>
  <cols>
    <col min="1" max="1" width="4.7109375" customWidth="1"/>
    <col min="2" max="2" width="44.85546875" customWidth="1"/>
    <col min="3" max="3" width="14.28515625" bestFit="1" customWidth="1"/>
    <col min="4" max="4" width="15.28515625" bestFit="1" customWidth="1"/>
  </cols>
  <sheetData>
    <row r="1" spans="1:10" ht="60" customHeight="1" x14ac:dyDescent="0.4">
      <c r="A1" s="7"/>
      <c r="B1" s="20" t="s">
        <v>57</v>
      </c>
      <c r="C1" s="21"/>
      <c r="D1" s="21"/>
      <c r="E1" s="21"/>
      <c r="F1" s="21"/>
      <c r="G1" s="21"/>
      <c r="H1" s="21"/>
      <c r="I1" s="21"/>
      <c r="J1" s="21"/>
    </row>
    <row r="2" spans="1:10" x14ac:dyDescent="0.25">
      <c r="C2" s="24" t="s">
        <v>58</v>
      </c>
      <c r="D2" s="24"/>
      <c r="E2" s="24"/>
    </row>
    <row r="3" spans="1:10" x14ac:dyDescent="0.25">
      <c r="C3" s="9">
        <v>2022</v>
      </c>
      <c r="D3" s="9">
        <v>2021</v>
      </c>
      <c r="E3" s="9"/>
    </row>
    <row r="4" spans="1:10" x14ac:dyDescent="0.25">
      <c r="A4" s="22">
        <v>1</v>
      </c>
      <c r="B4" s="9" t="s">
        <v>14</v>
      </c>
    </row>
    <row r="5" spans="1:10" x14ac:dyDescent="0.25">
      <c r="A5" s="22">
        <f>+A4+0.1</f>
        <v>1.1000000000000001</v>
      </c>
      <c r="B5" s="1" t="s">
        <v>15</v>
      </c>
      <c r="C5">
        <f>'Financial Statements'!B41/'Financial Statements'!B54</f>
        <v>0.9446435811136924</v>
      </c>
      <c r="D5">
        <f>'Financial Statements'!C41/'Financial Statements'!C54</f>
        <v>1.1357597739445826</v>
      </c>
    </row>
    <row r="6" spans="1:10" x14ac:dyDescent="0.25">
      <c r="A6" s="22">
        <f t="shared" ref="A6:A13" si="0">+A5+0.1</f>
        <v>1.2000000000000002</v>
      </c>
      <c r="B6" s="1" t="s">
        <v>16</v>
      </c>
      <c r="C6">
        <f>('Financial Statements'!B41-'Financial Statements'!B40)/'Financial Statements'!B60</f>
        <v>0.32981821167790998</v>
      </c>
      <c r="D6">
        <f>('Financial Statements'!C41-'Financial Statements'!C40)/'Financial Statements'!C60</f>
        <v>0.45585255610972569</v>
      </c>
    </row>
    <row r="7" spans="1:10" x14ac:dyDescent="0.25">
      <c r="A7" s="22">
        <f t="shared" si="0"/>
        <v>1.3000000000000003</v>
      </c>
      <c r="B7" s="1" t="s">
        <v>17</v>
      </c>
      <c r="C7">
        <f>'Financial Statements'!B37/'Financial Statements'!B54</f>
        <v>0.34678524772673158</v>
      </c>
      <c r="D7">
        <f>'Financial Statements'!C37/'Financial Statements'!C54</f>
        <v>0.25459350793583851</v>
      </c>
    </row>
    <row r="8" spans="1:10" x14ac:dyDescent="0.25">
      <c r="A8" s="22">
        <f t="shared" si="0"/>
        <v>1.4000000000000004</v>
      </c>
      <c r="B8" s="1" t="s">
        <v>18</v>
      </c>
      <c r="C8" s="32">
        <f>'Financial Statements'!B41/(('Financial Statements'!B18-SUM('Financial Statements'!B79:B82))/365)</f>
        <v>375.87492283084521</v>
      </c>
      <c r="D8" s="32">
        <f>'Financial Statements'!C41/(('Financial Statements'!C18-SUM('Financial Statements'!C79:C82))/365)</f>
        <v>421.18693090519554</v>
      </c>
    </row>
    <row r="9" spans="1:10" x14ac:dyDescent="0.25">
      <c r="A9" s="22">
        <f t="shared" si="0"/>
        <v>1.5000000000000004</v>
      </c>
      <c r="B9" s="1" t="s">
        <v>19</v>
      </c>
      <c r="C9">
        <f>'Financial Statements'!B40/('Financial Statements'!B10/365)</f>
        <v>53.530957549570509</v>
      </c>
      <c r="D9">
        <f>'Financial Statements'!C40/('Financial Statements'!C10/365)</f>
        <v>44.081070264077781</v>
      </c>
    </row>
    <row r="10" spans="1:10" x14ac:dyDescent="0.25">
      <c r="A10" s="22">
        <f t="shared" si="0"/>
        <v>1.6000000000000005</v>
      </c>
      <c r="B10" s="1" t="s">
        <v>20</v>
      </c>
      <c r="C10">
        <f>'Financial Statements'!B51/('Financial Statements'!B10/365)</f>
        <v>100.59169548975005</v>
      </c>
      <c r="D10">
        <f>'Financial Statements'!C51/('Financial Statements'!C10/365)</f>
        <v>105.42681314807743</v>
      </c>
    </row>
    <row r="11" spans="1:10" x14ac:dyDescent="0.25">
      <c r="A11" s="22">
        <f t="shared" si="0"/>
        <v>1.7000000000000006</v>
      </c>
      <c r="B11" s="1" t="s">
        <v>21</v>
      </c>
      <c r="C11">
        <f>('Financial Statements'!B39/'Financial Statements'!B9)*365</f>
        <v>24.432374222493738</v>
      </c>
      <c r="D11">
        <f>('Financial Statements'!C39/'Financial Statements'!C9)*365</f>
        <v>25.357688656555037</v>
      </c>
    </row>
    <row r="12" spans="1:10" x14ac:dyDescent="0.25">
      <c r="A12" s="22">
        <f t="shared" si="0"/>
        <v>1.8000000000000007</v>
      </c>
      <c r="B12" s="1" t="s">
        <v>22</v>
      </c>
      <c r="C12">
        <f>C9+C11-C10</f>
        <v>-22.628363717685801</v>
      </c>
      <c r="D12">
        <f>D9+D11-D10</f>
        <v>-35.988054227444607</v>
      </c>
    </row>
    <row r="13" spans="1:10" x14ac:dyDescent="0.25">
      <c r="A13" s="22">
        <f t="shared" si="0"/>
        <v>1.9000000000000008</v>
      </c>
      <c r="B13" s="1" t="s">
        <v>23</v>
      </c>
      <c r="C13" s="34">
        <f>('Financial Statements'!B41-'Financial Statements'!B54)/'Financial Statements'!B9</f>
        <v>-1.6735962084349094E-2</v>
      </c>
      <c r="D13" s="34">
        <f>('Financial Statements'!C41-'Financial Statements'!C54)/'Financial Statements'!C9</f>
        <v>4.1109186032156859E-2</v>
      </c>
    </row>
    <row r="14" spans="1:10" x14ac:dyDescent="0.25">
      <c r="A14" s="22"/>
      <c r="B14" s="19" t="s">
        <v>24</v>
      </c>
    </row>
    <row r="15" spans="1:10" x14ac:dyDescent="0.25">
      <c r="A15" s="22"/>
    </row>
    <row r="16" spans="1:10" x14ac:dyDescent="0.25">
      <c r="A16" s="22">
        <f>+A4+1</f>
        <v>2</v>
      </c>
      <c r="B16" s="23" t="s">
        <v>25</v>
      </c>
    </row>
    <row r="17" spans="1:4" x14ac:dyDescent="0.25">
      <c r="A17" s="22">
        <f>+A16+0.1</f>
        <v>2.1</v>
      </c>
      <c r="B17" s="1" t="s">
        <v>11</v>
      </c>
      <c r="C17" s="33">
        <f>(('Financial Statements'!B9-'Financial Statements'!B10)/'Financial Statements'!B9)</f>
        <v>0.43805339865326287</v>
      </c>
      <c r="D17" s="33">
        <f>(('Financial Statements'!C9-'Financial Statements'!C10)/'Financial Statements'!C9)</f>
        <v>0.42032514441639601</v>
      </c>
    </row>
    <row r="18" spans="1:4" x14ac:dyDescent="0.25">
      <c r="A18" s="22">
        <f>+A17+0.1</f>
        <v>2.2000000000000002</v>
      </c>
      <c r="B18" s="1" t="s">
        <v>26</v>
      </c>
      <c r="C18" s="33">
        <f>(C19/'Financial Statements'!B9)</f>
        <v>0.10539064521589235</v>
      </c>
      <c r="D18" s="33">
        <f>(D19/'Financial Statements'!C9)</f>
        <v>0.12624355607017126</v>
      </c>
    </row>
    <row r="19" spans="1:4" x14ac:dyDescent="0.25">
      <c r="A19" s="22"/>
      <c r="B19" s="19" t="s">
        <v>27</v>
      </c>
      <c r="C19">
        <f>'Financial Statements'!B19+'Financial Statements'!B79</f>
        <v>54169</v>
      </c>
      <c r="D19">
        <f>'Financial Statements'!C19+'Financial Statements'!C79</f>
        <v>59312</v>
      </c>
    </row>
    <row r="20" spans="1:4" x14ac:dyDescent="0.25">
      <c r="A20" s="22">
        <f>+A18+0.1</f>
        <v>2.3000000000000003</v>
      </c>
      <c r="B20" s="1" t="s">
        <v>28</v>
      </c>
      <c r="C20" s="33">
        <f>C21/'Financial Statements'!B9</f>
        <v>2.3829581912242232E-2</v>
      </c>
      <c r="D20" s="33">
        <f>D21/'Financial Statements'!C9</f>
        <v>5.2954097509269465E-2</v>
      </c>
    </row>
    <row r="21" spans="1:4" x14ac:dyDescent="0.25">
      <c r="A21" s="22"/>
      <c r="B21" s="19" t="s">
        <v>29</v>
      </c>
      <c r="C21">
        <f>'Financial Statements'!B11-'Financial Statements'!B18</f>
        <v>12248</v>
      </c>
      <c r="D21">
        <f>'Financial Statements'!C11-'Financial Statements'!C18</f>
        <v>24879</v>
      </c>
    </row>
    <row r="22" spans="1:4" x14ac:dyDescent="0.25">
      <c r="A22" s="22">
        <f>+A20+0.1</f>
        <v>2.4000000000000004</v>
      </c>
      <c r="B22" s="1" t="s">
        <v>30</v>
      </c>
      <c r="C22" s="33">
        <f>('Financial Statements'!B23/'Financial Statements'!B9)</f>
        <v>-2.6090357074066654E-3</v>
      </c>
      <c r="D22" s="33">
        <f>('Financial Statements'!C23/'Financial Statements'!C9)</f>
        <v>7.3902456675081205E-2</v>
      </c>
    </row>
    <row r="23" spans="1:4" x14ac:dyDescent="0.25">
      <c r="A23" s="22"/>
    </row>
    <row r="24" spans="1:4" x14ac:dyDescent="0.25">
      <c r="A24" s="22">
        <f>+A16+1</f>
        <v>3</v>
      </c>
      <c r="B24" s="9" t="s">
        <v>31</v>
      </c>
    </row>
    <row r="25" spans="1:4" x14ac:dyDescent="0.25">
      <c r="A25" s="22">
        <f>+A24+0.1</f>
        <v>3.1</v>
      </c>
      <c r="B25" s="1" t="s">
        <v>32</v>
      </c>
      <c r="C25">
        <f>'Financial Statements'!B57/'Financial Statements'!B68</f>
        <v>0.45979608745369516</v>
      </c>
      <c r="D25">
        <f>'Financial Statements'!C57/'Financial Statements'!C68</f>
        <v>0.35259141379435061</v>
      </c>
    </row>
    <row r="26" spans="1:4" x14ac:dyDescent="0.25">
      <c r="A26" s="22">
        <f t="shared" ref="A26:A30" si="1">+A25+0.1</f>
        <v>3.2</v>
      </c>
      <c r="B26" s="1" t="s">
        <v>33</v>
      </c>
      <c r="C26">
        <f>'Financial Statements'!B57/'Financial Statements'!B48</f>
        <v>0.14513427351812827</v>
      </c>
      <c r="D26">
        <f>'Financial Statements'!C57/'Financial Statements'!C48</f>
        <v>0.11590563763081116</v>
      </c>
    </row>
    <row r="27" spans="1:4" x14ac:dyDescent="0.25">
      <c r="A27" s="22">
        <f t="shared" si="1"/>
        <v>3.3000000000000003</v>
      </c>
      <c r="B27" s="1" t="s">
        <v>34</v>
      </c>
      <c r="C27">
        <f>'Financial Statements'!B57/('Financial Statements'!B57+'Financial Statements'!B68)</f>
        <v>0.31497281805687805</v>
      </c>
      <c r="D27">
        <f>'Financial Statements'!C57/('Financial Statements'!C57+'Financial Statements'!C68)</f>
        <v>0.26067843562990334</v>
      </c>
    </row>
    <row r="28" spans="1:4" x14ac:dyDescent="0.25">
      <c r="A28" s="22">
        <f t="shared" si="1"/>
        <v>3.4000000000000004</v>
      </c>
      <c r="B28" s="1" t="s">
        <v>35</v>
      </c>
      <c r="C28">
        <f>'List of Ratios'!C21/SUM('Financial Statements'!B111,'Financial Statements'!B113,'Financial Statements'!B114)</f>
        <v>5.7180205415499534</v>
      </c>
      <c r="D28">
        <f>'List of Ratios'!D21/SUM('Financial Statements'!C111,'Financial Statements'!C113,'Financial Statements'!C114)</f>
        <v>14.040067720090294</v>
      </c>
    </row>
    <row r="29" spans="1:4" x14ac:dyDescent="0.25">
      <c r="A29" s="22">
        <f t="shared" si="1"/>
        <v>3.5000000000000004</v>
      </c>
      <c r="B29" s="1" t="s">
        <v>36</v>
      </c>
      <c r="C29">
        <f>C21/(SUM('Financial Statements'!B103,'Financial Statements'!B101,'Financial Statements'!B111,'Financial Statements'!B113,'Financial Statements'!B114))</f>
        <v>-0.33400599945459503</v>
      </c>
      <c r="D29">
        <f>D21/(SUM('Financial Statements'!C103,'Financial Statements'!C101,'Financial Statements'!C111,'Financial Statements'!C113,'Financial Statements'!C114))</f>
        <v>-3.2860916655659755</v>
      </c>
    </row>
    <row r="30" spans="1:4" x14ac:dyDescent="0.25">
      <c r="A30" s="22">
        <f t="shared" si="1"/>
        <v>3.6000000000000005</v>
      </c>
      <c r="B30" s="1" t="s">
        <v>37</v>
      </c>
      <c r="C30">
        <f>C31/'Financial Statements'!B29</f>
        <v>11.453332024732555</v>
      </c>
      <c r="D30">
        <f>D31/'Financial Statements'!C29</f>
        <v>13.431721056721056</v>
      </c>
    </row>
    <row r="31" spans="1:4" x14ac:dyDescent="0.25">
      <c r="A31" s="22"/>
      <c r="B31" s="19" t="s">
        <v>38</v>
      </c>
      <c r="C31">
        <f>'Financial Statements'!B89+'Financial Statements'!B97+'Financial Statements'!B100+'Financial Statements'!B101+'Financial Statements'!B102+'Financial Statements'!B103</f>
        <v>116698</v>
      </c>
      <c r="D31">
        <f>'Financial Statements'!C89+'Financial Statements'!C97+'Financial Statements'!C100+'Financial Statements'!C101+'Financial Statements'!C102+'Financial Statements'!C103</f>
        <v>138293</v>
      </c>
    </row>
    <row r="32" spans="1:4" x14ac:dyDescent="0.25">
      <c r="A32" s="22"/>
    </row>
    <row r="33" spans="1:4" x14ac:dyDescent="0.25">
      <c r="A33" s="22">
        <f>+A24+1</f>
        <v>4</v>
      </c>
      <c r="B33" s="23" t="s">
        <v>39</v>
      </c>
    </row>
    <row r="34" spans="1:4" x14ac:dyDescent="0.25">
      <c r="A34" s="22">
        <f>+A33+0.1</f>
        <v>4.0999999999999996</v>
      </c>
      <c r="B34" s="1" t="s">
        <v>40</v>
      </c>
      <c r="C34">
        <f>'Financial Statements'!B9/(AVERAGE('Financial Statements'!$B$48,'Financial Statements'!$C$48))</f>
        <v>1.1638791518346421</v>
      </c>
      <c r="D34">
        <f>'Financial Statements'!C9/(AVERAGE('Financial Statements'!$B$48,'Financial Statements'!$C$48))</f>
        <v>1.0638796047208863</v>
      </c>
    </row>
    <row r="35" spans="1:4" x14ac:dyDescent="0.25">
      <c r="A35" s="22">
        <f t="shared" ref="A35:A37" si="2">+A34+0.1</f>
        <v>4.1999999999999993</v>
      </c>
      <c r="B35" s="1" t="s">
        <v>41</v>
      </c>
      <c r="C35">
        <f>'Financial Statements'!B9/(AVERAGE('Financial Statements'!$B$47,'Financial Statements'!$C$47))</f>
        <v>1.7882241199054367</v>
      </c>
      <c r="D35">
        <f>'Financial Statements'!C9/(AVERAGE('Financial Statements'!$B$47,'Financial Statements'!$C$47))</f>
        <v>1.6345813625396406</v>
      </c>
    </row>
    <row r="36" spans="1:4" x14ac:dyDescent="0.25">
      <c r="A36" s="22">
        <f t="shared" si="2"/>
        <v>4.2999999999999989</v>
      </c>
      <c r="B36" s="1" t="s">
        <v>42</v>
      </c>
      <c r="C36">
        <f>'Financial Statements'!B10/(AVERAGE('Financial Statements'!$B$40,'Financial Statements'!$C$40))</f>
        <v>7.6764694156888282</v>
      </c>
      <c r="D36">
        <f>'Financial Statements'!C10/(AVERAGE('Financial Statements'!$B$40,'Financial Statements'!$C$40))</f>
        <v>7.2382825477402291</v>
      </c>
    </row>
    <row r="37" spans="1:4" x14ac:dyDescent="0.25">
      <c r="A37" s="22">
        <f t="shared" si="2"/>
        <v>4.3999999999999986</v>
      </c>
      <c r="B37" s="1" t="s">
        <v>43</v>
      </c>
      <c r="C37">
        <f>'Financial Statements'!B76/'Financial Statements'!B48</f>
        <v>0.10104717134057384</v>
      </c>
      <c r="D37">
        <f>'Financial Statements'!C76/'Financial Statements'!C48</f>
        <v>0.11015838820208822</v>
      </c>
    </row>
    <row r="38" spans="1:4" x14ac:dyDescent="0.25">
      <c r="A38" s="22"/>
    </row>
    <row r="39" spans="1:4" x14ac:dyDescent="0.25">
      <c r="A39" s="22">
        <f>+A33+1</f>
        <v>5</v>
      </c>
      <c r="B39" s="23" t="s">
        <v>44</v>
      </c>
    </row>
    <row r="40" spans="1:4" x14ac:dyDescent="0.25">
      <c r="A40" s="22">
        <f>+A39+0.1</f>
        <v>5.0999999999999996</v>
      </c>
      <c r="B40" s="1" t="s">
        <v>45</v>
      </c>
      <c r="C40">
        <f>84/C41</f>
        <v>-638.2371364653244</v>
      </c>
      <c r="D40">
        <f>168.64/D41</f>
        <v>50.007702543129518</v>
      </c>
    </row>
    <row r="41" spans="1:4" x14ac:dyDescent="0.25">
      <c r="A41" s="22">
        <f t="shared" ref="A41:A44" si="3">+A40+0.1</f>
        <v>5.1999999999999993</v>
      </c>
      <c r="B41" s="19" t="s">
        <v>46</v>
      </c>
      <c r="C41">
        <f>'Financial Statements'!B23/'Financial Statements'!B29</f>
        <v>-0.13161252330945136</v>
      </c>
      <c r="D41">
        <f>'Financial Statements'!C23/'Financial Statements'!C29</f>
        <v>3.3722804972804972</v>
      </c>
    </row>
    <row r="42" spans="1:4" x14ac:dyDescent="0.25">
      <c r="A42" s="22">
        <f t="shared" si="3"/>
        <v>5.2999999999999989</v>
      </c>
      <c r="B42" s="1" t="s">
        <v>47</v>
      </c>
      <c r="C42">
        <f>84/C43</f>
        <v>5.8604383640434667</v>
      </c>
      <c r="D42">
        <f>168.64/D43</f>
        <v>12.55971239466165</v>
      </c>
    </row>
    <row r="43" spans="1:4" x14ac:dyDescent="0.25">
      <c r="A43" s="22">
        <f t="shared" si="3"/>
        <v>5.3999999999999986</v>
      </c>
      <c r="B43" s="19" t="s">
        <v>48</v>
      </c>
      <c r="C43">
        <f>'Financial Statements'!B68/'Financial Statements'!B29</f>
        <v>14.333398763372264</v>
      </c>
      <c r="D43">
        <f>'Financial Statements'!C68/'Financial Statements'!C29</f>
        <v>13.427059052059052</v>
      </c>
    </row>
    <row r="44" spans="1:4" x14ac:dyDescent="0.25">
      <c r="A44" s="22">
        <f t="shared" si="3"/>
        <v>5.4999999999999982</v>
      </c>
      <c r="B44" s="1" t="s">
        <v>49</v>
      </c>
      <c r="C44">
        <v>0</v>
      </c>
      <c r="D44">
        <v>0</v>
      </c>
    </row>
    <row r="45" spans="1:4" x14ac:dyDescent="0.25">
      <c r="A45" s="22"/>
      <c r="B45" s="19" t="s">
        <v>50</v>
      </c>
      <c r="C45">
        <v>0</v>
      </c>
      <c r="D45">
        <v>0</v>
      </c>
    </row>
    <row r="46" spans="1:4" x14ac:dyDescent="0.25">
      <c r="A46" s="22">
        <f>+A44+0.1</f>
        <v>5.5999999999999979</v>
      </c>
      <c r="B46" s="1" t="s">
        <v>51</v>
      </c>
      <c r="C46">
        <v>0</v>
      </c>
      <c r="D46">
        <v>0</v>
      </c>
    </row>
    <row r="47" spans="1:4" x14ac:dyDescent="0.25">
      <c r="A47" s="22">
        <f t="shared" ref="A47:A50" si="4">+A45+0.1</f>
        <v>0.1</v>
      </c>
      <c r="B47" s="1" t="s">
        <v>52</v>
      </c>
      <c r="C47">
        <f>'Financial Statements'!B23/(AVERAGE('Financial Statements'!$B$68,'Financial Statements'!$C$68))</f>
        <v>-9.4340950022512374E-3</v>
      </c>
      <c r="D47">
        <f>'Financial Statements'!C23/(AVERAGE('Financial Statements'!$B$68,'Financial Statements'!$C$68))</f>
        <v>0.24426637775776677</v>
      </c>
    </row>
    <row r="48" spans="1:4" x14ac:dyDescent="0.25">
      <c r="A48" s="22">
        <f t="shared" si="4"/>
        <v>5.6999999999999975</v>
      </c>
      <c r="B48" s="1" t="s">
        <v>53</v>
      </c>
      <c r="C48">
        <f>C21/('Financial Statements'!B57+'Financial Statements'!B68)</f>
        <v>5.745029151989043E-2</v>
      </c>
      <c r="D48">
        <f>D21/('Financial Statements'!C57+'Financial Statements'!C68)</f>
        <v>0.13305060725497223</v>
      </c>
    </row>
    <row r="49" spans="1:4" x14ac:dyDescent="0.25">
      <c r="A49" s="22">
        <f t="shared" si="4"/>
        <v>0.2</v>
      </c>
      <c r="B49" s="1" t="s">
        <v>43</v>
      </c>
      <c r="C49">
        <f>C37</f>
        <v>0.10104717134057384</v>
      </c>
      <c r="D49">
        <f>D37</f>
        <v>0.11015838820208822</v>
      </c>
    </row>
    <row r="50" spans="1:4" x14ac:dyDescent="0.25">
      <c r="A50" s="22">
        <f t="shared" si="4"/>
        <v>5.7999999999999972</v>
      </c>
      <c r="B50" s="1" t="s">
        <v>54</v>
      </c>
      <c r="C50" s="37">
        <f>C19/C51</f>
        <v>4.8440650835453451E-2</v>
      </c>
      <c r="D50" s="37">
        <f>D19/D51</f>
        <v>3.0193928385450951E-2</v>
      </c>
    </row>
    <row r="51" spans="1:4" x14ac:dyDescent="0.25">
      <c r="A51" s="22"/>
      <c r="B51" s="19" t="s">
        <v>55</v>
      </c>
      <c r="C51" s="35">
        <f>(84*'Financial Statements'!B29)+'Financial Statements'!B60-('Financial Statements'!B108)</f>
        <v>1118255</v>
      </c>
      <c r="D51" s="36">
        <f>(168.64*'Financial Statements'!C29)+'Financial Statements'!C60-('Financial Statements'!C108)</f>
        <v>1964368.44</v>
      </c>
    </row>
    <row r="52" spans="1:4" x14ac:dyDescent="0.25">
      <c r="D52">
        <f>((C51-D51)/D51)*100</f>
        <v>-43.073052018693595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codynikolaicall@gmail.com</cp:lastModifiedBy>
  <dcterms:created xsi:type="dcterms:W3CDTF">2020-05-19T16:15:53Z</dcterms:created>
  <dcterms:modified xsi:type="dcterms:W3CDTF">2023-11-29T00:53:36Z</dcterms:modified>
</cp:coreProperties>
</file>