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3176" tabRatio="328" firstSheet="1" activeTab="2"/>
  </bookViews>
  <sheets>
    <sheet name="Instructions" sheetId="2" r:id="rId1"/>
    <sheet name="Financial Statements" sheetId="1" r:id="rId2"/>
    <sheet name="List of Ratios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H86" i="1"/>
  <c r="F86" i="1"/>
  <c r="F85" i="1"/>
  <c r="G85" i="1"/>
  <c r="H85" i="1"/>
  <c r="C31" i="3"/>
  <c r="C30" i="3" s="1"/>
  <c r="D29" i="3"/>
  <c r="E29" i="3"/>
  <c r="C29" i="3"/>
  <c r="D26" i="3"/>
  <c r="E26" i="3"/>
  <c r="C26" i="3"/>
  <c r="D25" i="3"/>
  <c r="E25" i="3"/>
  <c r="C27" i="3"/>
  <c r="C28" i="3"/>
  <c r="C25" i="3"/>
  <c r="D51" i="3" l="1"/>
  <c r="E51" i="3"/>
  <c r="C51" i="3"/>
  <c r="C46" i="3"/>
  <c r="D45" i="3"/>
  <c r="D46" i="3" s="1"/>
  <c r="E45" i="3"/>
  <c r="E46" i="3" s="1"/>
  <c r="C45" i="3"/>
  <c r="C44" i="3" s="1"/>
  <c r="D41" i="3"/>
  <c r="D40" i="3" s="1"/>
  <c r="E41" i="3"/>
  <c r="E40" i="3" s="1"/>
  <c r="C41" i="3"/>
  <c r="C40" i="3" s="1"/>
  <c r="E44" i="3" l="1"/>
  <c r="D44" i="3"/>
  <c r="E60" i="3" l="1"/>
  <c r="E59" i="3"/>
  <c r="E56" i="3"/>
  <c r="E55" i="3"/>
  <c r="C60" i="3"/>
  <c r="D60" i="3"/>
  <c r="C59" i="3"/>
  <c r="D59" i="3"/>
  <c r="C56" i="3"/>
  <c r="D56" i="3"/>
  <c r="C55" i="3"/>
  <c r="D55" i="3"/>
  <c r="D27" i="3" l="1"/>
  <c r="E27" i="3"/>
  <c r="E10" i="3" l="1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E79" i="3" s="1"/>
  <c r="C47" i="1"/>
  <c r="D79" i="3" s="1"/>
  <c r="B47" i="1"/>
  <c r="C79" i="3" s="1"/>
  <c r="D42" i="1"/>
  <c r="C42" i="1"/>
  <c r="B42" i="1"/>
  <c r="D17" i="1"/>
  <c r="E73" i="3" s="1"/>
  <c r="C17" i="1"/>
  <c r="D73" i="3" s="1"/>
  <c r="B17" i="1"/>
  <c r="D12" i="1"/>
  <c r="C12" i="1"/>
  <c r="B12" i="1"/>
  <c r="D8" i="1"/>
  <c r="E78" i="3" s="1"/>
  <c r="C8" i="1"/>
  <c r="B8" i="1"/>
  <c r="E3" i="3"/>
  <c r="D3" i="3"/>
  <c r="C3" i="3"/>
  <c r="D33" i="1"/>
  <c r="D73" i="1" s="1"/>
  <c r="C33" i="1"/>
  <c r="C73" i="1" s="1"/>
  <c r="B33" i="1"/>
  <c r="B73" i="1" s="1"/>
  <c r="D43" i="3" l="1"/>
  <c r="D42" i="3" s="1"/>
  <c r="D66" i="3"/>
  <c r="E8" i="3"/>
  <c r="E14" i="3"/>
  <c r="E13" i="3" s="1"/>
  <c r="E6" i="3"/>
  <c r="E5" i="3"/>
  <c r="C13" i="1"/>
  <c r="D57" i="3"/>
  <c r="D72" i="3"/>
  <c r="D61" i="3"/>
  <c r="D71" i="3"/>
  <c r="D35" i="3"/>
  <c r="D11" i="3"/>
  <c r="E43" i="3"/>
  <c r="E42" i="3" s="1"/>
  <c r="E66" i="3"/>
  <c r="C57" i="3"/>
  <c r="C71" i="3"/>
  <c r="C72" i="3"/>
  <c r="C61" i="3"/>
  <c r="C35" i="3"/>
  <c r="C34" i="3"/>
  <c r="B13" i="1"/>
  <c r="B18" i="1" s="1"/>
  <c r="C11" i="3"/>
  <c r="C43" i="3"/>
  <c r="C42" i="3" s="1"/>
  <c r="C66" i="3"/>
  <c r="D68" i="3"/>
  <c r="D36" i="3"/>
  <c r="D10" i="3"/>
  <c r="D9" i="3"/>
  <c r="D12" i="3" s="1"/>
  <c r="E68" i="3"/>
  <c r="E36" i="3"/>
  <c r="E9" i="3"/>
  <c r="E12" i="3" s="1"/>
  <c r="B62" i="1"/>
  <c r="B69" i="1" s="1"/>
  <c r="C65" i="3"/>
  <c r="C7" i="3"/>
  <c r="C78" i="3"/>
  <c r="C8" i="3"/>
  <c r="C14" i="3"/>
  <c r="C13" i="3" s="1"/>
  <c r="C6" i="3"/>
  <c r="C5" i="3"/>
  <c r="D8" i="3"/>
  <c r="D14" i="3"/>
  <c r="D13" i="3" s="1"/>
  <c r="D5" i="3"/>
  <c r="D6" i="3"/>
  <c r="E57" i="3"/>
  <c r="E61" i="3"/>
  <c r="E72" i="3"/>
  <c r="E71" i="3"/>
  <c r="E35" i="3"/>
  <c r="E11" i="3"/>
  <c r="C68" i="3"/>
  <c r="C36" i="3"/>
  <c r="C10" i="3"/>
  <c r="C9" i="3"/>
  <c r="B48" i="1"/>
  <c r="C64" i="3" s="1"/>
  <c r="D13" i="1"/>
  <c r="C62" i="1"/>
  <c r="C69" i="1" s="1"/>
  <c r="D65" i="3"/>
  <c r="D7" i="3"/>
  <c r="D78" i="3"/>
  <c r="C73" i="3"/>
  <c r="C48" i="1"/>
  <c r="D62" i="1"/>
  <c r="D48" i="1"/>
  <c r="E64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C48" i="3"/>
  <c r="C74" i="3"/>
  <c r="C21" i="3"/>
  <c r="D18" i="1"/>
  <c r="E69" i="3"/>
  <c r="E17" i="3"/>
  <c r="C12" i="3"/>
  <c r="C18" i="1"/>
  <c r="D69" i="3"/>
  <c r="D17" i="3"/>
  <c r="A24" i="3"/>
  <c r="A25" i="3" s="1"/>
  <c r="A26" i="3" s="1"/>
  <c r="A27" i="3" s="1"/>
  <c r="A28" i="3" s="1"/>
  <c r="A29" i="3" s="1"/>
  <c r="A30" i="3" s="1"/>
  <c r="D64" i="3"/>
  <c r="E34" i="3"/>
  <c r="C69" i="3"/>
  <c r="C17" i="3"/>
  <c r="D69" i="1"/>
  <c r="E65" i="3"/>
  <c r="D34" i="3"/>
  <c r="A33" i="3"/>
  <c r="C20" i="1" l="1"/>
  <c r="D48" i="3"/>
  <c r="D74" i="3"/>
  <c r="D21" i="3"/>
  <c r="D20" i="1"/>
  <c r="E48" i="3"/>
  <c r="E74" i="3"/>
  <c r="E21" i="3"/>
  <c r="C19" i="3"/>
  <c r="C18" i="3" s="1"/>
  <c r="C20" i="3"/>
  <c r="B22" i="1"/>
  <c r="C50" i="3"/>
  <c r="C77" i="3"/>
  <c r="A39" i="3"/>
  <c r="A40" i="3" s="1"/>
  <c r="A41" i="3" s="1"/>
  <c r="A42" i="3" s="1"/>
  <c r="A43" i="3" s="1"/>
  <c r="A44" i="3" s="1"/>
  <c r="A34" i="3"/>
  <c r="A35" i="3" s="1"/>
  <c r="A36" i="3" s="1"/>
  <c r="A37" i="3" s="1"/>
  <c r="B76" i="1" l="1"/>
  <c r="B91" i="1" s="1"/>
  <c r="C47" i="3"/>
  <c r="C49" i="3"/>
  <c r="C75" i="3"/>
  <c r="C37" i="3"/>
  <c r="C22" i="3"/>
  <c r="E20" i="3"/>
  <c r="E19" i="3"/>
  <c r="E18" i="3" s="1"/>
  <c r="E28" i="3"/>
  <c r="D22" i="1"/>
  <c r="E50" i="3"/>
  <c r="E77" i="3"/>
  <c r="D20" i="3"/>
  <c r="D19" i="3"/>
  <c r="D18" i="3" s="1"/>
  <c r="D28" i="3"/>
  <c r="C22" i="1"/>
  <c r="D50" i="3"/>
  <c r="D77" i="3"/>
  <c r="A46" i="3"/>
  <c r="A48" i="3" s="1"/>
  <c r="A50" i="3" s="1"/>
  <c r="D76" i="1" l="1"/>
  <c r="D91" i="1" s="1"/>
  <c r="E49" i="3"/>
  <c r="E47" i="3"/>
  <c r="E75" i="3"/>
  <c r="E37" i="3"/>
  <c r="E22" i="3"/>
  <c r="C76" i="1"/>
  <c r="C91" i="1" s="1"/>
  <c r="D49" i="3"/>
  <c r="D47" i="3"/>
  <c r="D75" i="3"/>
  <c r="D37" i="3"/>
  <c r="D22" i="3"/>
  <c r="B109" i="1"/>
  <c r="C109" i="1" l="1"/>
  <c r="D31" i="3"/>
  <c r="D30" i="3" s="1"/>
  <c r="E31" i="3"/>
  <c r="E30" i="3" s="1"/>
  <c r="D109" i="1"/>
</calcChain>
</file>

<file path=xl/sharedStrings.xml><?xml version="1.0" encoding="utf-8"?>
<sst xmlns="http://schemas.openxmlformats.org/spreadsheetml/2006/main" count="208" uniqueCount="177">
  <si>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</si>
  <si>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</si>
  <si>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</si>
  <si>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</si>
  <si>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</si>
  <si>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</si>
  <si>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</si>
  <si>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</si>
  <si>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</si>
  <si>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</si>
  <si>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</si>
  <si>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</si>
  <si>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</si>
  <si>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</si>
  <si>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</si>
  <si>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</si>
  <si>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</si>
  <si>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</si>
  <si>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</si>
  <si>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</si>
  <si>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</si>
  <si>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</si>
  <si>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</si>
  <si>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</si>
  <si>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</si>
  <si>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</si>
  <si>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</si>
  <si>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</si>
  <si>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</si>
  <si>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</si>
  <si>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</si>
  <si>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</si>
  <si>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</si>
  <si>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</si>
  <si>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</si>
  <si>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</si>
  <si>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</si>
  <si>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</si>
  <si>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</si>
  <si>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</si>
  <si>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</si>
  <si>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</si>
  <si>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</si>
  <si>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</si>
  <si>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</si>
  <si>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</si>
  <si>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</si>
  <si>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</si>
  <si>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</si>
  <si>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</si>
  <si>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</si>
  <si>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</si>
  <si>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</si>
  <si>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</si>
  <si>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</si>
  <si>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</si>
  <si>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</si>
  <si>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</si>
  <si>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</si>
  <si>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</si>
  <si>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</si>
  <si>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</si>
  <si>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</si>
  <si>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</si>
  <si>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</si>
  <si>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</si>
  <si>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</si>
  <si>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</si>
  <si>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</si>
  <si>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</si>
  <si>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</si>
  <si>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</si>
  <si>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</si>
  <si>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</si>
  <si>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</si>
  <si>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</si>
  <si>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</si>
  <si>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</si>
  <si>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</si>
  <si>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</si>
  <si>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</si>
  <si>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</si>
  <si>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</si>
  <si>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</si>
  <si>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</si>
  <si>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</si>
  <si>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</si>
  <si>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</si>
  <si>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</si>
  <si>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</si>
  <si>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</si>
  <si>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</si>
  <si>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</si>
  <si>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</si>
  <si>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</si>
  <si>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</si>
  <si>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</si>
  <si>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</si>
  <si>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</si>
  <si>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</si>
  <si>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</si>
  <si>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</si>
  <si>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</si>
  <si>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</si>
  <si>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</si>
  <si>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</si>
  <si>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</si>
  <si>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</si>
  <si>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</si>
  <si>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</si>
  <si>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</si>
  <si>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</si>
  <si>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</si>
  <si>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</si>
  <si>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</si>
  <si>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</si>
  <si>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</si>
  <si>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</si>
  <si>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</si>
  <si>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</si>
  <si>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</si>
  <si>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</si>
  <si>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</si>
  <si>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</si>
  <si>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</si>
  <si>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</si>
  <si>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</si>
  <si>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</si>
  <si>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</si>
  <si>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</si>
  <si>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</si>
  <si>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</si>
  <si>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</si>
  <si>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</si>
  <si>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</si>
  <si>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</si>
  <si>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</si>
  <si>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</si>
  <si>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</si>
  <si>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</si>
  <si>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</si>
  <si>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</si>
  <si>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</si>
  <si>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</si>
  <si>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</si>
  <si>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</si>
  <si>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</si>
  <si>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</si>
  <si>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</si>
  <si>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</si>
  <si>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 (%)</t>
  </si>
  <si>
    <t>Sales</t>
  </si>
  <si>
    <t>Product sales</t>
  </si>
  <si>
    <t>Service sales</t>
  </si>
  <si>
    <t>Net sales</t>
  </si>
  <si>
    <t>Gross Margin</t>
  </si>
  <si>
    <t xml:space="preserve">Product </t>
  </si>
  <si>
    <t xml:space="preserve">Service </t>
  </si>
  <si>
    <t xml:space="preserve">Net </t>
  </si>
  <si>
    <t>Operating Expenses</t>
  </si>
  <si>
    <t>Mainline items on the balance sheet</t>
  </si>
  <si>
    <t>Assets</t>
  </si>
  <si>
    <t>Liabilities</t>
  </si>
  <si>
    <t>Equity</t>
  </si>
  <si>
    <t xml:space="preserve">   Margins as a % of net sales</t>
  </si>
  <si>
    <t>COGS</t>
  </si>
  <si>
    <t>Gross Profits</t>
  </si>
  <si>
    <t>Operating Income</t>
  </si>
  <si>
    <t>Net Profit</t>
  </si>
  <si>
    <t>capex as a percentage of fixed assets</t>
  </si>
  <si>
    <t>Price</t>
  </si>
  <si>
    <t>Its correct</t>
  </si>
  <si>
    <t>For the numerator include only term debt (under non-current liabilities), since differed revenue is not an actual form of capital</t>
  </si>
  <si>
    <t>EBIT/(interest + debt repayment) both can be found in cash flow</t>
  </si>
  <si>
    <t>EBIT / (Term debt + total equity)</t>
  </si>
  <si>
    <t xml:space="preserve"> market cap=Share price* (diluted number of shares/1000)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</si>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</sst>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" fontId="0" fillId="0" borderId="0" xfId="0" applyNumberFormat="1"/>
    <xf numFmtId="9" fontId="0" fillId="0" borderId="0" xfId="4" applyFont="1"/>
    <xf numFmtId="10" fontId="0" fillId="0" borderId="0" xfId="4" applyNumberFormat="1" applyFont="1"/>
    <xf numFmtId="164" fontId="0" fillId="0" borderId="0" xfId="0" applyNumberFormat="1"/>
    <xf numFmtId="43" fontId="0" fillId="0" borderId="0" xfId="0" applyNumberFormat="1"/>
    <xf numFmtId="44" fontId="0" fillId="0" borderId="0" xfId="3" applyFont="1"/>
    <xf numFmtId="43" fontId="2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8" fillId="0" borderId="0" xfId="0" applyFont="1"/>
    <xf numFmtId="10" fontId="8" fillId="0" borderId="0" xfId="4" applyNumberFormat="1" applyFont="1"/>
    <xf numFmtId="166" fontId="0" fillId="0" borderId="0" xfId="0" applyNumberFormat="1"/>
    <xf numFmtId="167" fontId="0" fillId="0" borderId="0" xfId="3" applyNumberFormat="1" applyFont="1"/>
    <xf numFmtId="165" fontId="0" fillId="0" borderId="0" xfId="4" applyNumberFormat="1" applyFont="1"/>
    <xf numFmtId="166" fontId="0" fillId="0" borderId="0" xfId="0" applyNumberFormat="1" applyAlignment="1">
      <alignment horizontal="left" indent="2"/>
    </xf>
    <xf numFmtId="0" fontId="11" fillId="0" borderId="0" xfId="0" applyFont="1"/>
    <xf numFmtId="0" fontId="12" fillId="0" borderId="0" xfId="0" applyFont="1"/>
    <xf numFmtId="2" fontId="11" fillId="0" borderId="0" xfId="0" applyNumberFormat="1" applyFont="1"/>
    <xf numFmtId="166" fontId="11" fillId="0" borderId="0" xfId="0" applyNumberFormat="1" applyFont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left" indent="1"/>
    </xf>
    <xf numFmtId="2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indent="2"/>
    </xf>
    <xf numFmtId="167" fontId="11" fillId="0" borderId="0" xfId="0" applyNumberFormat="1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79" workbookViewId="0">
      <selection activeCell="F86" sqref="F86:H8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6" max="6" width="12.88671875" customWidth="1"/>
    <col min="7" max="7" width="12" customWidth="1"/>
    <col min="8" max="8" width="12.5546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6" t="s">
        <v>1</v>
      </c>
      <c r="B2" s="46"/>
      <c r="C2" s="46"/>
      <c r="D2" s="46"/>
    </row>
    <row r="3" spans="1:10" x14ac:dyDescent="0.3">
      <c r="B3" s="45" t="s">
        <v>23</v>
      </c>
      <c r="C3" s="45"/>
      <c r="D3" s="4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28"/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8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G17" s="28"/>
    </row>
    <row r="18" spans="1:8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8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8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27"/>
      <c r="G22" s="27"/>
      <c r="H22" s="27"/>
    </row>
    <row r="23" spans="1:8" ht="15" thickTop="1" x14ac:dyDescent="0.3">
      <c r="A23" t="s">
        <v>19</v>
      </c>
    </row>
    <row r="24" spans="1:8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8" x14ac:dyDescent="0.3">
      <c r="A26" t="s">
        <v>22</v>
      </c>
    </row>
    <row r="27" spans="1:8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8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8" x14ac:dyDescent="0.3">
      <c r="A31" s="46" t="s">
        <v>24</v>
      </c>
      <c r="B31" s="46"/>
      <c r="C31" s="46"/>
      <c r="D31" s="46"/>
    </row>
    <row r="32" spans="1:8" x14ac:dyDescent="0.3">
      <c r="B32" s="45" t="s">
        <v>142</v>
      </c>
      <c r="C32" s="45"/>
      <c r="D32" s="4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8" ht="15" thickTop="1" x14ac:dyDescent="0.3"/>
    <row r="50" spans="1:8" x14ac:dyDescent="0.3">
      <c r="A50" t="s">
        <v>34</v>
      </c>
    </row>
    <row r="51" spans="1:8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8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8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8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8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8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8" x14ac:dyDescent="0.3">
      <c r="A57" t="s">
        <v>51</v>
      </c>
      <c r="B57" s="12"/>
      <c r="C57" s="12"/>
      <c r="D57" s="12"/>
    </row>
    <row r="58" spans="1:8" x14ac:dyDescent="0.3">
      <c r="A58" s="1" t="s">
        <v>37</v>
      </c>
      <c r="B58" s="12"/>
      <c r="C58" s="12"/>
      <c r="D58" s="12"/>
      <c r="G58" s="2"/>
    </row>
    <row r="59" spans="1:8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8" x14ac:dyDescent="0.3">
      <c r="A60" s="1" t="s">
        <v>52</v>
      </c>
      <c r="B60" s="12">
        <v>49142</v>
      </c>
      <c r="C60" s="12">
        <v>53325</v>
      </c>
      <c r="D60" s="12">
        <v>54490</v>
      </c>
      <c r="F60" s="28"/>
      <c r="G60" s="28"/>
      <c r="H60" s="28"/>
    </row>
    <row r="61" spans="1:8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8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8" x14ac:dyDescent="0.3">
      <c r="B63" s="12"/>
      <c r="C63" s="12"/>
      <c r="D63" s="12"/>
    </row>
    <row r="64" spans="1:8" x14ac:dyDescent="0.3">
      <c r="A64" t="s">
        <v>42</v>
      </c>
      <c r="B64" s="12"/>
      <c r="C64" s="12"/>
      <c r="D64" s="12"/>
    </row>
    <row r="65" spans="1:9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46" t="s">
        <v>55</v>
      </c>
      <c r="B71" s="46"/>
      <c r="C71" s="46"/>
      <c r="D71" s="46"/>
    </row>
    <row r="72" spans="1:9" x14ac:dyDescent="0.3">
      <c r="B72" s="45" t="s">
        <v>23</v>
      </c>
      <c r="C72" s="45"/>
      <c r="D72" s="45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 s="27"/>
    </row>
    <row r="77" spans="1:9" x14ac:dyDescent="0.3">
      <c r="A77" s="11" t="s">
        <v>18</v>
      </c>
      <c r="B77" s="15"/>
      <c r="C77" s="15"/>
      <c r="D77" s="15"/>
      <c r="G77" s="27"/>
      <c r="H77" s="27"/>
      <c r="I77" s="27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8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8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8" x14ac:dyDescent="0.3">
      <c r="A83" t="s">
        <v>62</v>
      </c>
      <c r="B83" s="12"/>
      <c r="C83" s="12"/>
      <c r="D83" s="12"/>
    </row>
    <row r="84" spans="1:8" x14ac:dyDescent="0.3">
      <c r="A84" s="1" t="s">
        <v>28</v>
      </c>
      <c r="B84" s="12">
        <v>-1823</v>
      </c>
      <c r="C84" s="12">
        <v>-10125</v>
      </c>
      <c r="D84" s="12">
        <v>6917</v>
      </c>
      <c r="F84" s="45" t="s">
        <v>123</v>
      </c>
      <c r="G84" s="45"/>
      <c r="H84" s="45"/>
    </row>
    <row r="85" spans="1:8" x14ac:dyDescent="0.3">
      <c r="A85" s="1" t="s">
        <v>29</v>
      </c>
      <c r="B85" s="12">
        <v>1484</v>
      </c>
      <c r="C85" s="12">
        <v>-2642</v>
      </c>
      <c r="D85" s="12">
        <v>-127</v>
      </c>
      <c r="F85" s="30">
        <f>'Financial Statements'!B91+B104*('Financial Statements'!B21/'Financial Statements'!B20)-(-B96)</f>
        <v>112328.5738310538</v>
      </c>
      <c r="G85" s="30">
        <f>'Financial Statements'!C91+C104*('Financial Statements'!C21/'Financial Statements'!C20)-(-C96)</f>
        <v>95665.730053934269</v>
      </c>
      <c r="H85" s="30">
        <f>'Financial Statements'!D91+D104*('Financial Statements'!D21/'Financial Statements'!D20)-(-D96)</f>
        <v>75686.635986943103</v>
      </c>
    </row>
    <row r="86" spans="1:8" x14ac:dyDescent="0.3">
      <c r="A86" s="1" t="s">
        <v>47</v>
      </c>
      <c r="B86" s="12">
        <v>-7520</v>
      </c>
      <c r="C86" s="12">
        <v>-3903</v>
      </c>
      <c r="D86" s="12">
        <v>1553</v>
      </c>
      <c r="F86" s="27">
        <f>B18-(-B96)+B104</f>
        <v>114194</v>
      </c>
      <c r="G86" s="27">
        <f t="shared" ref="G86:H86" si="19">C18-(-C96)+C104</f>
        <v>118257</v>
      </c>
      <c r="H86" s="27">
        <f t="shared" si="19"/>
        <v>75070</v>
      </c>
    </row>
    <row r="87" spans="1:8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8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8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8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8" x14ac:dyDescent="0.3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8" x14ac:dyDescent="0.3">
      <c r="A92" s="7" t="s">
        <v>64</v>
      </c>
      <c r="B92" s="12"/>
      <c r="C92" s="12"/>
      <c r="D92" s="12"/>
    </row>
    <row r="93" spans="1:8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8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8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8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3">
      <c r="B115" s="27"/>
    </row>
  </sheetData>
  <mergeCells count="7">
    <mergeCell ref="F84:H84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16" workbookViewId="0">
      <selection activeCell="F31" sqref="F31"/>
    </sheetView>
  </sheetViews>
  <sheetFormatPr defaultRowHeight="14.4" x14ac:dyDescent="0.3"/>
  <cols>
    <col min="1" max="1" width="4.6640625" customWidth="1"/>
    <col min="2" max="2" width="47.21875" customWidth="1"/>
    <col min="3" max="3" width="15.21875" customWidth="1"/>
    <col min="4" max="4" width="15.109375" customWidth="1"/>
    <col min="5" max="5" width="15.6640625" customWidth="1"/>
    <col min="6" max="6" width="44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44" t="s">
        <v>176</v>
      </c>
      <c r="G1" s="19"/>
      <c r="H1" s="19"/>
      <c r="I1" s="19"/>
      <c r="J1" s="19"/>
    </row>
    <row r="2" spans="1:10" x14ac:dyDescent="0.3">
      <c r="C2" s="45" t="s">
        <v>23</v>
      </c>
      <c r="D2" s="45"/>
      <c r="E2" s="4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40"/>
    </row>
    <row r="4" spans="1:10" x14ac:dyDescent="0.3">
      <c r="A4" s="18">
        <v>1</v>
      </c>
      <c r="B4" s="7" t="s">
        <v>99</v>
      </c>
      <c r="F4" s="40"/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  <c r="F5" s="40"/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F6" s="40"/>
    </row>
    <row r="7" spans="1:10" x14ac:dyDescent="0.3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  <c r="F7" s="40"/>
    </row>
    <row r="8" spans="1:10" s="33" customFormat="1" x14ac:dyDescent="0.3">
      <c r="A8" s="31">
        <f t="shared" si="0"/>
        <v>1.4000000000000004</v>
      </c>
      <c r="B8" s="32" t="s">
        <v>103</v>
      </c>
      <c r="C8" s="31">
        <f>('Financial Statements'!B42)/('Financial Statements'!B17/365)</f>
        <v>962.56354075372474</v>
      </c>
      <c r="D8" s="31">
        <f>('Financial Statements'!C42)/('Financial Statements'!C17/365)</f>
        <v>1121.4058832911796</v>
      </c>
      <c r="E8" s="31">
        <f>('Financial Statements'!D42)/('Financial Statements'!D17/365)</f>
        <v>1356.5543860556534</v>
      </c>
      <c r="F8" s="41" t="s">
        <v>171</v>
      </c>
    </row>
    <row r="9" spans="1:10" x14ac:dyDescent="0.3">
      <c r="A9" s="18">
        <f t="shared" si="0"/>
        <v>1.5000000000000004</v>
      </c>
      <c r="B9" s="1" t="s">
        <v>104</v>
      </c>
      <c r="C9" s="23">
        <f>((('Financial Statements'!B39+'Financial Statements'!C39)/2)/'Financial Statements'!B12)*365</f>
        <v>9.4096740715557434</v>
      </c>
      <c r="D9" s="23">
        <f>((('Financial Statements'!C39+'Financial Statements'!D39)/2)/'Financial Statements'!C12)*365</f>
        <v>9.1181020842234748</v>
      </c>
      <c r="E9" s="23">
        <f>((('Financial Statements'!D39+4106)/2)/'Financial Statements'!D12)*365</f>
        <v>8.7903178244740765</v>
      </c>
      <c r="F9" s="40"/>
    </row>
    <row r="10" spans="1:10" x14ac:dyDescent="0.3">
      <c r="A10" s="18">
        <f t="shared" si="0"/>
        <v>1.6000000000000005</v>
      </c>
      <c r="B10" s="1" t="s">
        <v>105</v>
      </c>
      <c r="C10" s="23">
        <f>(('Financial Statements'!B51)/'Financial Statements'!B12)*365</f>
        <v>104.68527730310539</v>
      </c>
      <c r="D10" s="23">
        <f>((('Financial Statements'!C51))/'Financial Statements'!C12)*365</f>
        <v>93.851071222315596</v>
      </c>
      <c r="E10" s="23">
        <f>(42296/169559)*365</f>
        <v>91.048189715674198</v>
      </c>
      <c r="F10" s="40"/>
    </row>
    <row r="11" spans="1:10" x14ac:dyDescent="0.3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18">
        <f>('Financial Statements'!D38/'Financial Statements'!D8)*365</f>
        <v>21.433437152796749</v>
      </c>
      <c r="F11" s="40"/>
    </row>
    <row r="12" spans="1:10" x14ac:dyDescent="0.3">
      <c r="A12" s="18">
        <f t="shared" si="0"/>
        <v>1.8000000000000007</v>
      </c>
      <c r="B12" s="1" t="s">
        <v>107</v>
      </c>
      <c r="C12" s="23">
        <f>C11+C9-C10</f>
        <v>-69.187777867893004</v>
      </c>
      <c r="D12" s="23">
        <f t="shared" ref="D12:E12" si="1">D11+D9-D10</f>
        <v>-58.513657296378916</v>
      </c>
      <c r="E12" s="23">
        <f t="shared" si="1"/>
        <v>-60.824434738403369</v>
      </c>
      <c r="F12" s="40"/>
    </row>
    <row r="13" spans="1:10" x14ac:dyDescent="0.3">
      <c r="A13" s="18">
        <f t="shared" si="0"/>
        <v>1.9000000000000008</v>
      </c>
      <c r="B13" s="1" t="s">
        <v>108</v>
      </c>
      <c r="C13" s="26">
        <f>C14/'Financial Statements'!B8</f>
        <v>-4.711052727678481E-2</v>
      </c>
      <c r="D13" s="26">
        <f>D14/'Financial Statements'!C8</f>
        <v>2.557289573748623E-2</v>
      </c>
      <c r="E13" s="26">
        <f>E14/'Financial Statements'!D8</f>
        <v>0.13959528623208203</v>
      </c>
      <c r="F13" s="40"/>
    </row>
    <row r="14" spans="1:10" x14ac:dyDescent="0.3">
      <c r="A14" s="18"/>
      <c r="B14" s="3" t="s">
        <v>109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F14" s="40"/>
    </row>
    <row r="15" spans="1:10" x14ac:dyDescent="0.3">
      <c r="A15" s="18"/>
      <c r="F15" s="40"/>
    </row>
    <row r="16" spans="1:10" x14ac:dyDescent="0.3">
      <c r="A16" s="18">
        <f>+A4+1</f>
        <v>2</v>
      </c>
      <c r="B16" s="17" t="s">
        <v>110</v>
      </c>
      <c r="F16" s="40"/>
    </row>
    <row r="17" spans="1:6" x14ac:dyDescent="0.3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  <c r="F17" s="40"/>
    </row>
    <row r="18" spans="1:6" x14ac:dyDescent="0.3">
      <c r="A18" s="18">
        <f>+A17+0.1</f>
        <v>2.2000000000000002</v>
      </c>
      <c r="B18" s="1" t="s">
        <v>111</v>
      </c>
      <c r="C18" s="25">
        <f>'List of Ratios'!C19/'Financial Statements'!B8</f>
        <v>0.3310467428130896</v>
      </c>
      <c r="D18" s="25">
        <f>'List of Ratios'!D19/'Financial Statements'!C8</f>
        <v>0.32866979938056462</v>
      </c>
      <c r="E18" s="25">
        <f>'List of Ratios'!E19/'Financial Statements'!D8</f>
        <v>0.2817478097736007</v>
      </c>
      <c r="F18" s="40"/>
    </row>
    <row r="19" spans="1:6" x14ac:dyDescent="0.3">
      <c r="A19" s="18"/>
      <c r="B19" s="3" t="s">
        <v>112</v>
      </c>
      <c r="C19" s="29">
        <f>C21+'Financial Statements'!B79</f>
        <v>130541</v>
      </c>
      <c r="D19" s="29">
        <f>D21+'Financial Statements'!C79</f>
        <v>120233</v>
      </c>
      <c r="E19" s="29">
        <f>E21+'Financial Statements'!D79</f>
        <v>77344</v>
      </c>
      <c r="F19" s="40"/>
    </row>
    <row r="20" spans="1:6" x14ac:dyDescent="0.3">
      <c r="A20" s="18">
        <f>+A18+0.1</f>
        <v>2.3000000000000003</v>
      </c>
      <c r="B20" s="1" t="s">
        <v>113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  <c r="F20" s="40"/>
    </row>
    <row r="21" spans="1:6" x14ac:dyDescent="0.3">
      <c r="A21" s="18"/>
      <c r="B21" s="3" t="s">
        <v>114</v>
      </c>
      <c r="C21" s="29">
        <f>'Financial Statements'!B18</f>
        <v>119437</v>
      </c>
      <c r="D21" s="29">
        <f>'Financial Statements'!C18</f>
        <v>108949</v>
      </c>
      <c r="E21" s="29">
        <f>'Financial Statements'!D18</f>
        <v>66288</v>
      </c>
      <c r="F21" s="40"/>
    </row>
    <row r="22" spans="1:6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F22" s="40"/>
    </row>
    <row r="23" spans="1:6" x14ac:dyDescent="0.3">
      <c r="A23" s="18"/>
      <c r="F23" s="40"/>
    </row>
    <row r="24" spans="1:6" x14ac:dyDescent="0.3">
      <c r="A24" s="18">
        <f>+A16+1</f>
        <v>3</v>
      </c>
      <c r="B24" s="7" t="s">
        <v>116</v>
      </c>
      <c r="F24" s="40"/>
    </row>
    <row r="25" spans="1:6" x14ac:dyDescent="0.3">
      <c r="A25" s="18">
        <f>+A24+0.1</f>
        <v>3.1</v>
      </c>
      <c r="B25" s="1" t="s">
        <v>117</v>
      </c>
      <c r="C25" s="23">
        <f>'Financial Statements'!B59/'Financial Statements'!B68</f>
        <v>1.9529325860435744</v>
      </c>
      <c r="D25" s="23">
        <f>'Financial Statements'!C59/'Financial Statements'!C68</f>
        <v>1.729370740212395</v>
      </c>
      <c r="E25" s="23">
        <f>'Financial Statements'!D59/'Financial Statements'!D68</f>
        <v>1.5100782075024104</v>
      </c>
      <c r="F25" s="40" t="s">
        <v>172</v>
      </c>
    </row>
    <row r="26" spans="1:6" x14ac:dyDescent="0.3">
      <c r="A26" s="18">
        <f t="shared" ref="A26:A30" si="2">+A25+0.1</f>
        <v>3.2</v>
      </c>
      <c r="B26" s="1" t="s">
        <v>118</v>
      </c>
      <c r="C26" s="23">
        <f>'Financial Statements'!B59/'Financial Statements'!B48</f>
        <v>0.28053181386514719</v>
      </c>
      <c r="D26" s="23">
        <f>'Financial Statements'!C59/'Financial Statements'!C48</f>
        <v>0.31084153366647482</v>
      </c>
      <c r="E26" s="23">
        <f>'Financial Statements'!D59/'Financial Statements'!D48</f>
        <v>0.30463308304105124</v>
      </c>
      <c r="F26" s="40" t="s">
        <v>172</v>
      </c>
    </row>
    <row r="27" spans="1:6" s="40" customFormat="1" x14ac:dyDescent="0.3">
      <c r="A27" s="48">
        <f t="shared" si="2"/>
        <v>3.3000000000000003</v>
      </c>
      <c r="B27" s="49" t="s">
        <v>119</v>
      </c>
      <c r="C27" s="42">
        <f>'Financial Statements'!B59/('Financial Statements'!B59+'Financial Statements'!B65)</f>
        <v>0.60411579410041027</v>
      </c>
      <c r="D27" s="42">
        <f>'Financial Statements'!C59/('Financial Statements'!C59+'Financial Statements'!C65)</f>
        <v>0.65540544599359651</v>
      </c>
      <c r="E27" s="42">
        <f>'Financial Statements'!D59/('Financial Statements'!D59+'Financial Statements'!D65)</f>
        <v>0.66021840664855536</v>
      </c>
    </row>
    <row r="28" spans="1:6" x14ac:dyDescent="0.3">
      <c r="A28" s="18">
        <f t="shared" si="2"/>
        <v>3.4000000000000004</v>
      </c>
      <c r="B28" s="1" t="s">
        <v>120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  <c r="F28" s="40"/>
    </row>
    <row r="29" spans="1:6" s="42" customFormat="1" x14ac:dyDescent="0.3">
      <c r="A29" s="42">
        <f t="shared" si="2"/>
        <v>3.5000000000000004</v>
      </c>
      <c r="B29" s="50" t="s">
        <v>121</v>
      </c>
      <c r="C29" s="42">
        <f>'Financial Statements'!B13/('Financial Statements'!B113+'Financial Statements'!B114)</f>
        <v>7.6112844282021568</v>
      </c>
      <c r="D29" s="42">
        <f>'Financial Statements'!C13/('Financial Statements'!C113+'Financial Statements'!C114)</f>
        <v>5.4444286121402108</v>
      </c>
      <c r="E29" s="42">
        <f>'Financial Statements'!D13/('Financial Statements'!D113+'Financial Statements'!D114)</f>
        <v>8.3944653283212034</v>
      </c>
      <c r="F29" s="42" t="s">
        <v>173</v>
      </c>
    </row>
    <row r="30" spans="1:6" x14ac:dyDescent="0.3">
      <c r="A30" s="18">
        <f t="shared" si="2"/>
        <v>3.6000000000000005</v>
      </c>
      <c r="B30" s="1" t="s">
        <v>122</v>
      </c>
      <c r="C30" s="23">
        <f>C31*1000/'Financial Statements'!B27</f>
        <v>6.9270368852626136</v>
      </c>
      <c r="D30" s="23">
        <f>D31*1000/'Financial Statements'!C27</f>
        <v>5.728050537344358</v>
      </c>
      <c r="E30" s="23">
        <f>E31*1000/'Financial Statements'!D27</f>
        <v>4.3618094128413434</v>
      </c>
      <c r="F30" s="40"/>
    </row>
    <row r="31" spans="1:6" s="40" customFormat="1" x14ac:dyDescent="0.3">
      <c r="A31" s="48"/>
      <c r="B31" s="51" t="s">
        <v>123</v>
      </c>
      <c r="C31" s="52">
        <f>'Financial Statements'!F85</f>
        <v>112328.5738310538</v>
      </c>
      <c r="D31" s="52">
        <f>'Financial Statements'!G85</f>
        <v>95665.730053934269</v>
      </c>
      <c r="E31" s="52">
        <f>'Financial Statements'!H85</f>
        <v>75686.635986943103</v>
      </c>
    </row>
    <row r="32" spans="1:6" x14ac:dyDescent="0.3">
      <c r="A32" s="18"/>
      <c r="F32" s="40"/>
    </row>
    <row r="33" spans="1:10" x14ac:dyDescent="0.3">
      <c r="A33" s="18">
        <f>+A24+1</f>
        <v>4</v>
      </c>
      <c r="B33" s="17" t="s">
        <v>124</v>
      </c>
      <c r="F33" s="40"/>
    </row>
    <row r="34" spans="1:10" x14ac:dyDescent="0.3">
      <c r="A34" s="18">
        <f>+A33+0.1</f>
        <v>4.0999999999999996</v>
      </c>
      <c r="B34" s="1" t="s">
        <v>125</v>
      </c>
      <c r="C34" s="23">
        <f>'Financial Statements'!B8/(('Financial Statements'!B48+'Financial Statements'!C48)/2)</f>
        <v>1.1206368107173357</v>
      </c>
      <c r="D34" s="23">
        <f>'Financial Statements'!C8/(('Financial Statements'!C48+'Financial Statements'!D48)/2)</f>
        <v>1.084078886929722</v>
      </c>
      <c r="E34" s="23">
        <f>'Financial Statements'!D8/(('Financial Statements'!D48+338516)/2)</f>
        <v>0.82884463258072116</v>
      </c>
      <c r="F34" s="40"/>
    </row>
    <row r="35" spans="1:10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Statements'!B45+'Financial Statements'!C45)/2)</f>
        <v>9.6699976703409884</v>
      </c>
      <c r="D35" s="23">
        <f>'Financial Statements'!C8/(('Financial Statements'!C45+'Financial Statements'!D45)/2)</f>
        <v>9.6007400992047867</v>
      </c>
      <c r="E35" s="23">
        <f>'Financial Statements'!D8/(('Financial Statements'!D45+37378)/2)</f>
        <v>7.4049147604661201</v>
      </c>
      <c r="F35" s="40"/>
    </row>
    <row r="36" spans="1:10" x14ac:dyDescent="0.3">
      <c r="A36" s="18">
        <f t="shared" si="3"/>
        <v>4.2999999999999989</v>
      </c>
      <c r="B36" s="1" t="s">
        <v>127</v>
      </c>
      <c r="C36" s="23">
        <f>'Financial Statements'!B12/(('Financial Statements'!B39+'Financial Statements'!C39)/2)</f>
        <v>38.789866389033492</v>
      </c>
      <c r="D36" s="23">
        <f>'Financial Statements'!C12/(('Financial Statements'!C39+'Financial Statements'!D39)/2)</f>
        <v>40.030260313880277</v>
      </c>
      <c r="E36" s="23">
        <f>'Financial Statements'!D12/(('Financial Statements'!D39+4106)/2)</f>
        <v>41.52295824660218</v>
      </c>
      <c r="F36" s="40"/>
    </row>
    <row r="37" spans="1:10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F37" s="40"/>
    </row>
    <row r="38" spans="1:10" x14ac:dyDescent="0.3">
      <c r="A38" s="18"/>
      <c r="F38" s="40"/>
    </row>
    <row r="39" spans="1:10" x14ac:dyDescent="0.3">
      <c r="A39" s="18">
        <f>+A33+1</f>
        <v>5</v>
      </c>
      <c r="B39" s="17" t="s">
        <v>129</v>
      </c>
      <c r="F39" s="40"/>
      <c r="H39" s="47" t="s">
        <v>170</v>
      </c>
      <c r="I39" s="47"/>
      <c r="J39" s="47"/>
    </row>
    <row r="40" spans="1:10" x14ac:dyDescent="0.3">
      <c r="A40" s="18">
        <f>+A39+0.1</f>
        <v>5.0999999999999996</v>
      </c>
      <c r="B40" s="1" t="s">
        <v>130</v>
      </c>
      <c r="C40" s="23">
        <f>H40/C41</f>
        <v>24.620294599018003</v>
      </c>
      <c r="D40" s="23">
        <f t="shared" ref="D40:E40" si="4">I40/D41</f>
        <v>26.188948306595361</v>
      </c>
      <c r="E40" s="23">
        <f t="shared" si="4"/>
        <v>34.231707317073173</v>
      </c>
      <c r="F40" s="40"/>
      <c r="H40">
        <v>150.43</v>
      </c>
      <c r="I40">
        <v>146.91999999999999</v>
      </c>
      <c r="J40">
        <v>112.28</v>
      </c>
    </row>
    <row r="41" spans="1:10" x14ac:dyDescent="0.3">
      <c r="A41" s="18">
        <f t="shared" ref="A41:A44" si="5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F41" s="40"/>
    </row>
    <row r="42" spans="1:10" x14ac:dyDescent="0.3">
      <c r="A42" s="18">
        <f t="shared" si="5"/>
        <v>5.2999999999999989</v>
      </c>
      <c r="B42" s="1" t="s">
        <v>132</v>
      </c>
      <c r="C42" s="24">
        <f>H40/C43</f>
        <v>48.466469690756242</v>
      </c>
      <c r="D42" s="24">
        <f t="shared" ref="D42:E42" si="6">I40/D43</f>
        <v>39.273956244729753</v>
      </c>
      <c r="E42" s="24">
        <f t="shared" si="6"/>
        <v>30.120875249391634</v>
      </c>
      <c r="F42" s="40"/>
    </row>
    <row r="43" spans="1:10" s="36" customFormat="1" x14ac:dyDescent="0.3">
      <c r="A43" s="36">
        <f t="shared" si="5"/>
        <v>5.3999999999999986</v>
      </c>
      <c r="B43" s="39" t="s">
        <v>133</v>
      </c>
      <c r="C43" s="36">
        <f>'Financial Statements'!B68*1000/'Financial Statements'!B28</f>
        <v>3.1037952827971447</v>
      </c>
      <c r="D43" s="36">
        <f>'Financial Statements'!C68*1000/'Financial Statements'!C28</f>
        <v>3.740901453484597</v>
      </c>
      <c r="E43" s="36">
        <f>'Financial Statements'!D68*1000/'Financial Statements'!D28</f>
        <v>3.7276473233382479</v>
      </c>
      <c r="F43" s="43"/>
    </row>
    <row r="44" spans="1:10" x14ac:dyDescent="0.3">
      <c r="A44" s="18">
        <f t="shared" si="5"/>
        <v>5.4999999999999982</v>
      </c>
      <c r="B44" s="1" t="s">
        <v>134</v>
      </c>
      <c r="C44" s="23">
        <f>C45/C41</f>
        <v>0.14878083013397295</v>
      </c>
      <c r="D44" s="23">
        <f t="shared" ref="D44:E44" si="7">D45/D41</f>
        <v>0.15290840583271575</v>
      </c>
      <c r="E44" s="23">
        <f t="shared" si="7"/>
        <v>0.24491872388584765</v>
      </c>
      <c r="F44" s="40"/>
    </row>
    <row r="45" spans="1:10" x14ac:dyDescent="0.3">
      <c r="A45" s="18"/>
      <c r="B45" s="3" t="s">
        <v>135</v>
      </c>
      <c r="C45" s="36">
        <f>-'Financial Statements'!B102*1000/'Financial Statements'!B28</f>
        <v>0.90905087211857483</v>
      </c>
      <c r="D45" s="36">
        <f>-'Financial Statements'!C102*1000/'Financial Statements'!C28</f>
        <v>0.85781615672153544</v>
      </c>
      <c r="E45" s="36">
        <f>-'Financial Statements'!D102*1000/'Financial Statements'!D28</f>
        <v>0.80333341434558025</v>
      </c>
      <c r="F45" s="40"/>
    </row>
    <row r="46" spans="1:10" x14ac:dyDescent="0.3">
      <c r="A46" s="18">
        <f>+A44+0.1</f>
        <v>5.5999999999999979</v>
      </c>
      <c r="B46" s="1" t="s">
        <v>136</v>
      </c>
      <c r="C46" s="26">
        <f>C45/H40</f>
        <v>6.0430158353956976E-3</v>
      </c>
      <c r="D46" s="26">
        <f t="shared" ref="D46:E46" si="8">D45/I40</f>
        <v>5.8386615622211787E-3</v>
      </c>
      <c r="E46" s="26">
        <f t="shared" si="8"/>
        <v>7.1547329385961899E-3</v>
      </c>
      <c r="F46" s="40"/>
    </row>
    <row r="47" spans="1:10" x14ac:dyDescent="0.3">
      <c r="A47" s="18">
        <f t="shared" ref="A47:A50" si="9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  <c r="F47" s="40"/>
    </row>
    <row r="48" spans="1:10" x14ac:dyDescent="0.3">
      <c r="A48" s="18">
        <f t="shared" si="9"/>
        <v>5.6999999999999975</v>
      </c>
      <c r="B48" s="1" t="s">
        <v>138</v>
      </c>
      <c r="C48" s="26">
        <f>'Financial Statements'!B18/('Financial Statements'!B48-'Financial Statements'!B56)</f>
        <v>0.60087134570590572</v>
      </c>
      <c r="D48" s="26">
        <f>'Financial Statements'!C18/('Financial Statements'!C48-'Financial Statements'!C56)</f>
        <v>0.48309913489209433</v>
      </c>
      <c r="E48" s="26">
        <f>'Financial Statements'!D18/('Financial Statements'!D48-'Financial Statements'!D56)</f>
        <v>0.30338312829525482</v>
      </c>
      <c r="F48" s="40" t="s">
        <v>174</v>
      </c>
    </row>
    <row r="49" spans="1:6" x14ac:dyDescent="0.3">
      <c r="A49" s="18">
        <f t="shared" si="9"/>
        <v>0.2</v>
      </c>
      <c r="B49" s="1" t="s">
        <v>128</v>
      </c>
      <c r="C49" s="26">
        <f>'Financial Statements'!B22/'Financial Statements'!B48</f>
        <v>0.28292440929256851</v>
      </c>
      <c r="D49" s="26">
        <f>'Financial Statements'!C22/'Financial Statements'!C48</f>
        <v>0.26974205275183616</v>
      </c>
      <c r="E49" s="26">
        <f>'Financial Statements'!D22/'Financial Statements'!D48</f>
        <v>0.1772557180259843</v>
      </c>
      <c r="F49" s="40"/>
    </row>
    <row r="50" spans="1:6" x14ac:dyDescent="0.3">
      <c r="A50" s="18">
        <f t="shared" si="9"/>
        <v>5.7999999999999972</v>
      </c>
      <c r="B50" s="1" t="s">
        <v>139</v>
      </c>
      <c r="C50" s="38">
        <f>C51/('Financial Statements'!B20*1000)</f>
        <v>20.620634183605787</v>
      </c>
      <c r="D50" s="38">
        <f>D51/('Financial Statements'!C20*1000)</f>
        <v>22.689733061800069</v>
      </c>
      <c r="E50" s="38">
        <f>E51/('Financial Statements'!D20*1000)</f>
        <v>29.335339940081383</v>
      </c>
      <c r="F50" s="40"/>
    </row>
    <row r="51" spans="1:6" x14ac:dyDescent="0.3">
      <c r="A51" s="18"/>
      <c r="B51" s="3" t="s">
        <v>140</v>
      </c>
      <c r="C51" s="37">
        <f>(H40*'Financial Statements'!B28)+('Financial Statements'!B55+'Financial Statements'!B59)-'Financial Statements'!B36</f>
        <v>2455979393.1700001</v>
      </c>
      <c r="D51" s="37">
        <f>(I40*'Financial Statements'!C28)+('Financial Statements'!C55+'Financial Statements'!C59)-'Financial Statements'!C36</f>
        <v>2477877678.48</v>
      </c>
      <c r="E51" s="37">
        <f>(J40*'Financial Statements'!D28)+('Financial Statements'!D55+'Financial Statements'!D59)-'Financial Statements'!D36</f>
        <v>1968137291.9200001</v>
      </c>
      <c r="F51" s="40" t="s">
        <v>175</v>
      </c>
    </row>
    <row r="52" spans="1:6" x14ac:dyDescent="0.3">
      <c r="F52" s="40"/>
    </row>
    <row r="53" spans="1:6" x14ac:dyDescent="0.3">
      <c r="B53" s="11" t="s">
        <v>150</v>
      </c>
      <c r="F53" s="40"/>
    </row>
    <row r="54" spans="1:6" x14ac:dyDescent="0.3">
      <c r="A54">
        <v>6</v>
      </c>
      <c r="B54" s="11" t="s">
        <v>151</v>
      </c>
      <c r="F54" s="40"/>
    </row>
    <row r="55" spans="1:6" x14ac:dyDescent="0.3">
      <c r="A55">
        <v>6.1</v>
      </c>
      <c r="B55" t="s">
        <v>152</v>
      </c>
      <c r="C55" s="26">
        <f>('Financial Statements'!B6-'Financial Statements'!C6)/'Financial Statements'!C6</f>
        <v>6.3239764351428418E-2</v>
      </c>
      <c r="D55" s="26">
        <f>('Financial Statements'!C6-'Financial Statements'!D6)/'Financial Statements'!D6</f>
        <v>0.34720743656765435</v>
      </c>
      <c r="E55" s="26">
        <f>('Financial Statements'!D6-213883)/213883</f>
        <v>3.2092312151970941E-2</v>
      </c>
      <c r="F55" s="40"/>
    </row>
    <row r="56" spans="1:6" x14ac:dyDescent="0.3">
      <c r="A56">
        <v>6.2</v>
      </c>
      <c r="B56" t="s">
        <v>153</v>
      </c>
      <c r="C56" s="26">
        <f>('Financial Statements'!B7-'Financial Statements'!C7)/'Financial Statements'!C7</f>
        <v>0.14181951041286078</v>
      </c>
      <c r="D56" s="26">
        <f>('Financial Statements'!C7-'Financial Statements'!D7)/'Financial Statements'!D7</f>
        <v>0.27259708376729652</v>
      </c>
      <c r="E56" s="26">
        <f>('Financial Statements'!D7-46291)/46291</f>
        <v>0.16152167807997234</v>
      </c>
      <c r="F56" s="40"/>
    </row>
    <row r="57" spans="1:6" x14ac:dyDescent="0.3">
      <c r="A57">
        <v>6.3</v>
      </c>
      <c r="B57" t="s">
        <v>154</v>
      </c>
      <c r="C57" s="26">
        <f>('Financial Statements'!B8-'Financial Statements'!C8)/'Financial Statements'!C8</f>
        <v>7.7937876041846058E-2</v>
      </c>
      <c r="D57" s="26">
        <f>('Financial Statements'!C8-'Financial Statements'!D8)/'Financial Statements'!D8</f>
        <v>0.33259384733074693</v>
      </c>
      <c r="E57" s="26">
        <f>('Financial Statements'!D8-260174)/260174</f>
        <v>5.5120803769784836E-2</v>
      </c>
      <c r="F57" s="40"/>
    </row>
    <row r="58" spans="1:6" x14ac:dyDescent="0.3">
      <c r="A58">
        <v>7</v>
      </c>
      <c r="B58" s="7" t="s">
        <v>155</v>
      </c>
      <c r="C58" s="25"/>
      <c r="D58" s="25"/>
      <c r="E58" s="25"/>
      <c r="F58" s="40"/>
    </row>
    <row r="59" spans="1:6" x14ac:dyDescent="0.3">
      <c r="A59">
        <v>7.1</v>
      </c>
      <c r="B59" t="s">
        <v>156</v>
      </c>
      <c r="C59" s="26">
        <f>(('Financial Statements'!B6-'Financial Statements'!B10)-('Financial Statements'!C6-'Financial Statements'!C10))/('Financial Statements'!C6-'Financial Statements'!C10)</f>
        <v>9.1338013431501247E-2</v>
      </c>
      <c r="D59" s="26">
        <f>(('Financial Statements'!C6-'Financial Statements'!C10)-('Financial Statements'!D6-'Financial Statements'!D10))/('Financial Statements'!D6-'Financial Statements'!D10)</f>
        <v>0.51345359266350898</v>
      </c>
      <c r="E59" s="26">
        <f>((('Financial Statements'!D6-'Financial Statements'!D10)-(213883-144996))/(213883-144996))</f>
        <v>8.3324865359211461E-3</v>
      </c>
      <c r="F59" s="40"/>
    </row>
    <row r="60" spans="1:6" x14ac:dyDescent="0.3">
      <c r="A60">
        <v>7.2</v>
      </c>
      <c r="B60" t="s">
        <v>157</v>
      </c>
      <c r="C60" s="26">
        <f>(('Financial Statements'!B7-'Financial Statements'!B11)-('Financial Statements'!C7-'Financial Statements'!C11))/('Financial Statements'!C7-'Financial Statements'!C11)</f>
        <v>0.17488996017606373</v>
      </c>
      <c r="D60" s="26">
        <f>(('Financial Statements'!C7-'Financial Statements'!C11)-('Financial Statements'!D7-'Financial Statements'!D11))/('Financial Statements'!D7-'Financial Statements'!D11)</f>
        <v>0.34413297647555996</v>
      </c>
      <c r="E60" s="26">
        <f>(('Financial Statements'!D7-'Financial Statements'!D11)-(46291-16786))/(46291-16786)</f>
        <v>0.20301643789188273</v>
      </c>
      <c r="F60" s="40"/>
    </row>
    <row r="61" spans="1:6" x14ac:dyDescent="0.3">
      <c r="A61">
        <v>7.3</v>
      </c>
      <c r="B61" t="s">
        <v>158</v>
      </c>
      <c r="C61" s="26">
        <f>(('Financial Statements'!B8-'Financial Statements'!B12)-('Financial Statements'!C8-'Financial Statements'!C12))/('Financial Statements'!C8-'Financial Statements'!C12)</f>
        <v>0.11741997958596143</v>
      </c>
      <c r="D61" s="26">
        <f>(('Financial Statements'!C8-'Financial Statements'!C12)-('Financial Statements'!D8-'Financial Statements'!D12))/('Financial Statements'!D8-'Financial Statements'!D12)</f>
        <v>0.45619116582186819</v>
      </c>
      <c r="E61" s="26">
        <f>(('Financial Statements'!D8-'Financial Statements'!D12)-(260174-161782))/(260174-161782)</f>
        <v>6.6712740873241722E-2</v>
      </c>
      <c r="F61" s="40"/>
    </row>
    <row r="62" spans="1:6" x14ac:dyDescent="0.3">
      <c r="A62">
        <v>8</v>
      </c>
      <c r="B62" s="7" t="s">
        <v>159</v>
      </c>
      <c r="F62" s="40"/>
    </row>
    <row r="63" spans="1:6" x14ac:dyDescent="0.3">
      <c r="A63">
        <v>9</v>
      </c>
      <c r="B63" s="7" t="s">
        <v>160</v>
      </c>
      <c r="F63" s="40"/>
    </row>
    <row r="64" spans="1:6" x14ac:dyDescent="0.3">
      <c r="A64">
        <v>9.1</v>
      </c>
      <c r="B64" t="s">
        <v>161</v>
      </c>
      <c r="C64" s="26">
        <f>('Financial Statements'!B48-'Financial Statements'!C48)/'Financial Statements'!C48</f>
        <v>4.9942735369029236E-3</v>
      </c>
      <c r="D64" s="26">
        <f>('Financial Statements'!C48-'Financial Statements'!D48)/'Financial Statements'!D48</f>
        <v>8.3714123400681711E-2</v>
      </c>
      <c r="E64" s="26">
        <f>('Financial Statements'!D48-338516)/338516</f>
        <v>-4.3212137683300053E-2</v>
      </c>
      <c r="F64" s="40"/>
    </row>
    <row r="65" spans="1:6" x14ac:dyDescent="0.3">
      <c r="A65">
        <v>9.1999999999999993</v>
      </c>
      <c r="B65" t="s">
        <v>162</v>
      </c>
      <c r="C65" s="26">
        <f>('Financial Statements'!B56-'Financial Statements'!C56)/('Financial Statements'!C56)</f>
        <v>0.22713398841258836</v>
      </c>
      <c r="D65" s="26">
        <f>('Financial Statements'!C56-'Financial Statements'!D56)/('Financial Statements'!D56)</f>
        <v>0.19061219067860938</v>
      </c>
      <c r="E65" s="26">
        <f>('Financial Statements'!D62-248028)/(248028)</f>
        <v>4.2418597900237068E-2</v>
      </c>
      <c r="F65" s="40"/>
    </row>
    <row r="66" spans="1:6" x14ac:dyDescent="0.3">
      <c r="A66">
        <v>9.3000000000000007</v>
      </c>
      <c r="B66" t="s">
        <v>163</v>
      </c>
      <c r="C66" s="26">
        <f>('Financial Statements'!B68-'Financial Statements'!C68)/'Financial Statements'!C68</f>
        <v>-0.19682992550324932</v>
      </c>
      <c r="D66" s="26">
        <f>('Financial Statements'!C68-'Financial Statements'!D68)/'Financial Statements'!D68</f>
        <v>-3.4420483937617659E-2</v>
      </c>
      <c r="E66" s="26">
        <f>('Financial Statements'!D68-90488)/90488</f>
        <v>-0.27792635487578465</v>
      </c>
      <c r="F66" s="40"/>
    </row>
    <row r="67" spans="1:6" x14ac:dyDescent="0.3">
      <c r="B67" s="7" t="s">
        <v>164</v>
      </c>
      <c r="F67" s="40"/>
    </row>
    <row r="68" spans="1:6" x14ac:dyDescent="0.3">
      <c r="A68">
        <v>10.1</v>
      </c>
      <c r="B68" t="s">
        <v>165</v>
      </c>
      <c r="C68" s="26">
        <f>'Financial Statements'!B12/'Financial Statements'!B8</f>
        <v>0.56690369438639909</v>
      </c>
      <c r="D68" s="26">
        <f>'Financial Statements'!C12/'Financial Statements'!C8</f>
        <v>0.58220640374832222</v>
      </c>
      <c r="E68" s="26">
        <f>'Financial Statements'!D12/'Financial Statements'!D8</f>
        <v>0.61766752272189129</v>
      </c>
      <c r="F68" s="40"/>
    </row>
    <row r="69" spans="1:6" x14ac:dyDescent="0.3">
      <c r="A69">
        <v>10.199999999999999</v>
      </c>
      <c r="B69" t="s">
        <v>166</v>
      </c>
      <c r="C69" s="26">
        <f>'Financial Statements'!B13/'Financial Statements'!B8</f>
        <v>0.43309630561360085</v>
      </c>
      <c r="D69" s="26">
        <f>'Financial Statements'!C13/'Financial Statements'!C8</f>
        <v>0.41779359625167778</v>
      </c>
      <c r="E69" s="26">
        <f>'Financial Statements'!D13/'Financial Statements'!D8</f>
        <v>0.38233247727810865</v>
      </c>
      <c r="F69" s="40"/>
    </row>
    <row r="70" spans="1:6" x14ac:dyDescent="0.3">
      <c r="B70" t="s">
        <v>159</v>
      </c>
      <c r="C70" s="26"/>
      <c r="D70" s="26"/>
      <c r="E70" s="26"/>
      <c r="F70" s="40"/>
    </row>
    <row r="71" spans="1:6" x14ac:dyDescent="0.3">
      <c r="A71">
        <v>10.3</v>
      </c>
      <c r="B71" t="s">
        <v>11</v>
      </c>
      <c r="C71" s="26">
        <f>'Financial Statements'!B15/'Financial Statements'!$B$8</f>
        <v>6.657148363798665E-2</v>
      </c>
      <c r="D71" s="26">
        <f>'Financial Statements'!C15/'Financial Statements'!$C$8</f>
        <v>5.9904269074427925E-2</v>
      </c>
      <c r="E71" s="26">
        <f>'Financial Statements'!D15/'Financial Statements'!$D$8</f>
        <v>6.8309564140393061E-2</v>
      </c>
      <c r="F71" s="40"/>
    </row>
    <row r="72" spans="1:6" x14ac:dyDescent="0.3">
      <c r="A72">
        <v>10.4</v>
      </c>
      <c r="B72" t="s">
        <v>12</v>
      </c>
      <c r="C72" s="26">
        <f>'Financial Statements'!B16/'Financial Statements'!$B$8</f>
        <v>6.3637378020328261E-2</v>
      </c>
      <c r="D72" s="26">
        <f>'Financial Statements'!C16/'Financial Statements'!$C$8</f>
        <v>6.006555190163388E-2</v>
      </c>
      <c r="E72" s="26">
        <f>'Financial Statements'!D16/'Financial Statements'!$D$8</f>
        <v>7.2549769593646979E-2</v>
      </c>
      <c r="F72" s="40"/>
    </row>
    <row r="73" spans="1:6" x14ac:dyDescent="0.3">
      <c r="A73">
        <v>10.5</v>
      </c>
      <c r="B73" t="s">
        <v>13</v>
      </c>
      <c r="C73" s="26">
        <f>'Financial Statements'!B17/'Financial Statements'!$B$8</f>
        <v>0.13020886165831491</v>
      </c>
      <c r="D73" s="26">
        <f>'Financial Statements'!C17/'Financial Statements'!$C$8</f>
        <v>0.11996982097606181</v>
      </c>
      <c r="E73" s="26">
        <f>'Financial Statements'!D17/'Financial Statements'!$D$8</f>
        <v>0.14085933373404003</v>
      </c>
      <c r="F73" s="40"/>
    </row>
    <row r="74" spans="1:6" x14ac:dyDescent="0.3">
      <c r="A74">
        <v>11</v>
      </c>
      <c r="B74" t="s">
        <v>167</v>
      </c>
      <c r="C74" s="26">
        <f>'Financial Statements'!B18/'Financial Statements'!$B$8</f>
        <v>0.30288744395528594</v>
      </c>
      <c r="D74" s="26">
        <f>'Financial Statements'!C18/'Financial Statements'!$C$8</f>
        <v>0.29782377527561593</v>
      </c>
      <c r="E74" s="26">
        <f>'Financial Statements'!D18/'Financial Statements'!$D$8</f>
        <v>0.24147314354406862</v>
      </c>
      <c r="F74" s="40"/>
    </row>
    <row r="75" spans="1:6" x14ac:dyDescent="0.3">
      <c r="A75">
        <v>12</v>
      </c>
      <c r="B75" t="s">
        <v>168</v>
      </c>
      <c r="C75" s="26">
        <f>'Financial Statements'!B22/'Financial Statements'!B8</f>
        <v>0.25309640705199732</v>
      </c>
      <c r="D75" s="26">
        <f>'Financial Statements'!C22/'Financial Statements'!C8</f>
        <v>0.25881793355694238</v>
      </c>
      <c r="E75" s="26">
        <f>'Financial Statements'!D22/'Financial Statements'!D8</f>
        <v>0.20913611278072236</v>
      </c>
      <c r="F75" s="40"/>
    </row>
    <row r="76" spans="1:6" x14ac:dyDescent="0.3">
      <c r="F76" s="40"/>
    </row>
    <row r="77" spans="1:6" x14ac:dyDescent="0.3">
      <c r="A77">
        <v>13</v>
      </c>
      <c r="B77" t="s">
        <v>94</v>
      </c>
      <c r="C77" s="26">
        <f>'Financial Statements'!B21/'Financial Statements'!B20</f>
        <v>0.16204461684424407</v>
      </c>
      <c r="D77" s="26">
        <f>'Financial Statements'!C21/'Financial Statements'!C20</f>
        <v>0.13302260844085087</v>
      </c>
      <c r="E77" s="26">
        <f>'Financial Statements'!D21/'Financial Statements'!D20</f>
        <v>0.14428164731484103</v>
      </c>
      <c r="F77" s="40"/>
    </row>
    <row r="78" spans="1:6" x14ac:dyDescent="0.3">
      <c r="A78">
        <v>14</v>
      </c>
      <c r="B78" t="s">
        <v>95</v>
      </c>
      <c r="C78" s="26">
        <f>-'Financial Statements'!B99/'Financial Statements'!B8</f>
        <v>5.6688847862692987E-2</v>
      </c>
      <c r="D78" s="26">
        <f>-'Financial Statements'!C99/'Financial Statements'!C8</f>
        <v>3.9760317317128507E-2</v>
      </c>
      <c r="E78" s="26">
        <f>-'Financial Statements'!D99/'Financial Statements'!D8</f>
        <v>1.5623918547256069E-2</v>
      </c>
      <c r="F78" s="40"/>
    </row>
    <row r="79" spans="1:6" s="34" customFormat="1" x14ac:dyDescent="0.3">
      <c r="A79" s="34">
        <v>15</v>
      </c>
      <c r="B79" s="34" t="s">
        <v>169</v>
      </c>
      <c r="C79" s="35">
        <f>-'Financial Statements'!B99/'Financial Statements'!B47</f>
        <v>0.10284794110881068</v>
      </c>
      <c r="D79" s="35">
        <f>-'Financial Statements'!C99/'Financial Statements'!C47</f>
        <v>6.7286252232080901E-2</v>
      </c>
      <c r="E79" s="35">
        <f>-'Financial Statements'!D99/'Financial Statements'!D47</f>
        <v>2.3804634383238519E-2</v>
      </c>
      <c r="F79" s="40"/>
    </row>
    <row r="80" spans="1:6" x14ac:dyDescent="0.3">
      <c r="F80" s="40"/>
    </row>
    <row r="81" spans="6:6" x14ac:dyDescent="0.3">
      <c r="F81" s="40"/>
    </row>
    <row r="82" spans="6:6" x14ac:dyDescent="0.3">
      <c r="F82" s="40"/>
    </row>
    <row r="83" spans="6:6" x14ac:dyDescent="0.3">
      <c r="F83" s="40"/>
    </row>
    <row r="84" spans="6:6" x14ac:dyDescent="0.3">
      <c r="F84" s="40"/>
    </row>
    <row r="85" spans="6:6" x14ac:dyDescent="0.3">
      <c r="F85" s="40"/>
    </row>
    <row r="86" spans="6:6" x14ac:dyDescent="0.3">
      <c r="F86" s="40"/>
    </row>
    <row r="87" spans="6:6" x14ac:dyDescent="0.3">
      <c r="F87" s="40"/>
    </row>
    <row r="88" spans="6:6" x14ac:dyDescent="0.3">
      <c r="F88" s="40"/>
    </row>
    <row r="89" spans="6:6" x14ac:dyDescent="0.3">
      <c r="F89" s="40"/>
    </row>
  </sheetData>
  <mergeCells count="2">
    <mergeCell ref="C2:E2"/>
    <mergeCell ref="H39:J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Devendra Shah</cp:lastModifiedBy>
  <dcterms:created xsi:type="dcterms:W3CDTF">2020-05-18T16:32:37Z</dcterms:created>
  <dcterms:modified xsi:type="dcterms:W3CDTF">2023-11-30T21:22:45Z</dcterms:modified>
</cp:coreProperties>
</file>