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kewheeler/Downloads/"/>
    </mc:Choice>
  </mc:AlternateContent>
  <xr:revisionPtr revIDLastSave="0" documentId="13_ncr:1_{AE8E88B6-5AEE-F64D-B8F8-A82B779E7E92}" xr6:coauthVersionLast="47" xr6:coauthVersionMax="47" xr10:uidLastSave="{00000000-0000-0000-0000-000000000000}"/>
  <bookViews>
    <workbookView xWindow="0" yWindow="0" windowWidth="19180" windowHeight="216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3" l="1"/>
  <c r="C50" i="3" s="1"/>
  <c r="D50" i="3"/>
  <c r="E50" i="3"/>
  <c r="D51" i="3"/>
  <c r="E51" i="3"/>
  <c r="C40" i="3"/>
  <c r="D49" i="3"/>
  <c r="E49" i="3"/>
  <c r="C49" i="3"/>
  <c r="D48" i="3"/>
  <c r="E48" i="3"/>
  <c r="C48" i="3"/>
  <c r="D47" i="3"/>
  <c r="E47" i="3"/>
  <c r="C47" i="3"/>
  <c r="E46" i="3"/>
  <c r="D46" i="3"/>
  <c r="C46" i="3"/>
  <c r="D45" i="3"/>
  <c r="E45" i="3"/>
  <c r="C45" i="3"/>
  <c r="D43" i="3"/>
  <c r="E43" i="3"/>
  <c r="C43" i="3"/>
  <c r="C42" i="3"/>
  <c r="D42" i="3"/>
  <c r="E42" i="3"/>
  <c r="D41" i="3"/>
  <c r="E41" i="3"/>
  <c r="C41" i="3"/>
  <c r="D40" i="3"/>
  <c r="E40" i="3"/>
  <c r="E37" i="3"/>
  <c r="D37" i="3"/>
  <c r="C37" i="3"/>
  <c r="D36" i="3"/>
  <c r="E36" i="3"/>
  <c r="C36" i="3"/>
  <c r="D35" i="3"/>
  <c r="E35" i="3"/>
  <c r="C35" i="3"/>
  <c r="D34" i="3"/>
  <c r="E34" i="3"/>
  <c r="C34" i="3"/>
  <c r="D31" i="3"/>
  <c r="E31" i="3"/>
  <c r="C31" i="3"/>
  <c r="C30" i="3"/>
  <c r="D30" i="3"/>
  <c r="E30" i="3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E20" i="3"/>
  <c r="C19" i="3"/>
  <c r="C20" i="3"/>
  <c r="D21" i="3"/>
  <c r="E21" i="3"/>
  <c r="C21" i="3"/>
  <c r="D18" i="3"/>
  <c r="E18" i="3"/>
  <c r="C18" i="3"/>
  <c r="D19" i="3"/>
  <c r="E19" i="3"/>
  <c r="D17" i="3"/>
  <c r="E17" i="3"/>
  <c r="C17" i="3"/>
  <c r="C8" i="3"/>
  <c r="D8" i="3"/>
  <c r="E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B13" i="1" s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<sst xmlns="http://schemas.openxmlformats.org/spreadsheetml/2006/main" count="173" uniqueCount="150">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</sst>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0" sqref="A30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57" zoomScale="114" workbookViewId="0">
      <selection activeCell="A44" sqref="A44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24" t="s">
        <v>1</v>
      </c>
      <c r="B2" s="24"/>
      <c r="C2" s="24"/>
      <c r="D2" s="24"/>
    </row>
    <row r="3" spans="1:10" x14ac:dyDescent="0.2">
      <c r="B3" s="23" t="s">
        <v>23</v>
      </c>
      <c r="C3" s="23"/>
      <c r="D3" s="23"/>
    </row>
    <row r="4" spans="1:10" x14ac:dyDescent="0.2">
      <c r="B4" s="7">
        <v>2022</v>
      </c>
      <c r="C4" s="7">
        <v>2021</v>
      </c>
      <c r="D4" s="7">
        <v>2020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">
      <c r="A8" s="8" t="s">
        <v>6</v>
      </c>
      <c r="B8" s="13">
        <f>+B6+B7</f>
        <v>394328</v>
      </c>
      <c r="C8" s="13">
        <f>+C6+C7</f>
        <v>365817</v>
      </c>
      <c r="D8" s="13">
        <f>+D6+D7</f>
        <v>274515</v>
      </c>
    </row>
    <row r="9" spans="1:10" x14ac:dyDescent="0.2">
      <c r="A9" t="s">
        <v>7</v>
      </c>
      <c r="B9" s="12"/>
      <c r="C9" s="12"/>
      <c r="D9" s="12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">
      <c r="A12" s="8" t="s">
        <v>8</v>
      </c>
      <c r="B12" s="13">
        <f>+B10+B11</f>
        <v>223546</v>
      </c>
      <c r="C12" s="13">
        <f>+C10+C11</f>
        <v>212981</v>
      </c>
      <c r="D12" s="13">
        <f>+D10+D11</f>
        <v>169559</v>
      </c>
    </row>
    <row r="13" spans="1:10" x14ac:dyDescent="0.2">
      <c r="A13" s="8" t="s">
        <v>9</v>
      </c>
      <c r="B13" s="13">
        <f>+B8-B12</f>
        <v>170782</v>
      </c>
      <c r="C13" s="13">
        <f>+C8-C12</f>
        <v>152836</v>
      </c>
      <c r="D13" s="13">
        <f>+D8-D12</f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">
      <c r="A17" s="8" t="s">
        <v>13</v>
      </c>
      <c r="B17" s="13">
        <f>+B15+B16</f>
        <v>51345</v>
      </c>
      <c r="C17" s="13">
        <f>+C15+C16</f>
        <v>43887</v>
      </c>
      <c r="D17" s="13">
        <f>+D15+D16</f>
        <v>38668</v>
      </c>
    </row>
    <row r="18" spans="1:4" s="7" customFormat="1" x14ac:dyDescent="0.2">
      <c r="A18" s="8" t="s">
        <v>14</v>
      </c>
      <c r="B18" s="13">
        <f>+B13-B17</f>
        <v>119437</v>
      </c>
      <c r="C18" s="13">
        <f>+C13-C17</f>
        <v>108949</v>
      </c>
      <c r="D18" s="13">
        <f>+D13-D17</f>
        <v>66288</v>
      </c>
    </row>
    <row r="19" spans="1:4" x14ac:dyDescent="0.2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">
      <c r="A20" s="8" t="s">
        <v>16</v>
      </c>
      <c r="B20" s="13">
        <f>+B18+B19</f>
        <v>119103</v>
      </c>
      <c r="C20" s="13">
        <f>+C18+C19</f>
        <v>109207</v>
      </c>
      <c r="D20" s="13">
        <f>+D18+D19</f>
        <v>67091</v>
      </c>
    </row>
    <row r="21" spans="1:4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4" ht="16" thickBot="1" x14ac:dyDescent="0.25">
      <c r="A22" s="9" t="s">
        <v>18</v>
      </c>
      <c r="B22" s="14">
        <f>+B20-B21</f>
        <v>99803</v>
      </c>
      <c r="C22" s="14">
        <f>+C20-C21</f>
        <v>94680</v>
      </c>
      <c r="D22" s="14">
        <f>+D20-D21</f>
        <v>57411</v>
      </c>
    </row>
    <row r="23" spans="1:4" ht="16" thickTop="1" x14ac:dyDescent="0.2">
      <c r="A23" t="s">
        <v>19</v>
      </c>
    </row>
    <row r="24" spans="1:4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">
      <c r="A26" t="s">
        <v>22</v>
      </c>
    </row>
    <row r="27" spans="1:4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">
      <c r="A31" s="24" t="s">
        <v>24</v>
      </c>
      <c r="B31" s="24"/>
      <c r="C31" s="24"/>
      <c r="D31" s="24"/>
    </row>
    <row r="32" spans="1:4" x14ac:dyDescent="0.2">
      <c r="B32" s="23" t="s">
        <v>142</v>
      </c>
      <c r="C32" s="23"/>
      <c r="D32" s="23"/>
    </row>
    <row r="33" spans="1:4" x14ac:dyDescent="0.2">
      <c r="B33" s="7">
        <f>+B4</f>
        <v>2022</v>
      </c>
      <c r="C33" s="7">
        <f>+C4</f>
        <v>2021</v>
      </c>
      <c r="D33" s="7">
        <f>+D4</f>
        <v>2020</v>
      </c>
    </row>
    <row r="35" spans="1:4" x14ac:dyDescent="0.2">
      <c r="A35" t="s">
        <v>25</v>
      </c>
    </row>
    <row r="36" spans="1:4" x14ac:dyDescent="0.2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">
      <c r="A42" s="8" t="s">
        <v>31</v>
      </c>
      <c r="B42" s="13">
        <f>+SUM(B36:B41)</f>
        <v>135405</v>
      </c>
      <c r="C42" s="13">
        <f>+SUM(C36:C41)</f>
        <v>134836</v>
      </c>
      <c r="D42" s="13">
        <f>+SUM(D36:D41)</f>
        <v>143713</v>
      </c>
    </row>
    <row r="43" spans="1:4" x14ac:dyDescent="0.2">
      <c r="A43" t="s">
        <v>48</v>
      </c>
      <c r="B43" s="12"/>
      <c r="C43" s="12"/>
      <c r="D43" s="12"/>
    </row>
    <row r="44" spans="1:4" x14ac:dyDescent="0.2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">
      <c r="A47" s="8" t="s">
        <v>50</v>
      </c>
      <c r="B47" s="13">
        <f>+SUM(B44:B46)</f>
        <v>217350</v>
      </c>
      <c r="C47" s="13">
        <f>+SUM(C44:C46)</f>
        <v>216166</v>
      </c>
      <c r="D47" s="13">
        <f>+SUM(D44:D46)</f>
        <v>180175</v>
      </c>
    </row>
    <row r="48" spans="1:4" ht="16" thickBot="1" x14ac:dyDescent="0.25">
      <c r="A48" s="9" t="s">
        <v>33</v>
      </c>
      <c r="B48" s="14">
        <f>+B42+B47</f>
        <v>352755</v>
      </c>
      <c r="C48" s="14">
        <f>+C42+C47</f>
        <v>351002</v>
      </c>
      <c r="D48" s="14">
        <f>+D42+D47</f>
        <v>323888</v>
      </c>
    </row>
    <row r="49" spans="1:4" ht="16" thickTop="1" x14ac:dyDescent="0.2"/>
    <row r="50" spans="1:4" x14ac:dyDescent="0.2">
      <c r="A50" t="s">
        <v>34</v>
      </c>
    </row>
    <row r="51" spans="1:4" x14ac:dyDescent="0.2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">
      <c r="A56" s="8" t="s">
        <v>40</v>
      </c>
      <c r="B56" s="13">
        <f>+SUM(B51:B55)</f>
        <v>153982</v>
      </c>
      <c r="C56" s="13">
        <f>+SUM(C51:C55)</f>
        <v>125481</v>
      </c>
      <c r="D56" s="13">
        <f>+SUM(D51:D55)</f>
        <v>105392</v>
      </c>
    </row>
    <row r="57" spans="1:4" x14ac:dyDescent="0.2">
      <c r="A57" t="s">
        <v>51</v>
      </c>
      <c r="B57" s="12"/>
      <c r="C57" s="12"/>
      <c r="D57" s="12"/>
    </row>
    <row r="58" spans="1:4" x14ac:dyDescent="0.2">
      <c r="A58" s="1" t="s">
        <v>37</v>
      </c>
      <c r="B58" s="12"/>
      <c r="C58" s="12"/>
      <c r="D58" s="12"/>
    </row>
    <row r="59" spans="1:4" x14ac:dyDescent="0.2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">
      <c r="A61" s="22" t="s">
        <v>53</v>
      </c>
      <c r="B61" s="21">
        <f>+B59+B60</f>
        <v>148101</v>
      </c>
      <c r="C61" s="21">
        <f>+C59+C60</f>
        <v>162431</v>
      </c>
      <c r="D61" s="21">
        <f>+D59+D60</f>
        <v>153157</v>
      </c>
    </row>
    <row r="62" spans="1:4" x14ac:dyDescent="0.2">
      <c r="A62" s="8" t="s">
        <v>41</v>
      </c>
      <c r="B62" s="13">
        <f>+B56+B61</f>
        <v>302083</v>
      </c>
      <c r="C62" s="13">
        <f>+C56+C61</f>
        <v>287912</v>
      </c>
      <c r="D62" s="13">
        <f>+D56+D61</f>
        <v>258549</v>
      </c>
    </row>
    <row r="63" spans="1:4" x14ac:dyDescent="0.2">
      <c r="B63" s="12"/>
      <c r="C63" s="12"/>
      <c r="D63" s="12"/>
    </row>
    <row r="64" spans="1:4" x14ac:dyDescent="0.2">
      <c r="A64" t="s">
        <v>42</v>
      </c>
      <c r="B64" s="12"/>
      <c r="C64" s="12"/>
      <c r="D64" s="12"/>
    </row>
    <row r="65" spans="1:4" x14ac:dyDescent="0.2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">
      <c r="A68" s="8" t="s">
        <v>45</v>
      </c>
      <c r="B68" s="13">
        <f>+SUM(B65:B67)</f>
        <v>50672</v>
      </c>
      <c r="C68" s="13">
        <f>+SUM(C65:C67)</f>
        <v>63090</v>
      </c>
      <c r="D68" s="13">
        <f>+SUM(D65:D67)</f>
        <v>65339</v>
      </c>
    </row>
    <row r="69" spans="1:4" ht="16" thickBot="1" x14ac:dyDescent="0.25">
      <c r="A69" s="9" t="s">
        <v>46</v>
      </c>
      <c r="B69" s="14">
        <f>+B68+B62</f>
        <v>352755</v>
      </c>
      <c r="C69" s="14">
        <f>+C68+C62</f>
        <v>351002</v>
      </c>
      <c r="D69" s="14">
        <f>+D68+D62</f>
        <v>323888</v>
      </c>
    </row>
    <row r="70" spans="1:4" ht="16" thickTop="1" x14ac:dyDescent="0.2"/>
    <row r="71" spans="1:4" x14ac:dyDescent="0.2">
      <c r="A71" s="24" t="s">
        <v>55</v>
      </c>
      <c r="B71" s="24"/>
      <c r="C71" s="24"/>
      <c r="D71" s="24"/>
    </row>
    <row r="72" spans="1:4" x14ac:dyDescent="0.2">
      <c r="B72" s="23" t="s">
        <v>23</v>
      </c>
      <c r="C72" s="23"/>
      <c r="D72" s="23"/>
    </row>
    <row r="73" spans="1:4" x14ac:dyDescent="0.2">
      <c r="B73" s="7">
        <f>+B33</f>
        <v>2022</v>
      </c>
      <c r="C73" s="7">
        <f>+C33</f>
        <v>2021</v>
      </c>
      <c r="D73" s="7">
        <f>+D33</f>
        <v>2020</v>
      </c>
    </row>
    <row r="75" spans="1:4" x14ac:dyDescent="0.2">
      <c r="A75" s="7" t="s">
        <v>56</v>
      </c>
      <c r="B75" s="15"/>
      <c r="C75" s="15"/>
      <c r="D75" s="15"/>
    </row>
    <row r="76" spans="1:4" x14ac:dyDescent="0.2">
      <c r="A76" t="s">
        <v>57</v>
      </c>
      <c r="B76" s="12">
        <f>+B22</f>
        <v>99803</v>
      </c>
      <c r="C76" s="12">
        <f>+C22</f>
        <v>94680</v>
      </c>
      <c r="D76" s="12">
        <f>+D22</f>
        <v>57411</v>
      </c>
    </row>
    <row r="77" spans="1:4" x14ac:dyDescent="0.2">
      <c r="A77" s="11" t="s">
        <v>18</v>
      </c>
      <c r="B77" s="15"/>
      <c r="C77" s="15"/>
      <c r="D77" s="15"/>
    </row>
    <row r="78" spans="1:4" x14ac:dyDescent="0.2">
      <c r="A78" s="1" t="s">
        <v>58</v>
      </c>
      <c r="B78" s="12"/>
      <c r="C78" s="12"/>
      <c r="D78" s="12"/>
    </row>
    <row r="79" spans="1:4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>+SUM(C76:C90)</f>
        <v>104038</v>
      </c>
      <c r="D91" s="13">
        <f>+SUM(D76:D90)</f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>+SUM(C93:C98)</f>
        <v>-14545</v>
      </c>
      <c r="D99" s="13">
        <f>+SUM(D93:D98)</f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>+SUM(C101:C107)</f>
        <v>-93353</v>
      </c>
      <c r="D108" s="13">
        <f>+SUM(D101:D107)</f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>+C91+C99+C108</f>
        <v>-3860</v>
      </c>
      <c r="D109" s="13">
        <f>+D91+D99+D108</f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" workbookViewId="0">
      <selection activeCell="C52" sqref="C52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  <col min="3" max="3" width="11.83203125" bestFit="1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3" t="s">
        <v>23</v>
      </c>
      <c r="D2" s="23"/>
      <c r="E2" s="23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SUM('Financial Statements'!B36:B38)/'Financial Statements'!B56</f>
        <v>0.49673338442155579</v>
      </c>
      <c r="D6">
        <f>SUM('Financial Statements'!C36:C38)/'Financial Statements'!C56</f>
        <v>0.70860927152317876</v>
      </c>
      <c r="E6">
        <f>SUM('Financial Statements'!D36:D38)/'Financial Statements'!D56</f>
        <v>1.0158550933657204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  <c r="C8">
        <f>(SUM('Financial Statements'!B36:B38)/('Financial Statements'!B17/365))</f>
        <v>543.73590417762193</v>
      </c>
      <c r="D8">
        <f>(SUM('Financial Statements'!C36:C38)/('Financial Statements'!C17/365))</f>
        <v>739.50611798482464</v>
      </c>
      <c r="E8">
        <f>(SUM('Financial Statements'!D36:D38)/('Financial Statements'!D17/365))</f>
        <v>1010.6029533464364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</row>
    <row r="11" spans="1:10" x14ac:dyDescent="0.2">
      <c r="A11" s="18">
        <f t="shared" si="0"/>
        <v>1.7000000000000006</v>
      </c>
      <c r="B11" s="1" t="s">
        <v>106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>
        <f>'Financial Statements'!B13</f>
        <v>170782</v>
      </c>
      <c r="D17">
        <f>'Financial Statements'!C13</f>
        <v>152836</v>
      </c>
      <c r="E17">
        <f>'Financial Statements'!D13</f>
        <v>104956</v>
      </c>
    </row>
    <row r="18" spans="1:5" x14ac:dyDescent="0.2">
      <c r="A18" s="18">
        <f>+A17+0.1</f>
        <v>2.2000000000000002</v>
      </c>
      <c r="B18" s="1" t="s">
        <v>111</v>
      </c>
      <c r="C18">
        <f>C19/'Financial Statements'!B8</f>
        <v>0.33815757440506383</v>
      </c>
      <c r="D18">
        <f>D19/'Financial Statements'!C8</f>
        <v>0.36640178012503521</v>
      </c>
      <c r="E18">
        <f>E19/'Financial Statements'!D8</f>
        <v>0.29495655975083329</v>
      </c>
    </row>
    <row r="19" spans="1:5" x14ac:dyDescent="0.2">
      <c r="A19" s="18"/>
      <c r="B19" s="3" t="s">
        <v>112</v>
      </c>
      <c r="C19">
        <f>'Financial Statements'!B22+'Financial Statements'!B114+'Financial Statements'!B113+'Financial Statements'!B79</f>
        <v>133345</v>
      </c>
      <c r="D19">
        <f>'Financial Statements'!C22+'Financial Statements'!C114+'Financial Statements'!C113+'Financial Statements'!C79</f>
        <v>134036</v>
      </c>
      <c r="E19">
        <f>'Financial Statements'!D22+'Financial Statements'!D114+'Financial Statements'!D113+'Financial Statements'!D79</f>
        <v>80970</v>
      </c>
    </row>
    <row r="20" spans="1:5" x14ac:dyDescent="0.2">
      <c r="A20" s="18">
        <f>+A18+0.1</f>
        <v>2.3000000000000003</v>
      </c>
      <c r="B20" s="1" t="s">
        <v>113</v>
      </c>
      <c r="C20">
        <f>C21/'Financial Statements'!B8</f>
        <v>0.30999827554726017</v>
      </c>
      <c r="D20">
        <f>D21/'Financial Statements'!C8</f>
        <v>0.33555575602008653</v>
      </c>
      <c r="E20">
        <f>E21/'Financial Statements'!D8</f>
        <v>0.25468189352130122</v>
      </c>
    </row>
    <row r="21" spans="1:5" x14ac:dyDescent="0.2">
      <c r="A21" s="18"/>
      <c r="B21" s="3" t="s">
        <v>114</v>
      </c>
      <c r="C21">
        <f>'Financial Statements'!B22+'Financial Statements'!B114+'Financial Statements'!B113</f>
        <v>122241</v>
      </c>
      <c r="D21">
        <f>'Financial Statements'!C22+'Financial Statements'!C114+'Financial Statements'!C113</f>
        <v>122752</v>
      </c>
      <c r="E21">
        <f>'Financial Statements'!D22+'Financial Statements'!D114+'Financial Statements'!D113</f>
        <v>69914</v>
      </c>
    </row>
    <row r="22" spans="1:5" x14ac:dyDescent="0.2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 t="shared" ref="A25:A30" si="1"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2">
      <c r="A26" s="18">
        <f t="shared" si="1"/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>
        <f>'Financial Statements'!B62/'Financial Statements'!B69</f>
        <v>0.85635355983614692</v>
      </c>
      <c r="D27">
        <f>'Financial Statements'!C62/'Financial Statements'!C69</f>
        <v>0.82025743443057308</v>
      </c>
      <c r="E27">
        <f>'Financial Statements'!D62/'Financial Statements'!D69</f>
        <v>0.79826668477992391</v>
      </c>
    </row>
    <row r="28" spans="1:5" x14ac:dyDescent="0.2">
      <c r="A28" s="18">
        <f t="shared" si="1"/>
        <v>3.4000000000000004</v>
      </c>
      <c r="B28" s="1" t="s">
        <v>120</v>
      </c>
      <c r="C28">
        <f>C21/'Financial Statements'!B114</f>
        <v>42.667015706806282</v>
      </c>
      <c r="D28">
        <f>D21/'Financial Statements'!C114</f>
        <v>45.683662076665428</v>
      </c>
      <c r="E28">
        <f>E21/'Financial Statements'!D114</f>
        <v>23.289140572951364</v>
      </c>
    </row>
    <row r="29" spans="1:5" x14ac:dyDescent="0.2">
      <c r="A29" s="18">
        <f t="shared" si="1"/>
        <v>3.5000000000000004</v>
      </c>
      <c r="B29" s="1" t="s">
        <v>121</v>
      </c>
      <c r="C29">
        <f>'Financial Statements'!B18/'Financial Statements'!B114</f>
        <v>41.68830715532286</v>
      </c>
      <c r="D29">
        <f>'Financial Statements'!C18/'Financial Statements'!C114</f>
        <v>40.546706363974693</v>
      </c>
      <c r="E29">
        <f>'Financial Statements'!D18/'Financial Statements'!D114</f>
        <v>22.081279147235175</v>
      </c>
    </row>
    <row r="30" spans="1:5" x14ac:dyDescent="0.2">
      <c r="A30" s="18">
        <f t="shared" si="1"/>
        <v>3.6000000000000005</v>
      </c>
      <c r="B30" s="1" t="s">
        <v>122</v>
      </c>
      <c r="C30">
        <f>('Financial Statements'!B91+'Financial Statements'!B96)/'Financial Statements'!B27</f>
        <v>6.8724256462597997E-3</v>
      </c>
      <c r="D30">
        <f>('Financial Statements'!C91+'Financial Statements'!C96)/'Financial Statements'!C27</f>
        <v>5.5656239836103499E-3</v>
      </c>
      <c r="E30">
        <f>('Financial Statements'!D91+'Financial Statements'!D96)/'Financial Statements'!D27</f>
        <v>4.2280138811864997E-3</v>
      </c>
    </row>
    <row r="31" spans="1:5" x14ac:dyDescent="0.2">
      <c r="A31" s="18"/>
      <c r="B31" s="3" t="s">
        <v>123</v>
      </c>
      <c r="C31">
        <f>'Financial Statements'!B91+'Financial Statements'!B96</f>
        <v>111443</v>
      </c>
      <c r="D31">
        <f>'Financial Statements'!C91+'Financial Statements'!C96</f>
        <v>92953</v>
      </c>
      <c r="E31">
        <f>'Financial Statements'!D91+'Financial Statements'!D96</f>
        <v>73365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>+A34+0.1</f>
        <v>4.1999999999999993</v>
      </c>
      <c r="B35" s="1" t="s">
        <v>126</v>
      </c>
      <c r="C35">
        <f>'Financial Statements'!B8/'Financial Statements'!B45</f>
        <v>9.3626801529073767</v>
      </c>
      <c r="D35">
        <f>'Financial Statements'!C8/'Financial Statements'!C45</f>
        <v>9.2752789046653152</v>
      </c>
      <c r="E35">
        <f>'Financial Statements'!D8/'Financial Statements'!D45</f>
        <v>7.4665451776097482</v>
      </c>
    </row>
    <row r="36" spans="1:5" x14ac:dyDescent="0.2">
      <c r="A36" s="18">
        <f>+A35+0.1</f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">
      <c r="A37" s="18">
        <f>+A36+0.1</f>
        <v>4.3999999999999986</v>
      </c>
      <c r="B37" s="1" t="s">
        <v>128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  <c r="C40">
        <f>(185.56)/'Financial Statements'!B24</f>
        <v>30.172357723577235</v>
      </c>
      <c r="D40">
        <f>(185.56)/'Financial Statements'!C24</f>
        <v>32.726631393298064</v>
      </c>
      <c r="E40">
        <f>(185.56)/'Financial Statements'!D24</f>
        <v>56.060422960725077</v>
      </c>
    </row>
    <row r="41" spans="1:5" x14ac:dyDescent="0.2">
      <c r="A41" s="18">
        <f>+A40+0.1</f>
        <v>5.1999999999999993</v>
      </c>
      <c r="B41" s="3" t="s">
        <v>131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">
      <c r="A42" s="18">
        <f>+A41+0.1</f>
        <v>5.2999999999999989</v>
      </c>
      <c r="B42" s="1" t="s">
        <v>132</v>
      </c>
      <c r="C42">
        <f>185.56/(('Financial Statements'!B48-'Financial Statements'!B56)/'Financial Statements'!B27)</f>
        <v>15138.042361286492</v>
      </c>
      <c r="D42">
        <f>185.56/(('Financial Statements'!C48-'Financial Statements'!C56)/'Financial Statements'!C27)</f>
        <v>13741.90444490757</v>
      </c>
      <c r="E42">
        <f>185.56/(('Financial Statements'!D48-'Financial Statements'!D56)/'Financial Statements'!D27)</f>
        <v>14736.467494324837</v>
      </c>
    </row>
    <row r="43" spans="1:5" x14ac:dyDescent="0.2">
      <c r="A43" s="18">
        <f>+A42+0.1</f>
        <v>5.3999999999999986</v>
      </c>
      <c r="B43" s="3" t="s">
        <v>133</v>
      </c>
      <c r="C43">
        <f>('Financial Statements'!B48-'Financial Statements'!B56)/'Financial Statements'!B27</f>
        <v>1.225785973981317E-2</v>
      </c>
      <c r="D43">
        <f>('Financial Statements'!C48-'Financial Statements'!C56)/'Financial Statements'!C27</f>
        <v>1.3503222988045462E-2</v>
      </c>
      <c r="E43">
        <f>('Financial Statements'!D48-'Financial Statements'!D56)/'Financial Statements'!D27</f>
        <v>1.2591891514805772E-2</v>
      </c>
    </row>
    <row r="44" spans="1:5" x14ac:dyDescent="0.2">
      <c r="A44" s="18">
        <f>+A43+0.1</f>
        <v>5.4999999999999982</v>
      </c>
      <c r="B44" s="1" t="s">
        <v>134</v>
      </c>
    </row>
    <row r="45" spans="1:5" x14ac:dyDescent="0.2">
      <c r="A45" s="18"/>
      <c r="B45" s="3" t="s">
        <v>135</v>
      </c>
      <c r="C45">
        <f>0.24/C41</f>
        <v>3.9024390243902432E-2</v>
      </c>
      <c r="D45">
        <f t="shared" ref="D45:E45" si="2">0.24/D41</f>
        <v>4.2328042328042326E-2</v>
      </c>
      <c r="E45">
        <f t="shared" si="2"/>
        <v>7.2507552870090627E-2</v>
      </c>
    </row>
    <row r="46" spans="1:5" x14ac:dyDescent="0.2">
      <c r="A46" s="18">
        <f>+A44+0.1</f>
        <v>5.5999999999999979</v>
      </c>
      <c r="B46" s="1" t="s">
        <v>136</v>
      </c>
      <c r="C46">
        <f>(0.23*3+0.22)/185.56</f>
        <v>4.9040741539124813E-3</v>
      </c>
      <c r="D46">
        <f>(0.22*3+0.205)/185.56</f>
        <v>4.6615649924552707E-3</v>
      </c>
      <c r="E46">
        <f>(0.205+0.82+0.82+0.77)/185.56</f>
        <v>1.4092476826902348E-2</v>
      </c>
    </row>
    <row r="47" spans="1:5" x14ac:dyDescent="0.2">
      <c r="A47" s="18">
        <f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>+A46+0.1</f>
        <v>5.6999999999999975</v>
      </c>
      <c r="B48" s="1" t="s">
        <v>138</v>
      </c>
      <c r="C48">
        <f>'List of Ratios'!C21/('Financial Statements'!B48-'Financial Statements'!B56)</f>
        <v>0.61497788935116937</v>
      </c>
      <c r="D48">
        <f>'List of Ratios'!D21/('Financial Statements'!C48-'Financial Statements'!C56)</f>
        <v>0.54430407811245962</v>
      </c>
      <c r="E48">
        <f>'List of Ratios'!E21/('Financial Statements'!D48-'Financial Statements'!D56)</f>
        <v>0.31997839777387227</v>
      </c>
    </row>
    <row r="49" spans="1:5" x14ac:dyDescent="0.2">
      <c r="A49" s="18">
        <f>+A47+0.1</f>
        <v>0.2</v>
      </c>
      <c r="B49" s="1" t="s">
        <v>128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2">
      <c r="A50" s="18">
        <f>+A48+0.1</f>
        <v>5.7999999999999972</v>
      </c>
      <c r="B50" s="1" t="s">
        <v>139</v>
      </c>
      <c r="C50">
        <f>C51/C19</f>
        <v>22566.429452022949</v>
      </c>
      <c r="D50">
        <f t="shared" ref="D50:E50" si="3">D51/D19</f>
        <v>23121.935982273419</v>
      </c>
      <c r="E50">
        <f t="shared" si="3"/>
        <v>39766.933748795847</v>
      </c>
    </row>
    <row r="51" spans="1:5" x14ac:dyDescent="0.2">
      <c r="A51" s="18"/>
      <c r="B51" s="3" t="s">
        <v>140</v>
      </c>
      <c r="C51">
        <f>((185.56*'Financial Statements'!B27)+'Financial Statements'!B55+'Financial Statements'!B59-'Financial Statements'!B36)</f>
        <v>3009120535.2800002</v>
      </c>
      <c r="D51">
        <f>((185.56*'Financial Statements'!C27)+'Financial Statements'!C55+'Financial Statements'!C59-'Financial Statements'!C36)</f>
        <v>3099171811.3200002</v>
      </c>
      <c r="E51">
        <f>((185.56*'Financial Statements'!D27)+'Financial Statements'!D55+'Financial Statements'!D59-'Financial Statements'!D36)</f>
        <v>3219928625.6399999</v>
      </c>
    </row>
  </sheetData>
  <mergeCells count="1">
    <mergeCell ref="C2:E2"/>
  </mergeCells>
  <pageMargins left="0.7" right="0.7" top="0.75" bottom="0.75" header="0.3" footer="0.3"/>
  <ignoredErrors>
    <ignoredError sqref="C6:E6 C8:E8" formulaRange="1"/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Jake Pang Wheeler</cp:lastModifiedBy>
  <dcterms:created xsi:type="dcterms:W3CDTF">2020-05-18T16:32:37Z</dcterms:created>
  <dcterms:modified xsi:type="dcterms:W3CDTF">2024-01-09T19:38:10Z</dcterms:modified>
</cp:coreProperties>
</file>